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4d1d9c640aa713/MORICHE/MORICHE/"/>
    </mc:Choice>
  </mc:AlternateContent>
  <xr:revisionPtr revIDLastSave="1621" documentId="13_ncr:1_{4CD02C3D-9CF8-4257-A290-2A113330C07B}" xr6:coauthVersionLast="47" xr6:coauthVersionMax="47" xr10:uidLastSave="{EE018ECC-5DAA-4A7C-8617-A3B9BE42A2A0}"/>
  <bookViews>
    <workbookView xWindow="-120" yWindow="-120" windowWidth="29040" windowHeight="15720" activeTab="2" xr2:uid="{00000000-000D-0000-FFFF-FFFF00000000}"/>
  </bookViews>
  <sheets>
    <sheet name="PRECIOS GOLOMAX" sheetId="42" r:id="rId1"/>
    <sheet name="LISTAS" sheetId="9" r:id="rId2"/>
    <sheet name="PROMOCIONES" sheetId="39" r:id="rId3"/>
    <sheet name="INSUMOS" sheetId="15" r:id="rId4"/>
    <sheet name="VENEZOLANO" sheetId="34" r:id="rId5"/>
    <sheet name="HC-LASVEGAS" sheetId="24" r:id="rId6"/>
    <sheet name="SPEED" sheetId="33" r:id="rId7"/>
    <sheet name="AGUANORT" sheetId="40" r:id="rId8"/>
    <sheet name="BAI" sheetId="19" r:id="rId9"/>
    <sheet name="DOBLE COLA" sheetId="21" r:id="rId10"/>
    <sheet name="YAMANIL" sheetId="17" r:id="rId11"/>
    <sheet name="OSLE" sheetId="29" r:id="rId12"/>
    <sheet name="DICOSPA" sheetId="20" r:id="rId13"/>
    <sheet name="FRIGOR" sheetId="41" r:id="rId14"/>
    <sheet name="NORNES" sheetId="2" r:id="rId15"/>
    <sheet name="LADIAR" sheetId="26" r:id="rId16"/>
    <sheet name="MONDELEZ" sheetId="23" r:id="rId17"/>
    <sheet name="GOLOMAX" sheetId="22" r:id="rId18"/>
    <sheet name="POP SALADO" sheetId="30" r:id="rId19"/>
    <sheet name="MAYORISTAS" sheetId="28" r:id="rId20"/>
    <sheet name="QUENTO" sheetId="32" r:id="rId21"/>
    <sheet name="GRANEL" sheetId="35" r:id="rId22"/>
  </sheets>
  <definedNames>
    <definedName name="_xlnm._FilterDatabase" localSheetId="7">AGUANORT!$A$1:$X$1</definedName>
    <definedName name="_xlnm._FilterDatabase" localSheetId="8">BAI!$A$1:$X$1</definedName>
    <definedName name="_xlnm._FilterDatabase" localSheetId="12">DICOSPA!$A$1:$Y$1</definedName>
    <definedName name="_xlnm._FilterDatabase" localSheetId="9">'DOBLE COLA'!$A$1:$U$1</definedName>
    <definedName name="_xlnm._FilterDatabase" localSheetId="17">GOLOMAX!$A$1:$Z$1</definedName>
    <definedName name="_xlnm._FilterDatabase" localSheetId="21">GRANEL!$A$1:$Z$1</definedName>
    <definedName name="_xlnm._FilterDatabase" localSheetId="5">'HC-LASVEGAS'!$A$1:$X$1</definedName>
    <definedName name="_xlnm._FilterDatabase" localSheetId="3">INSUMOS!$A$1:$X$1</definedName>
    <definedName name="_xlnm._FilterDatabase" localSheetId="15">LADIAR!$A$1:$X$1</definedName>
    <definedName name="_xlnm._FilterDatabase" localSheetId="1" hidden="1">LISTAS!$A$1:$E$1</definedName>
    <definedName name="_xlnm._FilterDatabase" localSheetId="19">MAYORISTAS!$A$1:$Z$1</definedName>
    <definedName name="_xlnm._FilterDatabase" localSheetId="16">MONDELEZ!$A$1:$Z$1</definedName>
    <definedName name="_xlnm._FilterDatabase" localSheetId="11">OSLE!$A$1:$Y$1</definedName>
    <definedName name="_xlnm._FilterDatabase" localSheetId="18">'POP SALADO'!$A$1:$Z$1</definedName>
    <definedName name="_xlnm._FilterDatabase" localSheetId="2">PROMOCIONES!$A$1:$Z$1</definedName>
    <definedName name="_xlnm._FilterDatabase" localSheetId="20">QUENTO!$A$1:$Z$1</definedName>
    <definedName name="_xlnm._FilterDatabase" localSheetId="6">SPEED!$A$1:$Z$1</definedName>
    <definedName name="_xlnm._FilterDatabase" localSheetId="4">VENEZOLANO!$A$1:$S$1</definedName>
    <definedName name="_xlnm._FilterDatabase" localSheetId="10">YAMANIL!$A$1:$X$1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5" i="22" l="1"/>
  <c r="AB315" i="22"/>
  <c r="F315" i="22"/>
  <c r="L315" i="22" s="1"/>
  <c r="N315" i="22" s="1"/>
  <c r="O315" i="22" s="1"/>
  <c r="C315" i="22"/>
  <c r="C313" i="22"/>
  <c r="C314" i="22"/>
  <c r="F313" i="22"/>
  <c r="F314" i="22"/>
  <c r="L313" i="22"/>
  <c r="L314" i="22"/>
  <c r="N313" i="22"/>
  <c r="N314" i="22"/>
  <c r="O313" i="22"/>
  <c r="O314" i="22"/>
  <c r="R313" i="22"/>
  <c r="R314" i="22"/>
  <c r="AB313" i="22"/>
  <c r="AB314" i="22"/>
  <c r="AH313" i="22"/>
  <c r="AH314" i="22"/>
  <c r="AH312" i="22"/>
  <c r="AB312" i="22"/>
  <c r="R312" i="22"/>
  <c r="F312" i="22"/>
  <c r="L312" i="22" s="1"/>
  <c r="N312" i="22" s="1"/>
  <c r="O312" i="22" s="1"/>
  <c r="C312" i="22"/>
  <c r="AH311" i="22"/>
  <c r="AB311" i="22"/>
  <c r="F311" i="22"/>
  <c r="L311" i="22" s="1"/>
  <c r="N311" i="22" s="1"/>
  <c r="O311" i="22" s="1"/>
  <c r="C311" i="22"/>
  <c r="AH310" i="22"/>
  <c r="AB310" i="22"/>
  <c r="F310" i="22"/>
  <c r="L310" i="22" s="1"/>
  <c r="N310" i="22" s="1"/>
  <c r="O310" i="22" s="1"/>
  <c r="C310" i="22"/>
  <c r="AH309" i="22"/>
  <c r="AB309" i="22"/>
  <c r="F309" i="22"/>
  <c r="L309" i="22" s="1"/>
  <c r="N309" i="22" s="1"/>
  <c r="O309" i="22" s="1"/>
  <c r="C309" i="22"/>
  <c r="AH308" i="22"/>
  <c r="AB308" i="22"/>
  <c r="F308" i="22"/>
  <c r="L308" i="22" s="1"/>
  <c r="N308" i="22" s="1"/>
  <c r="O308" i="22" s="1"/>
  <c r="C308" i="22"/>
  <c r="AH307" i="22"/>
  <c r="AB307" i="22"/>
  <c r="F307" i="22"/>
  <c r="L307" i="22" s="1"/>
  <c r="N307" i="22" s="1"/>
  <c r="O307" i="22" s="1"/>
  <c r="C307" i="22"/>
  <c r="AH306" i="22"/>
  <c r="AB306" i="22"/>
  <c r="F306" i="22"/>
  <c r="L306" i="22" s="1"/>
  <c r="N306" i="22" s="1"/>
  <c r="O306" i="22" s="1"/>
  <c r="C306" i="22"/>
  <c r="AH8" i="26"/>
  <c r="R8" i="26"/>
  <c r="F8" i="26"/>
  <c r="L8" i="26" s="1"/>
  <c r="C8" i="26"/>
  <c r="AH305" i="22"/>
  <c r="AB305" i="22"/>
  <c r="F305" i="22"/>
  <c r="L305" i="22" s="1"/>
  <c r="N305" i="22" s="1"/>
  <c r="O305" i="22" s="1"/>
  <c r="C305" i="22"/>
  <c r="AH10" i="39"/>
  <c r="AB10" i="39"/>
  <c r="X10" i="39"/>
  <c r="L10" i="39"/>
  <c r="N10" i="39" s="1"/>
  <c r="C10" i="39"/>
  <c r="AH304" i="22"/>
  <c r="AB304" i="22"/>
  <c r="R304" i="22"/>
  <c r="F304" i="22"/>
  <c r="L304" i="22" s="1"/>
  <c r="N304" i="22" s="1"/>
  <c r="O304" i="22" s="1"/>
  <c r="C304" i="22"/>
  <c r="AH148" i="28"/>
  <c r="R148" i="28"/>
  <c r="L148" i="28"/>
  <c r="C148" i="28"/>
  <c r="AH147" i="28"/>
  <c r="R147" i="28"/>
  <c r="L147" i="28"/>
  <c r="C147" i="28"/>
  <c r="AH303" i="22"/>
  <c r="AB303" i="22"/>
  <c r="F303" i="22"/>
  <c r="L303" i="22" s="1"/>
  <c r="N303" i="22" s="1"/>
  <c r="O303" i="22" s="1"/>
  <c r="C303" i="22"/>
  <c r="AH302" i="22"/>
  <c r="AB302" i="22"/>
  <c r="R302" i="22"/>
  <c r="F302" i="22"/>
  <c r="L302" i="22" s="1"/>
  <c r="N302" i="22" s="1"/>
  <c r="O302" i="22" s="1"/>
  <c r="C302" i="22"/>
  <c r="AH301" i="22"/>
  <c r="AB301" i="22"/>
  <c r="R301" i="22"/>
  <c r="F301" i="22"/>
  <c r="L301" i="22" s="1"/>
  <c r="N301" i="22" s="1"/>
  <c r="O301" i="22" s="1"/>
  <c r="C301" i="22"/>
  <c r="AH60" i="28"/>
  <c r="R60" i="28"/>
  <c r="L60" i="28"/>
  <c r="C60" i="28"/>
  <c r="AH4" i="28"/>
  <c r="R4" i="28"/>
  <c r="L4" i="28"/>
  <c r="C4" i="28"/>
  <c r="AH3" i="28"/>
  <c r="R3" i="28"/>
  <c r="L3" i="28"/>
  <c r="C3" i="28"/>
  <c r="AH300" i="22"/>
  <c r="AB300" i="22"/>
  <c r="R300" i="22"/>
  <c r="F300" i="22"/>
  <c r="L300" i="22" s="1"/>
  <c r="N300" i="22" s="1"/>
  <c r="O300" i="22" s="1"/>
  <c r="C300" i="22"/>
  <c r="L3" i="39"/>
  <c r="N3" i="39" s="1"/>
  <c r="L4" i="39"/>
  <c r="N4" i="39" s="1"/>
  <c r="L5" i="39"/>
  <c r="L7" i="39"/>
  <c r="N7" i="39" s="1"/>
  <c r="L2" i="39"/>
  <c r="N2" i="39" s="1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O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F5" i="40"/>
  <c r="O2" i="40"/>
  <c r="O3" i="40"/>
  <c r="O4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N2" i="40"/>
  <c r="N3" i="40"/>
  <c r="N4" i="40"/>
  <c r="N10" i="40"/>
  <c r="N11" i="40"/>
  <c r="N12" i="40"/>
  <c r="N13" i="40"/>
  <c r="N14" i="40"/>
  <c r="N15" i="40"/>
  <c r="N16" i="40"/>
  <c r="N17" i="40"/>
  <c r="N18" i="40"/>
  <c r="N19" i="40"/>
  <c r="N20" i="40"/>
  <c r="N21" i="40"/>
  <c r="N22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39" i="40"/>
  <c r="N40" i="40"/>
  <c r="N41" i="40"/>
  <c r="N42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59" i="40"/>
  <c r="N60" i="40"/>
  <c r="F25" i="40"/>
  <c r="AH25" i="40"/>
  <c r="R25" i="40"/>
  <c r="L25" i="40"/>
  <c r="C25" i="40"/>
  <c r="F15" i="40"/>
  <c r="F13" i="40"/>
  <c r="L2" i="40"/>
  <c r="L5" i="40"/>
  <c r="N5" i="40" s="1"/>
  <c r="O5" i="40" s="1"/>
  <c r="L10" i="40"/>
  <c r="L11" i="40"/>
  <c r="L13" i="40"/>
  <c r="L15" i="40"/>
  <c r="L21" i="40"/>
  <c r="L26" i="40"/>
  <c r="L28" i="40"/>
  <c r="L29" i="40"/>
  <c r="L30" i="40"/>
  <c r="L32" i="40"/>
  <c r="L37" i="40"/>
  <c r="L38" i="40"/>
  <c r="L39" i="40"/>
  <c r="L40" i="40"/>
  <c r="L41" i="40"/>
  <c r="L45" i="40"/>
  <c r="L48" i="40"/>
  <c r="L49" i="40"/>
  <c r="L50" i="40"/>
  <c r="L51" i="40"/>
  <c r="L52" i="40"/>
  <c r="L53" i="40"/>
  <c r="L57" i="40"/>
  <c r="L58" i="40"/>
  <c r="L59" i="40"/>
  <c r="L60" i="40"/>
  <c r="N2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L2" i="34"/>
  <c r="L3" i="34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L50" i="34"/>
  <c r="L51" i="34"/>
  <c r="L52" i="34"/>
  <c r="L53" i="34"/>
  <c r="L54" i="34"/>
  <c r="L55" i="34"/>
  <c r="L56" i="34"/>
  <c r="L57" i="34"/>
  <c r="L58" i="34"/>
  <c r="L59" i="34"/>
  <c r="L60" i="34"/>
  <c r="L61" i="34"/>
  <c r="L62" i="34"/>
  <c r="L63" i="34"/>
  <c r="L64" i="34"/>
  <c r="L65" i="34"/>
  <c r="L66" i="34"/>
  <c r="L67" i="34"/>
  <c r="L68" i="34"/>
  <c r="L69" i="34"/>
  <c r="L70" i="34"/>
  <c r="L71" i="34"/>
  <c r="L72" i="34"/>
  <c r="L73" i="34"/>
  <c r="L74" i="34"/>
  <c r="L75" i="34"/>
  <c r="L76" i="34"/>
  <c r="L77" i="34"/>
  <c r="L78" i="34"/>
  <c r="L79" i="34"/>
  <c r="L80" i="34"/>
  <c r="L81" i="34"/>
  <c r="L82" i="34"/>
  <c r="L83" i="34"/>
  <c r="L84" i="34"/>
  <c r="L85" i="34"/>
  <c r="L86" i="34"/>
  <c r="L87" i="34"/>
  <c r="L88" i="34"/>
  <c r="L89" i="34"/>
  <c r="L90" i="34"/>
  <c r="L91" i="34"/>
  <c r="L92" i="34"/>
  <c r="L93" i="34"/>
  <c r="L2" i="33"/>
  <c r="N2" i="33" s="1"/>
  <c r="L3" i="33"/>
  <c r="N3" i="33" s="1"/>
  <c r="L6" i="33"/>
  <c r="N6" i="33" s="1"/>
  <c r="L7" i="33"/>
  <c r="N7" i="33" s="1"/>
  <c r="L8" i="33"/>
  <c r="N8" i="33" s="1"/>
  <c r="L9" i="33"/>
  <c r="N9" i="33" s="1"/>
  <c r="L10" i="33"/>
  <c r="N10" i="33" s="1"/>
  <c r="L11" i="33"/>
  <c r="N11" i="33" s="1"/>
  <c r="L12" i="33"/>
  <c r="N12" i="33" s="1"/>
  <c r="L13" i="33"/>
  <c r="N13" i="33" s="1"/>
  <c r="L15" i="33"/>
  <c r="N15" i="33" s="1"/>
  <c r="L16" i="33"/>
  <c r="N16" i="33" s="1"/>
  <c r="L17" i="33"/>
  <c r="N17" i="33" s="1"/>
  <c r="O17" i="33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2" i="24"/>
  <c r="J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88" i="34"/>
  <c r="J89" i="34"/>
  <c r="J90" i="34"/>
  <c r="J91" i="34"/>
  <c r="J92" i="34"/>
  <c r="J93" i="34"/>
  <c r="J2" i="34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L2" i="15"/>
  <c r="N2" i="15" s="1"/>
  <c r="L3" i="15"/>
  <c r="N3" i="15" s="1"/>
  <c r="L4" i="15"/>
  <c r="N4" i="15" s="1"/>
  <c r="L5" i="15"/>
  <c r="N5" i="15" s="1"/>
  <c r="L6" i="15"/>
  <c r="N6" i="15" s="1"/>
  <c r="L7" i="15"/>
  <c r="N7" i="15" s="1"/>
  <c r="L8" i="15"/>
  <c r="N8" i="15" s="1"/>
  <c r="L9" i="15"/>
  <c r="N9" i="15" s="1"/>
  <c r="L10" i="15"/>
  <c r="N10" i="15" s="1"/>
  <c r="L11" i="15"/>
  <c r="N11" i="15" s="1"/>
  <c r="L12" i="15"/>
  <c r="N12" i="15" s="1"/>
  <c r="L13" i="15"/>
  <c r="N13" i="15" s="1"/>
  <c r="L14" i="15"/>
  <c r="N14" i="15" s="1"/>
  <c r="L15" i="15"/>
  <c r="N15" i="15" s="1"/>
  <c r="L16" i="15"/>
  <c r="N16" i="15" s="1"/>
  <c r="L17" i="15"/>
  <c r="N17" i="15" s="1"/>
  <c r="L18" i="15"/>
  <c r="N18" i="15" s="1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AH299" i="22"/>
  <c r="AB299" i="22"/>
  <c r="F299" i="22"/>
  <c r="L299" i="22" s="1"/>
  <c r="N299" i="22" s="1"/>
  <c r="O299" i="22" s="1"/>
  <c r="C299" i="22"/>
  <c r="AH65" i="23"/>
  <c r="R65" i="23"/>
  <c r="C65" i="23"/>
  <c r="AH124" i="23"/>
  <c r="R124" i="23"/>
  <c r="C124" i="23"/>
  <c r="L3" i="20"/>
  <c r="N3" i="20" s="1"/>
  <c r="L4" i="20"/>
  <c r="N4" i="20" s="1"/>
  <c r="L5" i="20"/>
  <c r="N5" i="20" s="1"/>
  <c r="L6" i="20"/>
  <c r="N6" i="20" s="1"/>
  <c r="L7" i="20"/>
  <c r="N7" i="20" s="1"/>
  <c r="L8" i="20"/>
  <c r="N8" i="20" s="1"/>
  <c r="L9" i="20"/>
  <c r="N9" i="20" s="1"/>
  <c r="L10" i="20"/>
  <c r="N10" i="20" s="1"/>
  <c r="L11" i="20"/>
  <c r="N11" i="20" s="1"/>
  <c r="L12" i="20"/>
  <c r="N12" i="20" s="1"/>
  <c r="L13" i="20"/>
  <c r="N13" i="20" s="1"/>
  <c r="L14" i="20"/>
  <c r="N14" i="20" s="1"/>
  <c r="L15" i="20"/>
  <c r="N15" i="20" s="1"/>
  <c r="L16" i="20"/>
  <c r="N16" i="20" s="1"/>
  <c r="L17" i="20"/>
  <c r="N17" i="20" s="1"/>
  <c r="L18" i="20"/>
  <c r="N18" i="20" s="1"/>
  <c r="L19" i="20"/>
  <c r="N19" i="20" s="1"/>
  <c r="L20" i="20"/>
  <c r="N20" i="20" s="1"/>
  <c r="L21" i="20"/>
  <c r="N21" i="20" s="1"/>
  <c r="L22" i="20"/>
  <c r="N22" i="20" s="1"/>
  <c r="L23" i="20"/>
  <c r="N23" i="20" s="1"/>
  <c r="L24" i="20"/>
  <c r="N24" i="20" s="1"/>
  <c r="L25" i="20"/>
  <c r="N25" i="20" s="1"/>
  <c r="L26" i="20"/>
  <c r="N26" i="20" s="1"/>
  <c r="L27" i="20"/>
  <c r="N27" i="20" s="1"/>
  <c r="L28" i="20"/>
  <c r="N28" i="20" s="1"/>
  <c r="AH28" i="20"/>
  <c r="AB28" i="20"/>
  <c r="AH27" i="20"/>
  <c r="AB27" i="20"/>
  <c r="AH26" i="20"/>
  <c r="AB26" i="20"/>
  <c r="AH25" i="20"/>
  <c r="AB25" i="20"/>
  <c r="AH24" i="20"/>
  <c r="AB24" i="20"/>
  <c r="AH23" i="20"/>
  <c r="AB23" i="20"/>
  <c r="AH22" i="20"/>
  <c r="AB22" i="20"/>
  <c r="AH21" i="20"/>
  <c r="AB21" i="20"/>
  <c r="AH20" i="20"/>
  <c r="AB20" i="20"/>
  <c r="AH19" i="20"/>
  <c r="AB19" i="20"/>
  <c r="AH18" i="20"/>
  <c r="AB18" i="20"/>
  <c r="AH17" i="20"/>
  <c r="AB17" i="20"/>
  <c r="AH16" i="20"/>
  <c r="AB16" i="20"/>
  <c r="AH15" i="20"/>
  <c r="AB15" i="20"/>
  <c r="AH14" i="20"/>
  <c r="AB14" i="20"/>
  <c r="AH13" i="20"/>
  <c r="AB13" i="20"/>
  <c r="AH12" i="20"/>
  <c r="AB12" i="20"/>
  <c r="AH11" i="20"/>
  <c r="AB11" i="20"/>
  <c r="AH10" i="20"/>
  <c r="AB10" i="20"/>
  <c r="AH9" i="20"/>
  <c r="AB9" i="20"/>
  <c r="AH8" i="20"/>
  <c r="AB8" i="20"/>
  <c r="AH7" i="20"/>
  <c r="AB7" i="20"/>
  <c r="AH6" i="20"/>
  <c r="AB6" i="20"/>
  <c r="AH5" i="20"/>
  <c r="AB5" i="20"/>
  <c r="AH4" i="20"/>
  <c r="AB4" i="20"/>
  <c r="AH3" i="20"/>
  <c r="AB3" i="20"/>
  <c r="AH2" i="20"/>
  <c r="L2" i="20"/>
  <c r="AB2" i="20" s="1"/>
  <c r="R26" i="20"/>
  <c r="O26" i="20"/>
  <c r="C26" i="20"/>
  <c r="R19" i="20"/>
  <c r="O19" i="20"/>
  <c r="C19" i="20"/>
  <c r="R18" i="20"/>
  <c r="O18" i="20"/>
  <c r="C18" i="20"/>
  <c r="R17" i="20"/>
  <c r="O17" i="20"/>
  <c r="C17" i="20"/>
  <c r="R15" i="20"/>
  <c r="O15" i="20"/>
  <c r="C15" i="20"/>
  <c r="C25" i="20"/>
  <c r="O25" i="20"/>
  <c r="R25" i="20"/>
  <c r="AH127" i="22"/>
  <c r="AB127" i="22"/>
  <c r="F127" i="22"/>
  <c r="L127" i="22" s="1"/>
  <c r="N127" i="22" s="1"/>
  <c r="O127" i="22" s="1"/>
  <c r="C127" i="22"/>
  <c r="AH126" i="22"/>
  <c r="AB126" i="22"/>
  <c r="F126" i="22"/>
  <c r="L126" i="22" s="1"/>
  <c r="N126" i="22" s="1"/>
  <c r="O126" i="22" s="1"/>
  <c r="C126" i="22"/>
  <c r="AH117" i="22"/>
  <c r="AB117" i="22"/>
  <c r="F117" i="22"/>
  <c r="L117" i="22" s="1"/>
  <c r="N117" i="22" s="1"/>
  <c r="O117" i="22" s="1"/>
  <c r="C117" i="22"/>
  <c r="AH116" i="22"/>
  <c r="AB116" i="22"/>
  <c r="F116" i="22"/>
  <c r="L116" i="22" s="1"/>
  <c r="N116" i="22" s="1"/>
  <c r="O116" i="22" s="1"/>
  <c r="C116" i="22"/>
  <c r="AH115" i="22"/>
  <c r="AB115" i="22"/>
  <c r="F115" i="22"/>
  <c r="L115" i="22" s="1"/>
  <c r="N115" i="22" s="1"/>
  <c r="O115" i="22" s="1"/>
  <c r="C115" i="22"/>
  <c r="AH114" i="22"/>
  <c r="AB114" i="22"/>
  <c r="F114" i="22"/>
  <c r="L114" i="22" s="1"/>
  <c r="N114" i="22" s="1"/>
  <c r="O114" i="22" s="1"/>
  <c r="C114" i="22"/>
  <c r="F25" i="29"/>
  <c r="F20" i="29"/>
  <c r="F9" i="29"/>
  <c r="F5" i="29"/>
  <c r="N2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AH9" i="17"/>
  <c r="Y9" i="17"/>
  <c r="R9" i="17"/>
  <c r="K9" i="17"/>
  <c r="J9" i="17"/>
  <c r="F9" i="17"/>
  <c r="L9" i="17" s="1"/>
  <c r="C9" i="17"/>
  <c r="AH13" i="17"/>
  <c r="R13" i="17"/>
  <c r="K13" i="17"/>
  <c r="J13" i="17"/>
  <c r="C13" i="17"/>
  <c r="L178" i="26"/>
  <c r="N178" i="26" s="1"/>
  <c r="F121" i="26"/>
  <c r="F122" i="26"/>
  <c r="F123" i="26"/>
  <c r="F116" i="26"/>
  <c r="F128" i="26"/>
  <c r="F129" i="26" s="1"/>
  <c r="AH128" i="26"/>
  <c r="R128" i="26"/>
  <c r="L128" i="26"/>
  <c r="N128" i="26" s="1"/>
  <c r="C128" i="26"/>
  <c r="F98" i="26"/>
  <c r="F47" i="26"/>
  <c r="C17" i="33"/>
  <c r="AB17" i="33"/>
  <c r="AH17" i="33"/>
  <c r="AH24" i="40"/>
  <c r="R24" i="40"/>
  <c r="C24" i="40"/>
  <c r="Y19" i="40"/>
  <c r="Y16" i="40"/>
  <c r="Y15" i="40"/>
  <c r="AH60" i="40"/>
  <c r="R60" i="40"/>
  <c r="C60" i="40"/>
  <c r="AH59" i="40"/>
  <c r="R59" i="40"/>
  <c r="AB59" i="40"/>
  <c r="AH50" i="40"/>
  <c r="R50" i="40"/>
  <c r="C50" i="40"/>
  <c r="R15" i="33"/>
  <c r="AH3" i="33"/>
  <c r="AH4" i="33"/>
  <c r="AH5" i="33"/>
  <c r="AH6" i="33"/>
  <c r="AH7" i="33"/>
  <c r="AH8" i="33"/>
  <c r="AH9" i="33"/>
  <c r="AH10" i="33"/>
  <c r="AH11" i="33"/>
  <c r="AH12" i="33"/>
  <c r="AH13" i="33"/>
  <c r="AH14" i="33"/>
  <c r="AH15" i="33"/>
  <c r="AH16" i="33"/>
  <c r="AH2" i="33"/>
  <c r="AH2" i="24"/>
  <c r="AH3" i="24"/>
  <c r="AH4" i="24"/>
  <c r="AH5" i="24"/>
  <c r="AH6" i="24"/>
  <c r="AH7" i="24"/>
  <c r="AH8" i="24"/>
  <c r="AH9" i="24"/>
  <c r="AH10" i="24"/>
  <c r="AH11" i="24"/>
  <c r="AH12" i="24"/>
  <c r="AH13" i="24"/>
  <c r="AH14" i="24"/>
  <c r="AH15" i="24"/>
  <c r="AH16" i="24"/>
  <c r="AH17" i="24"/>
  <c r="AH18" i="24"/>
  <c r="AH19" i="24"/>
  <c r="AH20" i="24"/>
  <c r="AH21" i="24"/>
  <c r="AH22" i="24"/>
  <c r="AH23" i="24"/>
  <c r="AH24" i="24"/>
  <c r="AH25" i="24"/>
  <c r="AH26" i="24"/>
  <c r="AH27" i="24"/>
  <c r="AH28" i="24"/>
  <c r="AH29" i="24"/>
  <c r="AH30" i="24"/>
  <c r="AH31" i="24"/>
  <c r="AH32" i="24"/>
  <c r="AH33" i="24"/>
  <c r="AH34" i="24"/>
  <c r="AH35" i="24"/>
  <c r="AH36" i="24"/>
  <c r="AH37" i="24"/>
  <c r="AH38" i="24"/>
  <c r="AH39" i="24"/>
  <c r="AH40" i="24"/>
  <c r="AH41" i="24"/>
  <c r="AH42" i="24"/>
  <c r="AH43" i="24"/>
  <c r="AH44" i="24"/>
  <c r="AH45" i="24"/>
  <c r="AH46" i="24"/>
  <c r="AH47" i="24"/>
  <c r="AH48" i="24"/>
  <c r="AH49" i="24"/>
  <c r="AH50" i="24"/>
  <c r="AH51" i="24"/>
  <c r="AH52" i="24"/>
  <c r="AH53" i="24"/>
  <c r="AH54" i="24"/>
  <c r="AH55" i="24"/>
  <c r="AH56" i="24"/>
  <c r="AH57" i="24"/>
  <c r="AH58" i="24"/>
  <c r="AH59" i="24"/>
  <c r="AB2" i="24"/>
  <c r="AB3" i="24"/>
  <c r="AB4" i="24"/>
  <c r="AB5" i="24"/>
  <c r="AB6" i="24"/>
  <c r="AB7" i="24"/>
  <c r="AB8" i="24"/>
  <c r="AB9" i="24"/>
  <c r="AB10" i="24"/>
  <c r="AB11" i="24"/>
  <c r="AB12" i="24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39" i="24"/>
  <c r="AB40" i="24"/>
  <c r="AB41" i="24"/>
  <c r="AB42" i="24"/>
  <c r="AB43" i="24"/>
  <c r="AB44" i="24"/>
  <c r="AB45" i="24"/>
  <c r="AB46" i="24"/>
  <c r="AB47" i="24"/>
  <c r="AB48" i="24"/>
  <c r="AB49" i="24"/>
  <c r="AB50" i="24"/>
  <c r="AB51" i="24"/>
  <c r="AB52" i="24"/>
  <c r="AB53" i="24"/>
  <c r="AB54" i="24"/>
  <c r="AB55" i="24"/>
  <c r="AB56" i="24"/>
  <c r="AB57" i="24"/>
  <c r="AB58" i="24"/>
  <c r="AB59" i="24"/>
  <c r="F30" i="24"/>
  <c r="F31" i="24"/>
  <c r="F29" i="24"/>
  <c r="O2" i="24"/>
  <c r="O3" i="24"/>
  <c r="O4" i="24"/>
  <c r="O5" i="24"/>
  <c r="O6" i="24"/>
  <c r="O10" i="24"/>
  <c r="O14" i="24"/>
  <c r="AH9" i="26"/>
  <c r="R9" i="26"/>
  <c r="C9" i="26"/>
  <c r="AH3" i="26"/>
  <c r="R3" i="26"/>
  <c r="C3" i="26"/>
  <c r="V89" i="34"/>
  <c r="X89" i="34"/>
  <c r="Y89" i="34"/>
  <c r="V90" i="34"/>
  <c r="X90" i="34"/>
  <c r="Y90" i="34"/>
  <c r="V91" i="34"/>
  <c r="X91" i="34"/>
  <c r="Y91" i="34"/>
  <c r="V92" i="34"/>
  <c r="X92" i="34"/>
  <c r="Y92" i="34"/>
  <c r="V93" i="34"/>
  <c r="X93" i="34"/>
  <c r="Y93" i="34"/>
  <c r="V88" i="34"/>
  <c r="X88" i="34" s="1"/>
  <c r="Y88" i="34" s="1"/>
  <c r="C93" i="34"/>
  <c r="AH93" i="34"/>
  <c r="C92" i="34"/>
  <c r="AH92" i="34"/>
  <c r="C91" i="34"/>
  <c r="AH91" i="34"/>
  <c r="C90" i="34"/>
  <c r="AH90" i="34"/>
  <c r="C89" i="34"/>
  <c r="AH89" i="34"/>
  <c r="C88" i="34"/>
  <c r="AH88" i="34"/>
  <c r="AH87" i="23"/>
  <c r="R87" i="23"/>
  <c r="C87" i="23"/>
  <c r="F27" i="2"/>
  <c r="AH28" i="2"/>
  <c r="R28" i="2"/>
  <c r="L28" i="2"/>
  <c r="N28" i="2" s="1"/>
  <c r="O28" i="2" s="1"/>
  <c r="C28" i="2"/>
  <c r="AH27" i="2"/>
  <c r="R27" i="2"/>
  <c r="L27" i="2"/>
  <c r="N27" i="2" s="1"/>
  <c r="O27" i="2" s="1"/>
  <c r="C27" i="2"/>
  <c r="AH26" i="2"/>
  <c r="R26" i="2"/>
  <c r="L26" i="2"/>
  <c r="N26" i="2" s="1"/>
  <c r="O26" i="2" s="1"/>
  <c r="C26" i="2"/>
  <c r="AH25" i="2"/>
  <c r="R25" i="2"/>
  <c r="L25" i="2"/>
  <c r="C25" i="2"/>
  <c r="AH31" i="19"/>
  <c r="R31" i="19"/>
  <c r="C31" i="19"/>
  <c r="AH30" i="19"/>
  <c r="R30" i="19"/>
  <c r="C30" i="19"/>
  <c r="AH29" i="19"/>
  <c r="R29" i="19"/>
  <c r="C29" i="19"/>
  <c r="AH65" i="34"/>
  <c r="X65" i="34"/>
  <c r="Y65" i="34" s="1"/>
  <c r="V65" i="34"/>
  <c r="C65" i="34"/>
  <c r="AH59" i="34"/>
  <c r="V59" i="34"/>
  <c r="X59" i="34" s="1"/>
  <c r="Y59" i="34" s="1"/>
  <c r="C59" i="34"/>
  <c r="AH58" i="34"/>
  <c r="V58" i="34"/>
  <c r="X58" i="34" s="1"/>
  <c r="Y58" i="34" s="1"/>
  <c r="C58" i="34"/>
  <c r="AH42" i="34"/>
  <c r="V42" i="34"/>
  <c r="X42" i="34" s="1"/>
  <c r="Y42" i="34" s="1"/>
  <c r="C42" i="34"/>
  <c r="AH40" i="34"/>
  <c r="V40" i="34"/>
  <c r="X40" i="34" s="1"/>
  <c r="Y40" i="34" s="1"/>
  <c r="C40" i="34"/>
  <c r="F34" i="34"/>
  <c r="F31" i="34"/>
  <c r="F32" i="34" s="1"/>
  <c r="AH15" i="34"/>
  <c r="V15" i="34"/>
  <c r="X15" i="34" s="1"/>
  <c r="Y15" i="34" s="1"/>
  <c r="C15" i="34"/>
  <c r="AH22" i="34"/>
  <c r="W22" i="34"/>
  <c r="X22" i="34" s="1"/>
  <c r="Y22" i="34" s="1"/>
  <c r="V22" i="34"/>
  <c r="C22" i="34"/>
  <c r="W21" i="34"/>
  <c r="W56" i="34"/>
  <c r="W55" i="34"/>
  <c r="W9" i="34"/>
  <c r="W10" i="34"/>
  <c r="AH82" i="34"/>
  <c r="V82" i="34"/>
  <c r="X82" i="34" s="1"/>
  <c r="Y82" i="34" s="1"/>
  <c r="C82" i="34"/>
  <c r="X3" i="34"/>
  <c r="X4" i="34"/>
  <c r="X5" i="34"/>
  <c r="X6" i="34"/>
  <c r="X19" i="34"/>
  <c r="X72" i="34"/>
  <c r="X46" i="34"/>
  <c r="X47" i="34"/>
  <c r="X71" i="34"/>
  <c r="X53" i="34"/>
  <c r="X64" i="34"/>
  <c r="X74" i="34"/>
  <c r="X67" i="34"/>
  <c r="X68" i="34"/>
  <c r="X75" i="34"/>
  <c r="X63" i="34"/>
  <c r="X25" i="34"/>
  <c r="X28" i="34"/>
  <c r="X48" i="34"/>
  <c r="X51" i="34"/>
  <c r="X12" i="34"/>
  <c r="X66" i="34"/>
  <c r="X9" i="34"/>
  <c r="X10" i="34"/>
  <c r="X85" i="34"/>
  <c r="X87" i="34"/>
  <c r="X55" i="34"/>
  <c r="X21" i="34"/>
  <c r="X30" i="34"/>
  <c r="X31" i="34"/>
  <c r="X35" i="34"/>
  <c r="X36" i="34"/>
  <c r="X34" i="34"/>
  <c r="W24" i="34"/>
  <c r="Y3" i="34"/>
  <c r="Y4" i="34"/>
  <c r="Y5" i="34"/>
  <c r="Y6" i="34"/>
  <c r="Y19" i="34"/>
  <c r="Y72" i="34"/>
  <c r="Y46" i="34"/>
  <c r="Y47" i="34"/>
  <c r="Y71" i="34"/>
  <c r="Y53" i="34"/>
  <c r="Y64" i="34"/>
  <c r="Y74" i="34"/>
  <c r="Y67" i="34"/>
  <c r="Y68" i="34"/>
  <c r="Y75" i="34"/>
  <c r="Y63" i="34"/>
  <c r="Y25" i="34"/>
  <c r="Y28" i="34"/>
  <c r="Y48" i="34"/>
  <c r="Y51" i="34"/>
  <c r="Y12" i="34"/>
  <c r="Y66" i="34"/>
  <c r="Y9" i="34"/>
  <c r="Y10" i="34"/>
  <c r="Y85" i="34"/>
  <c r="Y87" i="34"/>
  <c r="Y55" i="34"/>
  <c r="Y21" i="34"/>
  <c r="Y30" i="34"/>
  <c r="Y31" i="34"/>
  <c r="Y35" i="34"/>
  <c r="Y36" i="34"/>
  <c r="Y34" i="34"/>
  <c r="AA3" i="35"/>
  <c r="AB3" i="35"/>
  <c r="AA4" i="35"/>
  <c r="AB4" i="35"/>
  <c r="AA5" i="35"/>
  <c r="AB5" i="35"/>
  <c r="AA6" i="35"/>
  <c r="AB6" i="35"/>
  <c r="AA7" i="35"/>
  <c r="AB7" i="35"/>
  <c r="AA8" i="35"/>
  <c r="AB8" i="35"/>
  <c r="AA9" i="35"/>
  <c r="AB9" i="35"/>
  <c r="AA10" i="35"/>
  <c r="AB10" i="35"/>
  <c r="AA11" i="35"/>
  <c r="AB11" i="35"/>
  <c r="AA12" i="35"/>
  <c r="AB12" i="35"/>
  <c r="AA13" i="35"/>
  <c r="AB13" i="35"/>
  <c r="AA14" i="35"/>
  <c r="AB14" i="35"/>
  <c r="AA15" i="35"/>
  <c r="AB15" i="35"/>
  <c r="AA2" i="35"/>
  <c r="AB2" i="35" s="1"/>
  <c r="AB7" i="21"/>
  <c r="AC7" i="21"/>
  <c r="AA6" i="21"/>
  <c r="AB6" i="21" s="1"/>
  <c r="AC6" i="21" s="1"/>
  <c r="AA9" i="21"/>
  <c r="AB9" i="21" s="1"/>
  <c r="AC9" i="21" s="1"/>
  <c r="AA13" i="21"/>
  <c r="AB13" i="21" s="1"/>
  <c r="AC13" i="21" s="1"/>
  <c r="AA14" i="21"/>
  <c r="AB14" i="21" s="1"/>
  <c r="AC14" i="21" s="1"/>
  <c r="Y7" i="21"/>
  <c r="AA7" i="21" s="1"/>
  <c r="AA12" i="21"/>
  <c r="AB12" i="21" s="1"/>
  <c r="AC12" i="21" s="1"/>
  <c r="N234" i="22"/>
  <c r="N235" i="22"/>
  <c r="AH153" i="22"/>
  <c r="AB153" i="22"/>
  <c r="R153" i="22"/>
  <c r="F153" i="22"/>
  <c r="L153" i="22" s="1"/>
  <c r="C153" i="22"/>
  <c r="F96" i="26"/>
  <c r="AH183" i="26"/>
  <c r="R183" i="26"/>
  <c r="L183" i="26"/>
  <c r="N183" i="26" s="1"/>
  <c r="C183" i="26"/>
  <c r="AH182" i="26"/>
  <c r="R182" i="26"/>
  <c r="L182" i="26"/>
  <c r="N182" i="26" s="1"/>
  <c r="C182" i="26"/>
  <c r="F108" i="26"/>
  <c r="F109" i="26" s="1"/>
  <c r="F112" i="26"/>
  <c r="F113" i="26" s="1"/>
  <c r="F119" i="26" s="1"/>
  <c r="L113" i="26"/>
  <c r="N113" i="26" s="1"/>
  <c r="AH108" i="26"/>
  <c r="R108" i="26"/>
  <c r="L108" i="26"/>
  <c r="N108" i="26" s="1"/>
  <c r="C108" i="26"/>
  <c r="AH107" i="26"/>
  <c r="R107" i="26"/>
  <c r="L107" i="26"/>
  <c r="N107" i="26" s="1"/>
  <c r="C107" i="26"/>
  <c r="AH109" i="26"/>
  <c r="R109" i="26"/>
  <c r="L109" i="26"/>
  <c r="N109" i="26" s="1"/>
  <c r="C109" i="26"/>
  <c r="AH112" i="26"/>
  <c r="R112" i="26"/>
  <c r="L112" i="26"/>
  <c r="N112" i="26" s="1"/>
  <c r="C112" i="26"/>
  <c r="AH111" i="26"/>
  <c r="R111" i="26"/>
  <c r="L111" i="26"/>
  <c r="N111" i="26" s="1"/>
  <c r="C111" i="26"/>
  <c r="AH113" i="26"/>
  <c r="R113" i="26"/>
  <c r="C113" i="26"/>
  <c r="AH47" i="26"/>
  <c r="Y47" i="26"/>
  <c r="R47" i="26"/>
  <c r="J47" i="26"/>
  <c r="L47" i="26" s="1"/>
  <c r="N47" i="26" s="1"/>
  <c r="C47" i="26"/>
  <c r="F52" i="17"/>
  <c r="F53" i="17" s="1"/>
  <c r="AH53" i="17"/>
  <c r="R53" i="17"/>
  <c r="K53" i="17"/>
  <c r="J53" i="17"/>
  <c r="L53" i="17"/>
  <c r="N53" i="17" s="1"/>
  <c r="C53" i="17"/>
  <c r="AH52" i="17"/>
  <c r="R52" i="17"/>
  <c r="K52" i="17"/>
  <c r="J52" i="17"/>
  <c r="L52" i="17"/>
  <c r="N52" i="17" s="1"/>
  <c r="C52" i="17"/>
  <c r="AH51" i="17"/>
  <c r="R51" i="17"/>
  <c r="K51" i="17"/>
  <c r="J51" i="17"/>
  <c r="C51" i="17"/>
  <c r="AH14" i="17"/>
  <c r="R14" i="17"/>
  <c r="K14" i="17"/>
  <c r="J14" i="17"/>
  <c r="L14" i="17"/>
  <c r="N14" i="17" s="1"/>
  <c r="C14" i="17"/>
  <c r="F16" i="17"/>
  <c r="F17" i="17" s="1"/>
  <c r="F18" i="17" s="1"/>
  <c r="AH146" i="28"/>
  <c r="R146" i="28"/>
  <c r="L146" i="28"/>
  <c r="C146" i="28"/>
  <c r="AH145" i="28"/>
  <c r="R145" i="28"/>
  <c r="L145" i="28"/>
  <c r="C145" i="28"/>
  <c r="AH144" i="28"/>
  <c r="R144" i="28"/>
  <c r="L144" i="28"/>
  <c r="C144" i="28"/>
  <c r="AH143" i="28"/>
  <c r="R143" i="28"/>
  <c r="L143" i="28"/>
  <c r="C143" i="28"/>
  <c r="AH142" i="28"/>
  <c r="R142" i="28"/>
  <c r="L142" i="28"/>
  <c r="C142" i="28"/>
  <c r="AH57" i="34"/>
  <c r="V57" i="34"/>
  <c r="C57" i="34"/>
  <c r="AH49" i="28"/>
  <c r="R49" i="28"/>
  <c r="L49" i="28"/>
  <c r="C49" i="28"/>
  <c r="AH48" i="28"/>
  <c r="R48" i="28"/>
  <c r="L48" i="28"/>
  <c r="C48" i="28"/>
  <c r="C16" i="33"/>
  <c r="AB16" i="33"/>
  <c r="O16" i="33"/>
  <c r="C15" i="33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F30" i="32"/>
  <c r="F31" i="32"/>
  <c r="F32" i="32"/>
  <c r="F33" i="32"/>
  <c r="F34" i="32"/>
  <c r="F35" i="32"/>
  <c r="F36" i="32"/>
  <c r="F37" i="32"/>
  <c r="F38" i="32"/>
  <c r="F39" i="32"/>
  <c r="F40" i="32"/>
  <c r="F29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13" i="32"/>
  <c r="F6" i="32"/>
  <c r="F7" i="32"/>
  <c r="F8" i="32"/>
  <c r="F5" i="32"/>
  <c r="F3" i="32"/>
  <c r="L2" i="32"/>
  <c r="AH8" i="32"/>
  <c r="AB8" i="32"/>
  <c r="R8" i="32"/>
  <c r="N8" i="32"/>
  <c r="O8" i="32" s="1"/>
  <c r="C8" i="32"/>
  <c r="N3" i="32"/>
  <c r="N4" i="32"/>
  <c r="N5" i="32"/>
  <c r="N6" i="32"/>
  <c r="N7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AH27" i="32"/>
  <c r="AB27" i="32"/>
  <c r="R27" i="32"/>
  <c r="O27" i="32"/>
  <c r="C27" i="32"/>
  <c r="AH26" i="32"/>
  <c r="AB26" i="32"/>
  <c r="R26" i="32"/>
  <c r="O26" i="32"/>
  <c r="C26" i="32"/>
  <c r="O18" i="15"/>
  <c r="R18" i="15"/>
  <c r="AH18" i="15"/>
  <c r="O17" i="15"/>
  <c r="R17" i="15"/>
  <c r="AH17" i="15"/>
  <c r="O16" i="15"/>
  <c r="R16" i="15"/>
  <c r="AH16" i="15"/>
  <c r="O15" i="15"/>
  <c r="R15" i="15"/>
  <c r="AH15" i="15"/>
  <c r="F26" i="29"/>
  <c r="F27" i="29" s="1"/>
  <c r="F10" i="29"/>
  <c r="F11" i="29" s="1"/>
  <c r="F3" i="29"/>
  <c r="F7" i="21"/>
  <c r="F8" i="21" s="1"/>
  <c r="F9" i="21" s="1"/>
  <c r="F63" i="17"/>
  <c r="F64" i="17" s="1"/>
  <c r="F65" i="17" s="1"/>
  <c r="F47" i="17"/>
  <c r="F48" i="17" s="1"/>
  <c r="F49" i="17" s="1"/>
  <c r="F50" i="17" s="1"/>
  <c r="F39" i="17"/>
  <c r="F40" i="17" s="1"/>
  <c r="F41" i="17" s="1"/>
  <c r="F42" i="17" s="1"/>
  <c r="F43" i="17" s="1"/>
  <c r="F44" i="17" s="1"/>
  <c r="F45" i="17" s="1"/>
  <c r="F35" i="17"/>
  <c r="F36" i="17" s="1"/>
  <c r="F37" i="17" s="1"/>
  <c r="F25" i="17"/>
  <c r="F26" i="17" s="1"/>
  <c r="F27" i="17" s="1"/>
  <c r="F28" i="17" s="1"/>
  <c r="F29" i="17" s="1"/>
  <c r="F30" i="17" s="1"/>
  <c r="F31" i="17" s="1"/>
  <c r="F11" i="17"/>
  <c r="F12" i="17" s="1"/>
  <c r="F13" i="17" s="1"/>
  <c r="L13" i="17" s="1"/>
  <c r="F8" i="17"/>
  <c r="F4" i="17"/>
  <c r="F5" i="17" s="1"/>
  <c r="F6" i="17" s="1"/>
  <c r="AH26" i="19"/>
  <c r="R26" i="19"/>
  <c r="J26" i="19"/>
  <c r="C26" i="19"/>
  <c r="AH27" i="19"/>
  <c r="R27" i="19"/>
  <c r="J27" i="19"/>
  <c r="C27" i="19"/>
  <c r="AH9" i="28"/>
  <c r="AH10" i="28"/>
  <c r="AH122" i="28"/>
  <c r="AH5" i="28"/>
  <c r="AH6" i="28"/>
  <c r="AH7" i="28"/>
  <c r="AH11" i="28"/>
  <c r="AH12" i="28"/>
  <c r="AH13" i="28"/>
  <c r="AH14" i="28"/>
  <c r="AH15" i="28"/>
  <c r="AH16" i="28"/>
  <c r="AH17" i="28"/>
  <c r="AH18" i="28"/>
  <c r="AH19" i="28"/>
  <c r="AH20" i="28"/>
  <c r="AH21" i="28"/>
  <c r="AH22" i="28"/>
  <c r="AH27" i="28"/>
  <c r="AH28" i="28"/>
  <c r="AH29" i="28"/>
  <c r="AH30" i="28"/>
  <c r="AH26" i="28"/>
  <c r="AH34" i="28"/>
  <c r="AH35" i="28"/>
  <c r="AH36" i="28"/>
  <c r="AH31" i="28"/>
  <c r="AH32" i="28"/>
  <c r="AH33" i="28"/>
  <c r="AH38" i="28"/>
  <c r="AH39" i="28"/>
  <c r="AH40" i="28"/>
  <c r="AH37" i="28"/>
  <c r="AH41" i="28"/>
  <c r="AH42" i="28"/>
  <c r="AH43" i="28"/>
  <c r="AH44" i="28"/>
  <c r="AH45" i="28"/>
  <c r="AH46" i="28"/>
  <c r="AH75" i="28"/>
  <c r="AH76" i="28"/>
  <c r="AH77" i="28"/>
  <c r="AH78" i="28"/>
  <c r="AH79" i="28"/>
  <c r="AH84" i="28"/>
  <c r="AH80" i="28"/>
  <c r="AH85" i="28"/>
  <c r="AH86" i="28"/>
  <c r="AH87" i="28"/>
  <c r="AH81" i="28"/>
  <c r="AH82" i="28"/>
  <c r="AH88" i="28"/>
  <c r="AH83" i="28"/>
  <c r="AH89" i="28"/>
  <c r="AH91" i="28"/>
  <c r="AH90" i="28"/>
  <c r="AH92" i="28"/>
  <c r="AH93" i="28"/>
  <c r="AH126" i="28"/>
  <c r="AH124" i="28"/>
  <c r="AH123" i="28"/>
  <c r="AH125" i="28"/>
  <c r="AH137" i="28"/>
  <c r="AH138" i="28"/>
  <c r="AH139" i="28"/>
  <c r="AH127" i="28"/>
  <c r="AH128" i="28"/>
  <c r="AH129" i="28"/>
  <c r="AH130" i="28"/>
  <c r="AH131" i="28"/>
  <c r="AH140" i="28"/>
  <c r="AH141" i="28"/>
  <c r="AH132" i="28"/>
  <c r="AH133" i="28"/>
  <c r="AH134" i="28"/>
  <c r="AH135" i="28"/>
  <c r="AH136" i="28"/>
  <c r="AH24" i="28"/>
  <c r="AH25" i="28"/>
  <c r="AH2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AH107" i="28"/>
  <c r="AH108" i="28"/>
  <c r="AH109" i="28"/>
  <c r="AH110" i="28"/>
  <c r="AH2" i="28"/>
  <c r="AH50" i="28"/>
  <c r="AH51" i="28"/>
  <c r="AH52" i="28"/>
  <c r="AH70" i="28"/>
  <c r="AH71" i="28"/>
  <c r="AH72" i="28"/>
  <c r="AH65" i="28"/>
  <c r="AH66" i="28"/>
  <c r="AH67" i="28"/>
  <c r="AH68" i="28"/>
  <c r="AH62" i="28"/>
  <c r="AH59" i="28"/>
  <c r="AH61" i="28"/>
  <c r="AH56" i="28"/>
  <c r="AH53" i="28"/>
  <c r="AH54" i="28"/>
  <c r="AH57" i="28"/>
  <c r="AH63" i="28"/>
  <c r="AH64" i="28"/>
  <c r="AH58" i="28"/>
  <c r="AH55" i="28"/>
  <c r="AH112" i="28"/>
  <c r="AH111" i="28"/>
  <c r="AH113" i="28"/>
  <c r="AH114" i="28"/>
  <c r="AH116" i="28"/>
  <c r="AH115" i="28"/>
  <c r="AH117" i="28"/>
  <c r="AH119" i="28"/>
  <c r="AH118" i="28"/>
  <c r="AH69" i="28"/>
  <c r="AH73" i="28"/>
  <c r="AH74" i="28"/>
  <c r="AH47" i="28"/>
  <c r="AH120" i="28"/>
  <c r="AH121" i="28"/>
  <c r="AH8" i="28"/>
  <c r="C28" i="28"/>
  <c r="L28" i="28"/>
  <c r="AB28" i="28" s="1"/>
  <c r="N28" i="28"/>
  <c r="O28" i="28"/>
  <c r="R28" i="28"/>
  <c r="L120" i="28"/>
  <c r="AB120" i="28" s="1"/>
  <c r="L121" i="28"/>
  <c r="AB121" i="28" s="1"/>
  <c r="L9" i="28"/>
  <c r="AB9" i="28" s="1"/>
  <c r="L10" i="28"/>
  <c r="AB10" i="28" s="1"/>
  <c r="L122" i="28"/>
  <c r="AB122" i="28" s="1"/>
  <c r="L5" i="28"/>
  <c r="AB5" i="28" s="1"/>
  <c r="L6" i="28"/>
  <c r="AB6" i="28" s="1"/>
  <c r="L7" i="28"/>
  <c r="AB7" i="28" s="1"/>
  <c r="L11" i="28"/>
  <c r="AB11" i="28" s="1"/>
  <c r="L12" i="28"/>
  <c r="AB12" i="28" s="1"/>
  <c r="L13" i="28"/>
  <c r="AB13" i="28" s="1"/>
  <c r="L14" i="28"/>
  <c r="AB14" i="28" s="1"/>
  <c r="L15" i="28"/>
  <c r="AB15" i="28" s="1"/>
  <c r="L16" i="28"/>
  <c r="AB16" i="28" s="1"/>
  <c r="L17" i="28"/>
  <c r="AB17" i="28" s="1"/>
  <c r="L18" i="28"/>
  <c r="AB18" i="28" s="1"/>
  <c r="L19" i="28"/>
  <c r="AB19" i="28" s="1"/>
  <c r="L20" i="28"/>
  <c r="AB20" i="28" s="1"/>
  <c r="L21" i="28"/>
  <c r="AB21" i="28" s="1"/>
  <c r="L22" i="28"/>
  <c r="AB22" i="28" s="1"/>
  <c r="L27" i="28"/>
  <c r="AB27" i="28" s="1"/>
  <c r="L29" i="28"/>
  <c r="AB29" i="28" s="1"/>
  <c r="L30" i="28"/>
  <c r="AB30" i="28" s="1"/>
  <c r="L26" i="28"/>
  <c r="AB26" i="28" s="1"/>
  <c r="L34" i="28"/>
  <c r="AB34" i="28" s="1"/>
  <c r="L35" i="28"/>
  <c r="AB35" i="28" s="1"/>
  <c r="L36" i="28"/>
  <c r="AB36" i="28" s="1"/>
  <c r="L31" i="28"/>
  <c r="AB31" i="28" s="1"/>
  <c r="L32" i="28"/>
  <c r="AB32" i="28" s="1"/>
  <c r="L33" i="28"/>
  <c r="AB33" i="28" s="1"/>
  <c r="L38" i="28"/>
  <c r="AB38" i="28" s="1"/>
  <c r="L39" i="28"/>
  <c r="AB39" i="28" s="1"/>
  <c r="L40" i="28"/>
  <c r="AB40" i="28" s="1"/>
  <c r="L37" i="28"/>
  <c r="AB37" i="28" s="1"/>
  <c r="L41" i="28"/>
  <c r="AB41" i="28" s="1"/>
  <c r="L42" i="28"/>
  <c r="AB42" i="28" s="1"/>
  <c r="L43" i="28"/>
  <c r="AB43" i="28" s="1"/>
  <c r="L44" i="28"/>
  <c r="AB44" i="28" s="1"/>
  <c r="L45" i="28"/>
  <c r="AB45" i="28" s="1"/>
  <c r="L46" i="28"/>
  <c r="AB46" i="28" s="1"/>
  <c r="L75" i="28"/>
  <c r="AB75" i="28" s="1"/>
  <c r="L76" i="28"/>
  <c r="AB76" i="28" s="1"/>
  <c r="L77" i="28"/>
  <c r="AB77" i="28" s="1"/>
  <c r="L78" i="28"/>
  <c r="AB78" i="28" s="1"/>
  <c r="L79" i="28"/>
  <c r="AB79" i="28" s="1"/>
  <c r="L84" i="28"/>
  <c r="AB84" i="28" s="1"/>
  <c r="L80" i="28"/>
  <c r="AB80" i="28" s="1"/>
  <c r="L85" i="28"/>
  <c r="AB85" i="28" s="1"/>
  <c r="L86" i="28"/>
  <c r="AB86" i="28" s="1"/>
  <c r="L87" i="28"/>
  <c r="AB87" i="28" s="1"/>
  <c r="L81" i="28"/>
  <c r="AB81" i="28" s="1"/>
  <c r="L82" i="28"/>
  <c r="AB82" i="28" s="1"/>
  <c r="L88" i="28"/>
  <c r="AB88" i="28" s="1"/>
  <c r="L83" i="28"/>
  <c r="AB83" i="28" s="1"/>
  <c r="L89" i="28"/>
  <c r="AB89" i="28" s="1"/>
  <c r="L91" i="28"/>
  <c r="AB91" i="28" s="1"/>
  <c r="L90" i="28"/>
  <c r="AB90" i="28" s="1"/>
  <c r="L92" i="28"/>
  <c r="AB92" i="28" s="1"/>
  <c r="L93" i="28"/>
  <c r="AB93" i="28" s="1"/>
  <c r="L126" i="28"/>
  <c r="AB126" i="28" s="1"/>
  <c r="L124" i="28"/>
  <c r="AB124" i="28" s="1"/>
  <c r="L123" i="28"/>
  <c r="AB123" i="28" s="1"/>
  <c r="L125" i="28"/>
  <c r="AB125" i="28" s="1"/>
  <c r="L137" i="28"/>
  <c r="AB137" i="28" s="1"/>
  <c r="L138" i="28"/>
  <c r="AB138" i="28" s="1"/>
  <c r="L139" i="28"/>
  <c r="AB139" i="28" s="1"/>
  <c r="L127" i="28"/>
  <c r="AB127" i="28" s="1"/>
  <c r="L128" i="28"/>
  <c r="AB128" i="28" s="1"/>
  <c r="L129" i="28"/>
  <c r="AB129" i="28" s="1"/>
  <c r="L130" i="28"/>
  <c r="AB130" i="28" s="1"/>
  <c r="L131" i="28"/>
  <c r="AB131" i="28" s="1"/>
  <c r="L140" i="28"/>
  <c r="AB140" i="28" s="1"/>
  <c r="L141" i="28"/>
  <c r="AB141" i="28" s="1"/>
  <c r="L132" i="28"/>
  <c r="AB132" i="28" s="1"/>
  <c r="L133" i="28"/>
  <c r="AB133" i="28" s="1"/>
  <c r="L134" i="28"/>
  <c r="AB134" i="28" s="1"/>
  <c r="L135" i="28"/>
  <c r="AB135" i="28" s="1"/>
  <c r="L136" i="28"/>
  <c r="AB136" i="28" s="1"/>
  <c r="L24" i="28"/>
  <c r="AB24" i="28" s="1"/>
  <c r="L25" i="28"/>
  <c r="AB25" i="28" s="1"/>
  <c r="L23" i="28"/>
  <c r="AB23" i="28" s="1"/>
  <c r="L94" i="28"/>
  <c r="AB94" i="28" s="1"/>
  <c r="L95" i="28"/>
  <c r="AB95" i="28" s="1"/>
  <c r="L96" i="28"/>
  <c r="AB96" i="28" s="1"/>
  <c r="L97" i="28"/>
  <c r="AB97" i="28" s="1"/>
  <c r="L98" i="28"/>
  <c r="AB98" i="28" s="1"/>
  <c r="L99" i="28"/>
  <c r="AB99" i="28" s="1"/>
  <c r="L100" i="28"/>
  <c r="AB100" i="28" s="1"/>
  <c r="L101" i="28"/>
  <c r="AB101" i="28" s="1"/>
  <c r="L102" i="28"/>
  <c r="AB102" i="28" s="1"/>
  <c r="L103" i="28"/>
  <c r="AB103" i="28" s="1"/>
  <c r="L104" i="28"/>
  <c r="AB104" i="28" s="1"/>
  <c r="L105" i="28"/>
  <c r="AB105" i="28" s="1"/>
  <c r="L106" i="28"/>
  <c r="AB106" i="28" s="1"/>
  <c r="L107" i="28"/>
  <c r="AB107" i="28" s="1"/>
  <c r="L108" i="28"/>
  <c r="AB108" i="28" s="1"/>
  <c r="L109" i="28"/>
  <c r="AB109" i="28" s="1"/>
  <c r="L110" i="28"/>
  <c r="AB110" i="28" s="1"/>
  <c r="L2" i="28"/>
  <c r="AB2" i="28" s="1"/>
  <c r="L50" i="28"/>
  <c r="AB50" i="28" s="1"/>
  <c r="L51" i="28"/>
  <c r="AB51" i="28" s="1"/>
  <c r="L52" i="28"/>
  <c r="AB52" i="28" s="1"/>
  <c r="L70" i="28"/>
  <c r="AB70" i="28" s="1"/>
  <c r="L71" i="28"/>
  <c r="AB71" i="28" s="1"/>
  <c r="L72" i="28"/>
  <c r="AB72" i="28" s="1"/>
  <c r="L65" i="28"/>
  <c r="AB65" i="28" s="1"/>
  <c r="L66" i="28"/>
  <c r="AB66" i="28" s="1"/>
  <c r="L67" i="28"/>
  <c r="AB67" i="28" s="1"/>
  <c r="L68" i="28"/>
  <c r="AB68" i="28" s="1"/>
  <c r="L62" i="28"/>
  <c r="AB62" i="28" s="1"/>
  <c r="L59" i="28"/>
  <c r="AB59" i="28" s="1"/>
  <c r="L61" i="28"/>
  <c r="AB61" i="28" s="1"/>
  <c r="L56" i="28"/>
  <c r="AB56" i="28" s="1"/>
  <c r="L53" i="28"/>
  <c r="AB53" i="28" s="1"/>
  <c r="L54" i="28"/>
  <c r="AB54" i="28" s="1"/>
  <c r="L57" i="28"/>
  <c r="AB57" i="28" s="1"/>
  <c r="L63" i="28"/>
  <c r="AB63" i="28" s="1"/>
  <c r="L64" i="28"/>
  <c r="AB64" i="28" s="1"/>
  <c r="L58" i="28"/>
  <c r="AB58" i="28" s="1"/>
  <c r="L55" i="28"/>
  <c r="AB55" i="28" s="1"/>
  <c r="L112" i="28"/>
  <c r="AB112" i="28" s="1"/>
  <c r="L111" i="28"/>
  <c r="AB111" i="28" s="1"/>
  <c r="L113" i="28"/>
  <c r="AB113" i="28" s="1"/>
  <c r="L114" i="28"/>
  <c r="AB114" i="28" s="1"/>
  <c r="L116" i="28"/>
  <c r="AB116" i="28" s="1"/>
  <c r="L115" i="28"/>
  <c r="AB115" i="28" s="1"/>
  <c r="L117" i="28"/>
  <c r="AB117" i="28" s="1"/>
  <c r="L119" i="28"/>
  <c r="AB119" i="28" s="1"/>
  <c r="L118" i="28"/>
  <c r="AB118" i="28" s="1"/>
  <c r="L69" i="28"/>
  <c r="AB69" i="28" s="1"/>
  <c r="L73" i="28"/>
  <c r="AB73" i="28" s="1"/>
  <c r="L74" i="28"/>
  <c r="AB74" i="28" s="1"/>
  <c r="L47" i="28"/>
  <c r="AB47" i="28" s="1"/>
  <c r="R74" i="28"/>
  <c r="R73" i="28"/>
  <c r="L8" i="28"/>
  <c r="AB8" i="28" s="1"/>
  <c r="R121" i="28"/>
  <c r="C121" i="28"/>
  <c r="R120" i="28"/>
  <c r="C120" i="28"/>
  <c r="F28" i="19"/>
  <c r="F20" i="19"/>
  <c r="F21" i="19" s="1"/>
  <c r="F22" i="19" s="1"/>
  <c r="F23" i="19" s="1"/>
  <c r="F24" i="19" s="1"/>
  <c r="F25" i="19" s="1"/>
  <c r="F14" i="19"/>
  <c r="F15" i="19" s="1"/>
  <c r="F16" i="19" s="1"/>
  <c r="F17" i="19" s="1"/>
  <c r="F18" i="19" s="1"/>
  <c r="F11" i="19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8" i="22"/>
  <c r="F119" i="22"/>
  <c r="F120" i="22"/>
  <c r="F121" i="22"/>
  <c r="F122" i="22"/>
  <c r="F123" i="22"/>
  <c r="F124" i="22"/>
  <c r="F125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N120" i="28" s="1"/>
  <c r="F145" i="22"/>
  <c r="N121" i="28" s="1"/>
  <c r="F146" i="22"/>
  <c r="F147" i="22"/>
  <c r="F148" i="22"/>
  <c r="F149" i="22"/>
  <c r="F150" i="22"/>
  <c r="F151" i="22"/>
  <c r="F152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6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F12" i="21"/>
  <c r="F13" i="21" s="1"/>
  <c r="F14" i="21" s="1"/>
  <c r="F15" i="21" s="1"/>
  <c r="AH4" i="40"/>
  <c r="R4" i="40"/>
  <c r="C4" i="40"/>
  <c r="C59" i="40"/>
  <c r="O9" i="15"/>
  <c r="R9" i="15"/>
  <c r="AH9" i="15"/>
  <c r="R30" i="24"/>
  <c r="O30" i="24"/>
  <c r="C30" i="24"/>
  <c r="R49" i="24"/>
  <c r="O49" i="24"/>
  <c r="C49" i="24"/>
  <c r="O7" i="24"/>
  <c r="O8" i="24"/>
  <c r="O9" i="24"/>
  <c r="O11" i="24"/>
  <c r="O12" i="24"/>
  <c r="O13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50" i="24"/>
  <c r="O51" i="24"/>
  <c r="O52" i="24"/>
  <c r="O53" i="24"/>
  <c r="O54" i="24"/>
  <c r="O55" i="24"/>
  <c r="O56" i="24"/>
  <c r="O57" i="24"/>
  <c r="O58" i="24"/>
  <c r="O59" i="24"/>
  <c r="F12" i="40"/>
  <c r="L12" i="40" s="1"/>
  <c r="F55" i="40"/>
  <c r="F54" i="40"/>
  <c r="L54" i="40" s="1"/>
  <c r="F46" i="40"/>
  <c r="F42" i="40"/>
  <c r="F33" i="40"/>
  <c r="F31" i="40"/>
  <c r="L31" i="40" s="1"/>
  <c r="F27" i="40"/>
  <c r="L27" i="40" s="1"/>
  <c r="F22" i="40"/>
  <c r="F16" i="40"/>
  <c r="F14" i="40"/>
  <c r="L14" i="40" s="1"/>
  <c r="F6" i="40"/>
  <c r="F3" i="40"/>
  <c r="L2" i="30"/>
  <c r="F48" i="30"/>
  <c r="F46" i="30"/>
  <c r="F44" i="30"/>
  <c r="F42" i="30"/>
  <c r="F38" i="30"/>
  <c r="F40" i="30"/>
  <c r="F37" i="30"/>
  <c r="F39" i="30" s="1"/>
  <c r="AH30" i="30"/>
  <c r="R30" i="30"/>
  <c r="C30" i="30"/>
  <c r="AH28" i="30"/>
  <c r="R28" i="30"/>
  <c r="C28" i="30"/>
  <c r="AH26" i="30"/>
  <c r="R26" i="30"/>
  <c r="C26" i="30"/>
  <c r="F23" i="30"/>
  <c r="AH7" i="30"/>
  <c r="R7" i="30"/>
  <c r="F7" i="30"/>
  <c r="L7" i="30" s="1"/>
  <c r="C7" i="30"/>
  <c r="C12" i="30"/>
  <c r="L12" i="30"/>
  <c r="O12" i="30"/>
  <c r="R12" i="30"/>
  <c r="AB12" i="30"/>
  <c r="AH12" i="30"/>
  <c r="F9" i="30"/>
  <c r="F10" i="30"/>
  <c r="F11" i="30"/>
  <c r="F8" i="30"/>
  <c r="F19" i="30" s="1"/>
  <c r="F6" i="30"/>
  <c r="L3" i="30"/>
  <c r="L4" i="30"/>
  <c r="L5" i="30"/>
  <c r="L6" i="30"/>
  <c r="L8" i="30"/>
  <c r="L9" i="30"/>
  <c r="L10" i="30"/>
  <c r="L11" i="30"/>
  <c r="L16" i="30"/>
  <c r="L19" i="30"/>
  <c r="L23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AH2" i="32"/>
  <c r="AH3" i="32"/>
  <c r="AH4" i="32"/>
  <c r="AH5" i="32"/>
  <c r="AH6" i="32"/>
  <c r="AH7" i="32"/>
  <c r="AH9" i="32"/>
  <c r="AH10" i="32"/>
  <c r="AH11" i="32"/>
  <c r="AH12" i="32"/>
  <c r="AH13" i="32"/>
  <c r="AH14" i="32"/>
  <c r="AH15" i="32"/>
  <c r="AH16" i="32"/>
  <c r="AH17" i="32"/>
  <c r="AH18" i="32"/>
  <c r="AH19" i="32"/>
  <c r="AH20" i="32"/>
  <c r="AH21" i="32"/>
  <c r="AH22" i="32"/>
  <c r="AH23" i="32"/>
  <c r="AH24" i="32"/>
  <c r="AH25" i="32"/>
  <c r="AH28" i="32"/>
  <c r="AH29" i="32"/>
  <c r="AH30" i="32"/>
  <c r="AH31" i="32"/>
  <c r="AH32" i="32"/>
  <c r="AH33" i="32"/>
  <c r="AH34" i="32"/>
  <c r="AH35" i="32"/>
  <c r="AH36" i="32"/>
  <c r="AH37" i="32"/>
  <c r="AH38" i="32"/>
  <c r="AH39" i="32"/>
  <c r="AH40" i="32"/>
  <c r="AB3" i="32"/>
  <c r="AB4" i="32"/>
  <c r="AB5" i="32"/>
  <c r="AB6" i="32"/>
  <c r="AB7" i="32"/>
  <c r="AB9" i="32"/>
  <c r="AB10" i="32"/>
  <c r="AB11" i="32"/>
  <c r="AB12" i="32"/>
  <c r="AB13" i="32"/>
  <c r="AB14" i="32"/>
  <c r="AB15" i="32"/>
  <c r="AB16" i="32"/>
  <c r="AB17" i="32"/>
  <c r="AB18" i="32"/>
  <c r="AB19" i="32"/>
  <c r="AB20" i="32"/>
  <c r="AB21" i="32"/>
  <c r="AB22" i="32"/>
  <c r="AB23" i="32"/>
  <c r="AB24" i="32"/>
  <c r="AB25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Y10" i="19"/>
  <c r="AH4" i="19"/>
  <c r="AB4" i="19"/>
  <c r="AB5" i="19"/>
  <c r="AH5" i="19"/>
  <c r="AB6" i="19"/>
  <c r="AH6" i="19"/>
  <c r="AB7" i="19"/>
  <c r="AH7" i="19"/>
  <c r="AB13" i="19"/>
  <c r="AH13" i="19"/>
  <c r="AB14" i="19"/>
  <c r="AH14" i="19"/>
  <c r="AB15" i="19"/>
  <c r="AH15" i="19"/>
  <c r="AB16" i="19"/>
  <c r="AH16" i="19"/>
  <c r="AB17" i="19"/>
  <c r="AH17" i="19"/>
  <c r="AB18" i="19"/>
  <c r="AH18" i="19"/>
  <c r="AB19" i="19"/>
  <c r="AH19" i="19"/>
  <c r="AB20" i="19"/>
  <c r="AH20" i="19"/>
  <c r="AB21" i="19"/>
  <c r="AH21" i="19"/>
  <c r="AB22" i="19"/>
  <c r="AH22" i="19"/>
  <c r="AB23" i="19"/>
  <c r="AH23" i="19"/>
  <c r="AB24" i="19"/>
  <c r="AH24" i="19"/>
  <c r="AB25" i="19"/>
  <c r="AH25" i="19"/>
  <c r="AB8" i="19"/>
  <c r="AH8" i="19"/>
  <c r="AB11" i="19"/>
  <c r="AH11" i="19"/>
  <c r="AB9" i="19"/>
  <c r="AH9" i="19"/>
  <c r="AB10" i="19"/>
  <c r="AH10" i="19"/>
  <c r="AB12" i="19"/>
  <c r="AH12" i="19"/>
  <c r="AB28" i="19"/>
  <c r="AH28" i="19"/>
  <c r="AB3" i="19"/>
  <c r="AH3" i="19"/>
  <c r="AB2" i="19"/>
  <c r="AH2" i="19"/>
  <c r="AH2" i="40"/>
  <c r="AH3" i="40"/>
  <c r="AH5" i="40"/>
  <c r="AH6" i="40"/>
  <c r="AH7" i="40"/>
  <c r="AH8" i="40"/>
  <c r="AH9" i="40"/>
  <c r="AH10" i="40"/>
  <c r="AH11" i="40"/>
  <c r="AH12" i="40"/>
  <c r="AH13" i="40"/>
  <c r="AH14" i="40"/>
  <c r="AH15" i="40"/>
  <c r="AH16" i="40"/>
  <c r="AH17" i="40"/>
  <c r="AH18" i="40"/>
  <c r="AH19" i="40"/>
  <c r="AH20" i="40"/>
  <c r="AH21" i="40"/>
  <c r="AH22" i="40"/>
  <c r="AH23" i="40"/>
  <c r="AH26" i="40"/>
  <c r="AH27" i="40"/>
  <c r="AH28" i="40"/>
  <c r="AH29" i="40"/>
  <c r="AH30" i="40"/>
  <c r="AH31" i="40"/>
  <c r="AH32" i="40"/>
  <c r="AH33" i="40"/>
  <c r="AH34" i="40"/>
  <c r="AH35" i="40"/>
  <c r="AH36" i="40"/>
  <c r="AH37" i="40"/>
  <c r="AH38" i="40"/>
  <c r="AH39" i="40"/>
  <c r="AH40" i="40"/>
  <c r="AH41" i="40"/>
  <c r="AH42" i="40"/>
  <c r="AH43" i="40"/>
  <c r="AH44" i="40"/>
  <c r="AH45" i="40"/>
  <c r="AH46" i="40"/>
  <c r="AH47" i="40"/>
  <c r="AH48" i="40"/>
  <c r="AH49" i="40"/>
  <c r="AH51" i="40"/>
  <c r="AH52" i="40"/>
  <c r="AH53" i="40"/>
  <c r="AH54" i="40"/>
  <c r="AH55" i="40"/>
  <c r="AH56" i="40"/>
  <c r="AH57" i="40"/>
  <c r="AH58" i="40"/>
  <c r="AH66" i="17"/>
  <c r="AH65" i="17"/>
  <c r="AH64" i="17"/>
  <c r="AH63" i="17"/>
  <c r="AH62" i="17"/>
  <c r="AH61" i="17"/>
  <c r="AH60" i="17"/>
  <c r="AH59" i="17"/>
  <c r="AH58" i="17"/>
  <c r="AH57" i="17"/>
  <c r="AH56" i="17"/>
  <c r="AH55" i="17"/>
  <c r="AH54" i="17"/>
  <c r="AH50" i="17"/>
  <c r="AH49" i="17"/>
  <c r="AH48" i="17"/>
  <c r="AH47" i="17"/>
  <c r="AH46" i="17"/>
  <c r="AH45" i="17"/>
  <c r="AH44" i="17"/>
  <c r="AH43" i="17"/>
  <c r="AH42" i="17"/>
  <c r="AH41" i="17"/>
  <c r="AH40" i="17"/>
  <c r="AH39" i="17"/>
  <c r="AH38" i="17"/>
  <c r="AH37" i="17"/>
  <c r="AH36" i="17"/>
  <c r="AH35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17" i="17"/>
  <c r="AH16" i="17"/>
  <c r="AH15" i="17"/>
  <c r="AH12" i="17"/>
  <c r="AH11" i="17"/>
  <c r="AH10" i="17"/>
  <c r="AH8" i="17"/>
  <c r="AH7" i="17"/>
  <c r="AH6" i="17"/>
  <c r="AH5" i="17"/>
  <c r="AH4" i="17"/>
  <c r="AH3" i="17"/>
  <c r="AH2" i="17"/>
  <c r="Y8" i="17"/>
  <c r="Y7" i="17"/>
  <c r="R6" i="17"/>
  <c r="K6" i="17"/>
  <c r="J6" i="17"/>
  <c r="L6" i="17" s="1"/>
  <c r="N6" i="17" s="1"/>
  <c r="C6" i="17"/>
  <c r="AH128" i="23"/>
  <c r="AH127" i="23"/>
  <c r="AH126" i="23"/>
  <c r="AH125" i="23"/>
  <c r="AH123" i="23"/>
  <c r="AH122" i="23"/>
  <c r="AH121" i="23"/>
  <c r="AH120" i="23"/>
  <c r="AH119" i="23"/>
  <c r="AH118" i="23"/>
  <c r="AH117" i="23"/>
  <c r="AH116" i="23"/>
  <c r="AH115" i="23"/>
  <c r="AH114" i="23"/>
  <c r="AH113" i="23"/>
  <c r="AH112" i="23"/>
  <c r="AH111" i="23"/>
  <c r="AH110" i="23"/>
  <c r="AH109" i="23"/>
  <c r="AH108" i="23"/>
  <c r="AH107" i="23"/>
  <c r="AH106" i="23"/>
  <c r="AH105" i="23"/>
  <c r="AH104" i="23"/>
  <c r="AH103" i="23"/>
  <c r="AH102" i="23"/>
  <c r="AH101" i="23"/>
  <c r="AH100" i="23"/>
  <c r="AH99" i="23"/>
  <c r="AH98" i="23"/>
  <c r="AH97" i="23"/>
  <c r="AH96" i="23"/>
  <c r="AH95" i="23"/>
  <c r="AH94" i="23"/>
  <c r="AH93" i="23"/>
  <c r="AH92" i="23"/>
  <c r="AH91" i="23"/>
  <c r="AH90" i="23"/>
  <c r="AH89" i="23"/>
  <c r="AH88" i="23"/>
  <c r="AH86" i="23"/>
  <c r="AH85" i="23"/>
  <c r="AH84" i="23"/>
  <c r="AH83" i="23"/>
  <c r="AH82" i="23"/>
  <c r="AH81" i="23"/>
  <c r="AH80" i="23"/>
  <c r="AH79" i="23"/>
  <c r="AH78" i="23"/>
  <c r="AH77" i="23"/>
  <c r="AH76" i="23"/>
  <c r="AH75" i="23"/>
  <c r="AH74" i="23"/>
  <c r="AH73" i="23"/>
  <c r="AH72" i="23"/>
  <c r="AH71" i="23"/>
  <c r="AH70" i="23"/>
  <c r="AH69" i="23"/>
  <c r="AH68" i="23"/>
  <c r="AH67" i="23"/>
  <c r="AH66" i="23"/>
  <c r="AH64" i="23"/>
  <c r="AH63" i="23"/>
  <c r="AH62" i="23"/>
  <c r="AH61" i="23"/>
  <c r="AH60" i="23"/>
  <c r="AH59" i="23"/>
  <c r="AH58" i="23"/>
  <c r="AH57" i="23"/>
  <c r="AH56" i="23"/>
  <c r="AH55" i="23"/>
  <c r="AH54" i="23"/>
  <c r="AH53" i="23"/>
  <c r="AH52" i="23"/>
  <c r="AH51" i="23"/>
  <c r="AH50" i="23"/>
  <c r="AH49" i="23"/>
  <c r="AH48" i="23"/>
  <c r="AH47" i="23"/>
  <c r="AH46" i="23"/>
  <c r="AH45" i="23"/>
  <c r="AH44" i="23"/>
  <c r="AH43" i="23"/>
  <c r="AH42" i="23"/>
  <c r="AH41" i="23"/>
  <c r="AH40" i="23"/>
  <c r="AH39" i="23"/>
  <c r="AH38" i="23"/>
  <c r="AH37" i="23"/>
  <c r="AH36" i="23"/>
  <c r="AH35" i="23"/>
  <c r="AH34" i="23"/>
  <c r="AH33" i="23"/>
  <c r="AH32" i="23"/>
  <c r="AH31" i="23"/>
  <c r="AH30" i="23"/>
  <c r="AH29" i="23"/>
  <c r="AH28" i="23"/>
  <c r="AH27" i="23"/>
  <c r="AH26" i="23"/>
  <c r="AH25" i="23"/>
  <c r="AH24" i="23"/>
  <c r="AH23" i="23"/>
  <c r="AH22" i="23"/>
  <c r="AH21" i="23"/>
  <c r="AH20" i="23"/>
  <c r="AH19" i="23"/>
  <c r="AH18" i="23"/>
  <c r="AH17" i="23"/>
  <c r="AH16" i="23"/>
  <c r="AH15" i="23"/>
  <c r="AH14" i="23"/>
  <c r="AH13" i="23"/>
  <c r="AH12" i="23"/>
  <c r="AH11" i="23"/>
  <c r="AH10" i="23"/>
  <c r="AH9" i="23"/>
  <c r="AH8" i="23"/>
  <c r="AH7" i="23"/>
  <c r="AH6" i="23"/>
  <c r="AH5" i="23"/>
  <c r="AH4" i="23"/>
  <c r="AH3" i="23"/>
  <c r="AH2" i="23"/>
  <c r="AH227" i="26"/>
  <c r="AH226" i="26"/>
  <c r="AH225" i="26"/>
  <c r="AH224" i="26"/>
  <c r="AH223" i="26"/>
  <c r="AH222" i="26"/>
  <c r="AH221" i="26"/>
  <c r="AH220" i="26"/>
  <c r="AH219" i="26"/>
  <c r="AH218" i="26"/>
  <c r="AH217" i="26"/>
  <c r="AH216" i="26"/>
  <c r="AH215" i="26"/>
  <c r="AH214" i="26"/>
  <c r="AH213" i="26"/>
  <c r="AH212" i="26"/>
  <c r="AH211" i="26"/>
  <c r="AH210" i="26"/>
  <c r="AH209" i="26"/>
  <c r="AH208" i="26"/>
  <c r="AH207" i="26"/>
  <c r="AH206" i="26"/>
  <c r="AH205" i="26"/>
  <c r="AH204" i="26"/>
  <c r="AH203" i="26"/>
  <c r="AH202" i="26"/>
  <c r="AH201" i="26"/>
  <c r="AH200" i="26"/>
  <c r="AH199" i="26"/>
  <c r="AH198" i="26"/>
  <c r="AH197" i="26"/>
  <c r="AH196" i="26"/>
  <c r="AH195" i="26"/>
  <c r="AH194" i="26"/>
  <c r="AH193" i="26"/>
  <c r="AH192" i="26"/>
  <c r="AH191" i="26"/>
  <c r="AH190" i="26"/>
  <c r="AH189" i="26"/>
  <c r="AH188" i="26"/>
  <c r="AH187" i="26"/>
  <c r="AH186" i="26"/>
  <c r="AH185" i="26"/>
  <c r="AH184" i="26"/>
  <c r="AH181" i="26"/>
  <c r="AH180" i="26"/>
  <c r="AH179" i="26"/>
  <c r="AH178" i="26"/>
  <c r="AH177" i="26"/>
  <c r="AH176" i="26"/>
  <c r="AH175" i="26"/>
  <c r="AH174" i="26"/>
  <c r="AH173" i="26"/>
  <c r="AH172" i="26"/>
  <c r="AH171" i="26"/>
  <c r="AH170" i="26"/>
  <c r="AH169" i="26"/>
  <c r="AH168" i="26"/>
  <c r="AH167" i="26"/>
  <c r="AH166" i="26"/>
  <c r="AH165" i="26"/>
  <c r="AH164" i="26"/>
  <c r="AH163" i="26"/>
  <c r="AH162" i="26"/>
  <c r="AH161" i="26"/>
  <c r="AH160" i="26"/>
  <c r="AH159" i="26"/>
  <c r="AH158" i="26"/>
  <c r="AH157" i="26"/>
  <c r="AH156" i="26"/>
  <c r="AH155" i="26"/>
  <c r="AH154" i="26"/>
  <c r="AH153" i="26"/>
  <c r="AH152" i="26"/>
  <c r="AH151" i="26"/>
  <c r="AH150" i="26"/>
  <c r="AH149" i="26"/>
  <c r="AH148" i="26"/>
  <c r="AH144" i="26"/>
  <c r="AH147" i="26"/>
  <c r="AH146" i="26"/>
  <c r="AH145" i="26"/>
  <c r="AH143" i="26"/>
  <c r="AH142" i="26"/>
  <c r="AH141" i="26"/>
  <c r="AH140" i="26"/>
  <c r="AH139" i="26"/>
  <c r="AH138" i="26"/>
  <c r="AH137" i="26"/>
  <c r="AH136" i="26"/>
  <c r="AH135" i="26"/>
  <c r="AH134" i="26"/>
  <c r="AH133" i="26"/>
  <c r="AH132" i="26"/>
  <c r="AH131" i="26"/>
  <c r="AH130" i="26"/>
  <c r="AH129" i="26"/>
  <c r="AH127" i="26"/>
  <c r="AH126" i="26"/>
  <c r="AH125" i="26"/>
  <c r="AH124" i="26"/>
  <c r="AH123" i="26"/>
  <c r="AH122" i="26"/>
  <c r="AH121" i="26"/>
  <c r="AH120" i="26"/>
  <c r="AH119" i="26"/>
  <c r="AH118" i="26"/>
  <c r="AH117" i="26"/>
  <c r="AH116" i="26"/>
  <c r="AH115" i="26"/>
  <c r="AH114" i="26"/>
  <c r="AH110" i="26"/>
  <c r="AH106" i="26"/>
  <c r="AH105" i="26"/>
  <c r="AH104" i="26"/>
  <c r="AH103" i="26"/>
  <c r="AH102" i="26"/>
  <c r="AH101" i="26"/>
  <c r="AH100" i="26"/>
  <c r="AH99" i="26"/>
  <c r="AH98" i="26"/>
  <c r="AH97" i="26"/>
  <c r="AH96" i="26"/>
  <c r="AH95" i="26"/>
  <c r="AH94" i="26"/>
  <c r="AH93" i="26"/>
  <c r="AH92" i="26"/>
  <c r="AH91" i="26"/>
  <c r="AH90" i="26"/>
  <c r="AH89" i="26"/>
  <c r="AH49" i="26"/>
  <c r="AH88" i="26"/>
  <c r="AH87" i="26"/>
  <c r="AH86" i="26"/>
  <c r="AH85" i="26"/>
  <c r="AH84" i="26"/>
  <c r="AH83" i="26"/>
  <c r="AH82" i="26"/>
  <c r="AH81" i="26"/>
  <c r="AH80" i="26"/>
  <c r="AH79" i="26"/>
  <c r="AH78" i="26"/>
  <c r="AH77" i="26"/>
  <c r="AH76" i="26"/>
  <c r="AH75" i="26"/>
  <c r="AH74" i="26"/>
  <c r="AH73" i="26"/>
  <c r="AH72" i="26"/>
  <c r="AH71" i="26"/>
  <c r="AH70" i="26"/>
  <c r="AH69" i="26"/>
  <c r="AH68" i="26"/>
  <c r="AH67" i="26"/>
  <c r="AH66" i="26"/>
  <c r="AH65" i="26"/>
  <c r="AH64" i="26"/>
  <c r="AH63" i="26"/>
  <c r="AH62" i="26"/>
  <c r="AH61" i="26"/>
  <c r="AH60" i="26"/>
  <c r="AH59" i="26"/>
  <c r="AH58" i="26"/>
  <c r="AH57" i="26"/>
  <c r="AH56" i="26"/>
  <c r="AH55" i="26"/>
  <c r="AH54" i="26"/>
  <c r="AH53" i="26"/>
  <c r="AH52" i="26"/>
  <c r="AH51" i="26"/>
  <c r="AH50" i="26"/>
  <c r="AH48" i="26"/>
  <c r="AH46" i="26"/>
  <c r="AH45" i="26"/>
  <c r="AH44" i="26"/>
  <c r="AH43" i="26"/>
  <c r="AH42" i="26"/>
  <c r="AH41" i="26"/>
  <c r="AH40" i="26"/>
  <c r="AH39" i="26"/>
  <c r="AH38" i="26"/>
  <c r="AH37" i="26"/>
  <c r="AH36" i="26"/>
  <c r="AH35" i="26"/>
  <c r="AH34" i="26"/>
  <c r="AH33" i="26"/>
  <c r="AH32" i="26"/>
  <c r="AH31" i="26"/>
  <c r="AH30" i="26"/>
  <c r="AH29" i="26"/>
  <c r="AH28" i="26"/>
  <c r="AH27" i="26"/>
  <c r="AH26" i="26"/>
  <c r="AH25" i="26"/>
  <c r="AH24" i="26"/>
  <c r="AH23" i="26"/>
  <c r="AH21" i="26"/>
  <c r="AH22" i="26"/>
  <c r="AH20" i="26"/>
  <c r="AH19" i="26"/>
  <c r="AH18" i="26"/>
  <c r="AH17" i="26"/>
  <c r="AH16" i="26"/>
  <c r="AH15" i="26"/>
  <c r="AH14" i="26"/>
  <c r="AH13" i="26"/>
  <c r="AH12" i="26"/>
  <c r="AH11" i="26"/>
  <c r="AH10" i="26"/>
  <c r="AH7" i="26"/>
  <c r="AH6" i="26"/>
  <c r="AH5" i="26"/>
  <c r="AH4" i="26"/>
  <c r="AH2" i="26"/>
  <c r="N73" i="28"/>
  <c r="O73" i="28"/>
  <c r="N74" i="28"/>
  <c r="O74" i="28"/>
  <c r="N47" i="28"/>
  <c r="O47" i="28"/>
  <c r="R47" i="28"/>
  <c r="C47" i="28"/>
  <c r="AH79" i="34"/>
  <c r="AH80" i="34"/>
  <c r="AH81" i="34"/>
  <c r="AH52" i="34"/>
  <c r="AH53" i="34"/>
  <c r="AH86" i="34"/>
  <c r="AH87" i="34"/>
  <c r="AH85" i="34"/>
  <c r="AH64" i="34"/>
  <c r="AH23" i="34"/>
  <c r="AH14" i="34"/>
  <c r="AH60" i="34"/>
  <c r="AH17" i="34"/>
  <c r="AH18" i="34"/>
  <c r="AH61" i="34"/>
  <c r="AH62" i="34"/>
  <c r="AH71" i="34"/>
  <c r="AH19" i="34"/>
  <c r="AH66" i="34"/>
  <c r="AH16" i="34"/>
  <c r="AH67" i="34"/>
  <c r="AH68" i="34"/>
  <c r="AH69" i="34"/>
  <c r="AH70" i="34"/>
  <c r="AH63" i="34"/>
  <c r="AH45" i="34"/>
  <c r="AH39" i="34"/>
  <c r="AH41" i="34"/>
  <c r="AH43" i="34"/>
  <c r="AH44" i="34"/>
  <c r="AH11" i="34"/>
  <c r="AH8" i="34"/>
  <c r="AH10" i="34"/>
  <c r="AH9" i="34"/>
  <c r="AH74" i="34"/>
  <c r="AH76" i="34"/>
  <c r="AH77" i="34"/>
  <c r="AH37" i="34"/>
  <c r="AH38" i="34"/>
  <c r="AH28" i="34"/>
  <c r="AH29" i="34"/>
  <c r="AH7" i="34"/>
  <c r="AH12" i="34"/>
  <c r="AH73" i="34"/>
  <c r="AH72" i="34"/>
  <c r="AH13" i="34"/>
  <c r="AH46" i="34"/>
  <c r="AH47" i="34"/>
  <c r="AH33" i="34"/>
  <c r="AH34" i="34"/>
  <c r="AH30" i="34"/>
  <c r="AH31" i="34"/>
  <c r="AH32" i="34"/>
  <c r="AH75" i="34"/>
  <c r="AH24" i="34"/>
  <c r="AH25" i="34"/>
  <c r="AH26" i="34"/>
  <c r="AH27" i="34"/>
  <c r="AH2" i="34"/>
  <c r="AH6" i="34"/>
  <c r="AH4" i="34"/>
  <c r="AH3" i="34"/>
  <c r="AH20" i="34"/>
  <c r="AH56" i="34"/>
  <c r="AH54" i="34"/>
  <c r="AH55" i="34"/>
  <c r="AH5" i="34"/>
  <c r="AH21" i="34"/>
  <c r="AH78" i="34"/>
  <c r="AH83" i="34"/>
  <c r="AH48" i="34"/>
  <c r="AH49" i="34"/>
  <c r="AH50" i="34"/>
  <c r="AH51" i="34"/>
  <c r="AH35" i="34"/>
  <c r="AH36" i="34"/>
  <c r="AH84" i="34"/>
  <c r="C84" i="34"/>
  <c r="V84" i="34"/>
  <c r="X84" i="34" s="1"/>
  <c r="Y84" i="34" s="1"/>
  <c r="AB2" i="40"/>
  <c r="AB5" i="40"/>
  <c r="AB10" i="40"/>
  <c r="AB11" i="40"/>
  <c r="AB12" i="40"/>
  <c r="AB13" i="40"/>
  <c r="AB14" i="40"/>
  <c r="AB15" i="40"/>
  <c r="AB21" i="40"/>
  <c r="AB26" i="40"/>
  <c r="AB27" i="40"/>
  <c r="AB28" i="40"/>
  <c r="AB29" i="40"/>
  <c r="AB30" i="40"/>
  <c r="AB31" i="40"/>
  <c r="AB32" i="40"/>
  <c r="AB37" i="40"/>
  <c r="AB38" i="40"/>
  <c r="AB39" i="40"/>
  <c r="AB40" i="40"/>
  <c r="AB41" i="40"/>
  <c r="AB45" i="40"/>
  <c r="AB48" i="40"/>
  <c r="AB49" i="40"/>
  <c r="AB51" i="40"/>
  <c r="AB52" i="40"/>
  <c r="AB53" i="40"/>
  <c r="AB54" i="40"/>
  <c r="AB57" i="40"/>
  <c r="AB58" i="40"/>
  <c r="R23" i="40"/>
  <c r="C23" i="40"/>
  <c r="R10" i="33"/>
  <c r="C10" i="33"/>
  <c r="R9" i="33"/>
  <c r="C9" i="33"/>
  <c r="AH50" i="30"/>
  <c r="AH49" i="30"/>
  <c r="AH48" i="30"/>
  <c r="AH47" i="30"/>
  <c r="AH46" i="30"/>
  <c r="AH45" i="30"/>
  <c r="AH44" i="30"/>
  <c r="AH43" i="30"/>
  <c r="AH42" i="30"/>
  <c r="AH41" i="30"/>
  <c r="AH40" i="30"/>
  <c r="AH39" i="30"/>
  <c r="AH38" i="30"/>
  <c r="AH37" i="30"/>
  <c r="AH36" i="30"/>
  <c r="AH35" i="30"/>
  <c r="AH34" i="30"/>
  <c r="AH33" i="30"/>
  <c r="AH32" i="30"/>
  <c r="AH31" i="30"/>
  <c r="AH29" i="30"/>
  <c r="AH27" i="30"/>
  <c r="AH25" i="30"/>
  <c r="AH24" i="30"/>
  <c r="AH23" i="30"/>
  <c r="AH22" i="30"/>
  <c r="AH21" i="30"/>
  <c r="AH20" i="30"/>
  <c r="AH19" i="30"/>
  <c r="AH18" i="30"/>
  <c r="AH17" i="30"/>
  <c r="AH16" i="30"/>
  <c r="AH15" i="30"/>
  <c r="AH14" i="30"/>
  <c r="AH13" i="30"/>
  <c r="AH11" i="30"/>
  <c r="AH10" i="30"/>
  <c r="AH9" i="30"/>
  <c r="AH8" i="30"/>
  <c r="AH6" i="30"/>
  <c r="AH5" i="30"/>
  <c r="AH4" i="30"/>
  <c r="AH3" i="30"/>
  <c r="AH2" i="30"/>
  <c r="AB2" i="30"/>
  <c r="AB3" i="30"/>
  <c r="AB4" i="30"/>
  <c r="AB5" i="30"/>
  <c r="AB6" i="30"/>
  <c r="AB9" i="30"/>
  <c r="AB10" i="30"/>
  <c r="AB11" i="30"/>
  <c r="AB16" i="30"/>
  <c r="AB23" i="30"/>
  <c r="AB35" i="30"/>
  <c r="AB36" i="30"/>
  <c r="AB37" i="30"/>
  <c r="AB38" i="30"/>
  <c r="AB39" i="30"/>
  <c r="AB40" i="30"/>
  <c r="AB41" i="30"/>
  <c r="AB42" i="30"/>
  <c r="AB43" i="30"/>
  <c r="AB44" i="30"/>
  <c r="AB45" i="30"/>
  <c r="AB46" i="30"/>
  <c r="AB47" i="30"/>
  <c r="AB48" i="30"/>
  <c r="AB49" i="30"/>
  <c r="AB50" i="30"/>
  <c r="N147" i="28" l="1"/>
  <c r="O147" i="28" s="1"/>
  <c r="AB147" i="28"/>
  <c r="N148" i="28"/>
  <c r="O148" i="28" s="1"/>
  <c r="AB148" i="28"/>
  <c r="AB8" i="26"/>
  <c r="N8" i="26"/>
  <c r="AB60" i="28"/>
  <c r="N60" i="28"/>
  <c r="O60" i="28" s="1"/>
  <c r="AB3" i="28"/>
  <c r="N3" i="28"/>
  <c r="O3" i="28" s="1"/>
  <c r="AB4" i="28"/>
  <c r="N4" i="28"/>
  <c r="O4" i="28" s="1"/>
  <c r="AB25" i="40"/>
  <c r="F4" i="40"/>
  <c r="L4" i="40" s="1"/>
  <c r="L3" i="40"/>
  <c r="F23" i="40"/>
  <c r="L22" i="40"/>
  <c r="F34" i="40"/>
  <c r="L33" i="40"/>
  <c r="F43" i="40"/>
  <c r="L42" i="40"/>
  <c r="F47" i="40"/>
  <c r="L47" i="40" s="1"/>
  <c r="L46" i="40"/>
  <c r="F56" i="40"/>
  <c r="L56" i="40" s="1"/>
  <c r="L55" i="40"/>
  <c r="F7" i="40"/>
  <c r="L6" i="40"/>
  <c r="N6" i="40" s="1"/>
  <c r="O6" i="40" s="1"/>
  <c r="F17" i="40"/>
  <c r="L16" i="40"/>
  <c r="AB88" i="34"/>
  <c r="M88" i="34"/>
  <c r="AB93" i="34"/>
  <c r="M93" i="34"/>
  <c r="AB92" i="34"/>
  <c r="M92" i="34"/>
  <c r="AB91" i="34"/>
  <c r="M91" i="34"/>
  <c r="AB90" i="34"/>
  <c r="M90" i="34"/>
  <c r="AB89" i="34"/>
  <c r="M89" i="34"/>
  <c r="AB65" i="23"/>
  <c r="N65" i="23"/>
  <c r="O65" i="23" s="1"/>
  <c r="N153" i="22"/>
  <c r="O153" i="22" s="1"/>
  <c r="AB9" i="17"/>
  <c r="N9" i="17"/>
  <c r="O9" i="17" s="1"/>
  <c r="AB13" i="17"/>
  <c r="N13" i="17"/>
  <c r="O13" i="17" s="1"/>
  <c r="AB128" i="26"/>
  <c r="O128" i="26"/>
  <c r="O15" i="33"/>
  <c r="AB15" i="33"/>
  <c r="AB13" i="33"/>
  <c r="AB12" i="33"/>
  <c r="AB11" i="33"/>
  <c r="O10" i="33"/>
  <c r="AB10" i="33"/>
  <c r="O9" i="33"/>
  <c r="AB9" i="33"/>
  <c r="AB8" i="33"/>
  <c r="AB7" i="33"/>
  <c r="AB6" i="33"/>
  <c r="AB3" i="33"/>
  <c r="AB2" i="33"/>
  <c r="AB60" i="40"/>
  <c r="AB50" i="40"/>
  <c r="N25" i="2"/>
  <c r="O25" i="2" s="1"/>
  <c r="AB29" i="19"/>
  <c r="AB30" i="19"/>
  <c r="AB31" i="19"/>
  <c r="AB65" i="34"/>
  <c r="M65" i="34"/>
  <c r="AB58" i="34"/>
  <c r="M58" i="34"/>
  <c r="AB59" i="34"/>
  <c r="M59" i="34"/>
  <c r="AB40" i="34"/>
  <c r="M40" i="34"/>
  <c r="AB42" i="34"/>
  <c r="M42" i="34"/>
  <c r="M22" i="34"/>
  <c r="AB22" i="34"/>
  <c r="AB15" i="34"/>
  <c r="M15" i="34"/>
  <c r="AB84" i="34"/>
  <c r="AB82" i="34"/>
  <c r="M82" i="34"/>
  <c r="X57" i="34"/>
  <c r="Y57" i="34" s="1"/>
  <c r="AB57" i="34" s="1"/>
  <c r="N2" i="21"/>
  <c r="N15" i="21"/>
  <c r="N14" i="21"/>
  <c r="N13" i="21"/>
  <c r="N12" i="21"/>
  <c r="N11" i="21"/>
  <c r="N5" i="21"/>
  <c r="N4" i="21"/>
  <c r="N10" i="21"/>
  <c r="N9" i="21"/>
  <c r="N8" i="21"/>
  <c r="N7" i="21"/>
  <c r="N6" i="21"/>
  <c r="N3" i="21"/>
  <c r="AB183" i="26"/>
  <c r="O183" i="26"/>
  <c r="AB182" i="26"/>
  <c r="O182" i="26"/>
  <c r="AB111" i="26"/>
  <c r="O111" i="26"/>
  <c r="AB112" i="26"/>
  <c r="O112" i="26"/>
  <c r="AB109" i="26"/>
  <c r="O109" i="26"/>
  <c r="AB107" i="26"/>
  <c r="O107" i="26"/>
  <c r="AB108" i="26"/>
  <c r="O108" i="26"/>
  <c r="AB113" i="26"/>
  <c r="O113" i="26"/>
  <c r="AB47" i="26"/>
  <c r="O47" i="26"/>
  <c r="AB52" i="17"/>
  <c r="O52" i="17"/>
  <c r="AB53" i="17"/>
  <c r="O53" i="17"/>
  <c r="F32" i="17"/>
  <c r="F54" i="17" s="1"/>
  <c r="F55" i="17" s="1"/>
  <c r="F56" i="17" s="1"/>
  <c r="F57" i="17" s="1"/>
  <c r="F58" i="17" s="1"/>
  <c r="F59" i="17" s="1"/>
  <c r="F60" i="17" s="1"/>
  <c r="F61" i="17" s="1"/>
  <c r="L51" i="17"/>
  <c r="N51" i="17" s="1"/>
  <c r="AB51" i="17"/>
  <c r="O51" i="17"/>
  <c r="AB14" i="17"/>
  <c r="O14" i="17"/>
  <c r="N142" i="28"/>
  <c r="O142" i="28" s="1"/>
  <c r="AB142" i="28"/>
  <c r="N143" i="28"/>
  <c r="O143" i="28" s="1"/>
  <c r="AB143" i="28"/>
  <c r="N144" i="28"/>
  <c r="O144" i="28" s="1"/>
  <c r="AB144" i="28"/>
  <c r="N145" i="28"/>
  <c r="O145" i="28" s="1"/>
  <c r="AB145" i="28"/>
  <c r="N146" i="28"/>
  <c r="O146" i="28" s="1"/>
  <c r="AB146" i="28"/>
  <c r="M57" i="34"/>
  <c r="M84" i="34"/>
  <c r="N48" i="28"/>
  <c r="O48" i="28" s="1"/>
  <c r="AB48" i="28"/>
  <c r="N49" i="28"/>
  <c r="O49" i="28" s="1"/>
  <c r="AB49" i="28"/>
  <c r="AB26" i="19"/>
  <c r="AB27" i="19"/>
  <c r="AB4" i="40"/>
  <c r="F22" i="30"/>
  <c r="L22" i="30" s="1"/>
  <c r="AB22" i="30" s="1"/>
  <c r="F15" i="30"/>
  <c r="L15" i="30" s="1"/>
  <c r="AB15" i="30" s="1"/>
  <c r="F21" i="30"/>
  <c r="F14" i="30"/>
  <c r="F20" i="30"/>
  <c r="F13" i="30"/>
  <c r="AB7" i="30"/>
  <c r="O7" i="30"/>
  <c r="AI2" i="35"/>
  <c r="AI3" i="35"/>
  <c r="AI4" i="35"/>
  <c r="AI5" i="35"/>
  <c r="AI6" i="35"/>
  <c r="AI7" i="35"/>
  <c r="AI8" i="35"/>
  <c r="AI9" i="35"/>
  <c r="AI10" i="35"/>
  <c r="AI11" i="35"/>
  <c r="AI12" i="35"/>
  <c r="AI13" i="35"/>
  <c r="AI14" i="35"/>
  <c r="AI15" i="35"/>
  <c r="AI5" i="21"/>
  <c r="AI6" i="21"/>
  <c r="AI7" i="21"/>
  <c r="AI8" i="21"/>
  <c r="AI9" i="21"/>
  <c r="AI10" i="21"/>
  <c r="AI11" i="21"/>
  <c r="AI12" i="21"/>
  <c r="AI13" i="21"/>
  <c r="AI14" i="21"/>
  <c r="AI15" i="21"/>
  <c r="AI2" i="21"/>
  <c r="AI3" i="21"/>
  <c r="AI4" i="21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45" i="22"/>
  <c r="AB46" i="22"/>
  <c r="AB47" i="22"/>
  <c r="AB48" i="22"/>
  <c r="AB49" i="22"/>
  <c r="AB50" i="22"/>
  <c r="AB51" i="22"/>
  <c r="AB52" i="22"/>
  <c r="AB53" i="22"/>
  <c r="AB54" i="22"/>
  <c r="AB55" i="22"/>
  <c r="AB56" i="22"/>
  <c r="AB57" i="22"/>
  <c r="AB58" i="22"/>
  <c r="AB59" i="22"/>
  <c r="AB60" i="22"/>
  <c r="AB61" i="22"/>
  <c r="AB62" i="22"/>
  <c r="AB63" i="22"/>
  <c r="AB64" i="22"/>
  <c r="AB65" i="22"/>
  <c r="AB66" i="22"/>
  <c r="AB67" i="22"/>
  <c r="AB68" i="22"/>
  <c r="AB69" i="22"/>
  <c r="AB70" i="22"/>
  <c r="AB71" i="22"/>
  <c r="AB72" i="22"/>
  <c r="AB73" i="22"/>
  <c r="AB74" i="22"/>
  <c r="AB75" i="22"/>
  <c r="AB76" i="22"/>
  <c r="AB77" i="22"/>
  <c r="AB78" i="22"/>
  <c r="AB79" i="22"/>
  <c r="AB80" i="22"/>
  <c r="AB81" i="22"/>
  <c r="AB82" i="22"/>
  <c r="AB83" i="22"/>
  <c r="AB84" i="22"/>
  <c r="AB85" i="22"/>
  <c r="AB86" i="22"/>
  <c r="AB87" i="22"/>
  <c r="AB88" i="22"/>
  <c r="AB89" i="22"/>
  <c r="AB90" i="22"/>
  <c r="AB91" i="22"/>
  <c r="AB92" i="22"/>
  <c r="AB93" i="22"/>
  <c r="AB94" i="22"/>
  <c r="AB95" i="22"/>
  <c r="AB96" i="22"/>
  <c r="AB97" i="22"/>
  <c r="AB98" i="22"/>
  <c r="AB99" i="22"/>
  <c r="AB100" i="22"/>
  <c r="AB101" i="22"/>
  <c r="AB102" i="22"/>
  <c r="AB103" i="22"/>
  <c r="AB104" i="22"/>
  <c r="AB105" i="22"/>
  <c r="AB106" i="22"/>
  <c r="AB107" i="22"/>
  <c r="AB108" i="22"/>
  <c r="AB109" i="22"/>
  <c r="AB110" i="22"/>
  <c r="AB111" i="22"/>
  <c r="AB112" i="22"/>
  <c r="AB113" i="22"/>
  <c r="AB118" i="22"/>
  <c r="AB119" i="22"/>
  <c r="AB120" i="22"/>
  <c r="AB121" i="22"/>
  <c r="AB122" i="22"/>
  <c r="AB123" i="22"/>
  <c r="AB124" i="22"/>
  <c r="AB125" i="22"/>
  <c r="AB128" i="22"/>
  <c r="AB129" i="22"/>
  <c r="AB130" i="22"/>
  <c r="AB131" i="22"/>
  <c r="AB132" i="22"/>
  <c r="AB133" i="22"/>
  <c r="AB134" i="22"/>
  <c r="AB135" i="22"/>
  <c r="AB136" i="22"/>
  <c r="AB137" i="22"/>
  <c r="AB138" i="22"/>
  <c r="AB139" i="22"/>
  <c r="AB140" i="22"/>
  <c r="AB141" i="22"/>
  <c r="AB142" i="22"/>
  <c r="AB143" i="22"/>
  <c r="AB144" i="22"/>
  <c r="AB145" i="22"/>
  <c r="AB146" i="22"/>
  <c r="AB147" i="22"/>
  <c r="AB148" i="22"/>
  <c r="AB149" i="22"/>
  <c r="AB150" i="22"/>
  <c r="AB151" i="22"/>
  <c r="AB152" i="22"/>
  <c r="AB154" i="22"/>
  <c r="AB155" i="22"/>
  <c r="AB156" i="22"/>
  <c r="AB157" i="22"/>
  <c r="AB158" i="22"/>
  <c r="AB159" i="22"/>
  <c r="AB160" i="22"/>
  <c r="AB161" i="22"/>
  <c r="AB162" i="22"/>
  <c r="AB163" i="22"/>
  <c r="AB164" i="22"/>
  <c r="AB165" i="22"/>
  <c r="AB166" i="22"/>
  <c r="AB167" i="22"/>
  <c r="AB168" i="22"/>
  <c r="AB169" i="22"/>
  <c r="AB170" i="22"/>
  <c r="AB171" i="22"/>
  <c r="AB172" i="22"/>
  <c r="AB173" i="22"/>
  <c r="AB174" i="22"/>
  <c r="AB175" i="22"/>
  <c r="AB176" i="22"/>
  <c r="AB177" i="22"/>
  <c r="AB178" i="22"/>
  <c r="AB179" i="22"/>
  <c r="AB180" i="22"/>
  <c r="AB181" i="22"/>
  <c r="AB182" i="22"/>
  <c r="AB183" i="22"/>
  <c r="AB184" i="22"/>
  <c r="AB185" i="22"/>
  <c r="AB186" i="22"/>
  <c r="AB187" i="22"/>
  <c r="AB188" i="22"/>
  <c r="AB189" i="22"/>
  <c r="AB190" i="22"/>
  <c r="AB191" i="22"/>
  <c r="AB192" i="22"/>
  <c r="AB193" i="22"/>
  <c r="AB194" i="22"/>
  <c r="AB195" i="22"/>
  <c r="AB196" i="22"/>
  <c r="AB197" i="22"/>
  <c r="AB198" i="22"/>
  <c r="AB199" i="22"/>
  <c r="AB200" i="22"/>
  <c r="AB201" i="22"/>
  <c r="AB202" i="22"/>
  <c r="AB203" i="22"/>
  <c r="AB204" i="22"/>
  <c r="AB205" i="22"/>
  <c r="AB206" i="22"/>
  <c r="AB207" i="22"/>
  <c r="AB208" i="22"/>
  <c r="AB209" i="22"/>
  <c r="AB210" i="22"/>
  <c r="AB211" i="22"/>
  <c r="AB212" i="22"/>
  <c r="AB213" i="22"/>
  <c r="AB214" i="22"/>
  <c r="AB215" i="22"/>
  <c r="AB216" i="22"/>
  <c r="AB217" i="22"/>
  <c r="AB218" i="22"/>
  <c r="AB219" i="22"/>
  <c r="AB220" i="22"/>
  <c r="AB221" i="22"/>
  <c r="AB222" i="22"/>
  <c r="AB223" i="22"/>
  <c r="AB224" i="22"/>
  <c r="AB225" i="22"/>
  <c r="AB226" i="22"/>
  <c r="AB227" i="22"/>
  <c r="AB228" i="22"/>
  <c r="AB229" i="22"/>
  <c r="AB230" i="22"/>
  <c r="AB231" i="22"/>
  <c r="AB232" i="22"/>
  <c r="AB233" i="22"/>
  <c r="AB236" i="22"/>
  <c r="AB237" i="22"/>
  <c r="AB238" i="22"/>
  <c r="AB239" i="22"/>
  <c r="AB240" i="22"/>
  <c r="AB241" i="22"/>
  <c r="AB242" i="22"/>
  <c r="AB243" i="22"/>
  <c r="AB244" i="22"/>
  <c r="AB245" i="22"/>
  <c r="AB246" i="22"/>
  <c r="AB247" i="22"/>
  <c r="AB248" i="22"/>
  <c r="AB249" i="22"/>
  <c r="AB250" i="22"/>
  <c r="AB251" i="22"/>
  <c r="AB252" i="22"/>
  <c r="AB253" i="22"/>
  <c r="AB254" i="22"/>
  <c r="AB255" i="22"/>
  <c r="AB256" i="22"/>
  <c r="AB257" i="22"/>
  <c r="AB258" i="22"/>
  <c r="AB259" i="22"/>
  <c r="AB260" i="22"/>
  <c r="AB261" i="22"/>
  <c r="AB262" i="22"/>
  <c r="AB263" i="22"/>
  <c r="AB264" i="22"/>
  <c r="AB265" i="22"/>
  <c r="AB266" i="22"/>
  <c r="AB267" i="22"/>
  <c r="AB268" i="22"/>
  <c r="AB269" i="22"/>
  <c r="AB270" i="22"/>
  <c r="AB271" i="22"/>
  <c r="AB272" i="22"/>
  <c r="AB273" i="22"/>
  <c r="AB274" i="22"/>
  <c r="AB275" i="22"/>
  <c r="AB276" i="22"/>
  <c r="AB277" i="22"/>
  <c r="AB278" i="22"/>
  <c r="AB279" i="22"/>
  <c r="AB280" i="22"/>
  <c r="AB281" i="22"/>
  <c r="AB282" i="22"/>
  <c r="AB283" i="22"/>
  <c r="AB284" i="22"/>
  <c r="AB285" i="22"/>
  <c r="AB286" i="22"/>
  <c r="AB287" i="22"/>
  <c r="AB288" i="22"/>
  <c r="AB289" i="22"/>
  <c r="AB290" i="22"/>
  <c r="AB291" i="22"/>
  <c r="AB292" i="22"/>
  <c r="AB293" i="22"/>
  <c r="AB294" i="22"/>
  <c r="AB295" i="22"/>
  <c r="AB296" i="22"/>
  <c r="AB297" i="22"/>
  <c r="AB298" i="22"/>
  <c r="AH2" i="22"/>
  <c r="AH3" i="22"/>
  <c r="AH4" i="22"/>
  <c r="AH5" i="22"/>
  <c r="AH6" i="22"/>
  <c r="AH7" i="22"/>
  <c r="AH8" i="22"/>
  <c r="AH9" i="22"/>
  <c r="AH10" i="22"/>
  <c r="AH11" i="22"/>
  <c r="AH12" i="22"/>
  <c r="AH13" i="22"/>
  <c r="AH14" i="22"/>
  <c r="AH15" i="22"/>
  <c r="AH16" i="22"/>
  <c r="AH17" i="22"/>
  <c r="AH18" i="22"/>
  <c r="AH19" i="22"/>
  <c r="AH20" i="22"/>
  <c r="AH21" i="22"/>
  <c r="AH22" i="22"/>
  <c r="AH23" i="22"/>
  <c r="AH24" i="22"/>
  <c r="AH25" i="22"/>
  <c r="AH26" i="22"/>
  <c r="AH27" i="22"/>
  <c r="AH28" i="22"/>
  <c r="AH29" i="22"/>
  <c r="AH30" i="22"/>
  <c r="AH31" i="22"/>
  <c r="AH32" i="22"/>
  <c r="AH33" i="22"/>
  <c r="AH34" i="22"/>
  <c r="AH35" i="22"/>
  <c r="AH36" i="22"/>
  <c r="AH37" i="22"/>
  <c r="AH38" i="22"/>
  <c r="AH39" i="22"/>
  <c r="AH40" i="22"/>
  <c r="AH41" i="22"/>
  <c r="AH42" i="22"/>
  <c r="AH43" i="22"/>
  <c r="AH44" i="22"/>
  <c r="AH45" i="22"/>
  <c r="AH46" i="22"/>
  <c r="AH47" i="22"/>
  <c r="AH48" i="22"/>
  <c r="AH49" i="22"/>
  <c r="AH50" i="22"/>
  <c r="AH51" i="22"/>
  <c r="AH52" i="22"/>
  <c r="AH53" i="22"/>
  <c r="AH54" i="22"/>
  <c r="AH55" i="22"/>
  <c r="AH56" i="22"/>
  <c r="AH57" i="22"/>
  <c r="AH58" i="22"/>
  <c r="AH59" i="22"/>
  <c r="AH60" i="22"/>
  <c r="AH61" i="22"/>
  <c r="AH62" i="22"/>
  <c r="AH63" i="22"/>
  <c r="AH64" i="22"/>
  <c r="AH65" i="22"/>
  <c r="AH66" i="22"/>
  <c r="AH67" i="22"/>
  <c r="AH68" i="22"/>
  <c r="AH69" i="22"/>
  <c r="AH70" i="22"/>
  <c r="AH71" i="22"/>
  <c r="AH72" i="22"/>
  <c r="AH73" i="22"/>
  <c r="AH74" i="22"/>
  <c r="AH75" i="22"/>
  <c r="AH76" i="22"/>
  <c r="AH77" i="22"/>
  <c r="AH78" i="22"/>
  <c r="AH79" i="22"/>
  <c r="AH80" i="22"/>
  <c r="AH81" i="22"/>
  <c r="AH82" i="22"/>
  <c r="AH83" i="22"/>
  <c r="AH84" i="22"/>
  <c r="AH85" i="22"/>
  <c r="AH86" i="22"/>
  <c r="AH87" i="22"/>
  <c r="AH88" i="22"/>
  <c r="AH89" i="22"/>
  <c r="AH90" i="22"/>
  <c r="AH91" i="22"/>
  <c r="AH92" i="22"/>
  <c r="AH93" i="22"/>
  <c r="AH94" i="22"/>
  <c r="AH95" i="22"/>
  <c r="AH96" i="22"/>
  <c r="AH97" i="22"/>
  <c r="AH98" i="22"/>
  <c r="AH99" i="22"/>
  <c r="AH100" i="22"/>
  <c r="AH101" i="22"/>
  <c r="AH102" i="22"/>
  <c r="AH103" i="22"/>
  <c r="AH104" i="22"/>
  <c r="AH105" i="22"/>
  <c r="AH106" i="22"/>
  <c r="AH107" i="22"/>
  <c r="AH108" i="22"/>
  <c r="AH109" i="22"/>
  <c r="AH110" i="22"/>
  <c r="AH111" i="22"/>
  <c r="AH112" i="22"/>
  <c r="AH113" i="22"/>
  <c r="AH118" i="22"/>
  <c r="AH119" i="22"/>
  <c r="AH120" i="22"/>
  <c r="AH121" i="22"/>
  <c r="AH122" i="22"/>
  <c r="AH123" i="22"/>
  <c r="AH124" i="22"/>
  <c r="AH125" i="22"/>
  <c r="AH128" i="22"/>
  <c r="AH129" i="22"/>
  <c r="AH130" i="22"/>
  <c r="AH131" i="22"/>
  <c r="AH132" i="22"/>
  <c r="AH133" i="22"/>
  <c r="AH134" i="22"/>
  <c r="AH135" i="22"/>
  <c r="AH136" i="22"/>
  <c r="AH137" i="22"/>
  <c r="AH138" i="22"/>
  <c r="AH139" i="22"/>
  <c r="AH140" i="22"/>
  <c r="AH141" i="22"/>
  <c r="AH142" i="22"/>
  <c r="AH143" i="22"/>
  <c r="AH144" i="22"/>
  <c r="AH145" i="22"/>
  <c r="AH146" i="22"/>
  <c r="AH147" i="22"/>
  <c r="AH148" i="22"/>
  <c r="AH149" i="22"/>
  <c r="AH150" i="22"/>
  <c r="AH151" i="22"/>
  <c r="AH152" i="22"/>
  <c r="AH154" i="22"/>
  <c r="AH155" i="22"/>
  <c r="AH156" i="22"/>
  <c r="AH157" i="22"/>
  <c r="AH158" i="22"/>
  <c r="AH159" i="22"/>
  <c r="AH160" i="22"/>
  <c r="AH161" i="22"/>
  <c r="AH162" i="22"/>
  <c r="AH163" i="22"/>
  <c r="AH164" i="22"/>
  <c r="AH165" i="22"/>
  <c r="AH166" i="22"/>
  <c r="AH167" i="22"/>
  <c r="AH168" i="22"/>
  <c r="AH169" i="22"/>
  <c r="AH170" i="22"/>
  <c r="AH171" i="22"/>
  <c r="AH172" i="22"/>
  <c r="AH173" i="22"/>
  <c r="AH174" i="22"/>
  <c r="AH175" i="22"/>
  <c r="AH176" i="22"/>
  <c r="AH177" i="22"/>
  <c r="AH178" i="22"/>
  <c r="AH179" i="22"/>
  <c r="AH180" i="22"/>
  <c r="AH181" i="22"/>
  <c r="AH182" i="22"/>
  <c r="AH183" i="22"/>
  <c r="AH184" i="22"/>
  <c r="AH185" i="22"/>
  <c r="AH186" i="22"/>
  <c r="AH187" i="22"/>
  <c r="AH188" i="22"/>
  <c r="AH189" i="22"/>
  <c r="AH190" i="22"/>
  <c r="AH191" i="22"/>
  <c r="AH192" i="22"/>
  <c r="AH193" i="22"/>
  <c r="AH194" i="22"/>
  <c r="AH195" i="22"/>
  <c r="AH196" i="22"/>
  <c r="AH197" i="22"/>
  <c r="AH198" i="22"/>
  <c r="AH199" i="22"/>
  <c r="AH200" i="22"/>
  <c r="AH201" i="22"/>
  <c r="AH202" i="22"/>
  <c r="AH203" i="22"/>
  <c r="AH204" i="22"/>
  <c r="AH205" i="22"/>
  <c r="AH206" i="22"/>
  <c r="AH207" i="22"/>
  <c r="AH208" i="22"/>
  <c r="AH209" i="22"/>
  <c r="AH210" i="22"/>
  <c r="AH211" i="22"/>
  <c r="AH212" i="22"/>
  <c r="AH213" i="22"/>
  <c r="AH214" i="22"/>
  <c r="AH215" i="22"/>
  <c r="AH216" i="22"/>
  <c r="AH217" i="22"/>
  <c r="AH218" i="22"/>
  <c r="AH219" i="22"/>
  <c r="AH220" i="22"/>
  <c r="AH221" i="22"/>
  <c r="AH222" i="22"/>
  <c r="AH223" i="22"/>
  <c r="AH224" i="22"/>
  <c r="AH225" i="22"/>
  <c r="AH226" i="22"/>
  <c r="AH227" i="22"/>
  <c r="AH228" i="22"/>
  <c r="AH229" i="22"/>
  <c r="AH230" i="22"/>
  <c r="AH231" i="22"/>
  <c r="AH232" i="22"/>
  <c r="AH233" i="22"/>
  <c r="AH236" i="22"/>
  <c r="AH237" i="22"/>
  <c r="AH238" i="22"/>
  <c r="AH239" i="22"/>
  <c r="AH240" i="22"/>
  <c r="AH241" i="22"/>
  <c r="AH242" i="22"/>
  <c r="AH243" i="22"/>
  <c r="AH244" i="22"/>
  <c r="AH245" i="22"/>
  <c r="AH246" i="22"/>
  <c r="AH247" i="22"/>
  <c r="AH248" i="22"/>
  <c r="AH249" i="22"/>
  <c r="AH250" i="22"/>
  <c r="AH251" i="22"/>
  <c r="AH252" i="22"/>
  <c r="AH253" i="22"/>
  <c r="AH254" i="22"/>
  <c r="AH255" i="22"/>
  <c r="AH256" i="22"/>
  <c r="AH257" i="22"/>
  <c r="AH258" i="22"/>
  <c r="AH259" i="22"/>
  <c r="AH260" i="22"/>
  <c r="AH261" i="22"/>
  <c r="AH262" i="22"/>
  <c r="AH263" i="22"/>
  <c r="AH264" i="22"/>
  <c r="AH265" i="22"/>
  <c r="AH266" i="22"/>
  <c r="AH267" i="22"/>
  <c r="AH268" i="22"/>
  <c r="AH269" i="22"/>
  <c r="AH270" i="22"/>
  <c r="AH271" i="22"/>
  <c r="AH272" i="22"/>
  <c r="AH273" i="22"/>
  <c r="AH274" i="22"/>
  <c r="AH275" i="22"/>
  <c r="AH276" i="22"/>
  <c r="AH277" i="22"/>
  <c r="AH278" i="22"/>
  <c r="AH279" i="22"/>
  <c r="AH280" i="22"/>
  <c r="AH281" i="22"/>
  <c r="AH282" i="22"/>
  <c r="AH283" i="22"/>
  <c r="AH284" i="22"/>
  <c r="AH285" i="22"/>
  <c r="AH286" i="22"/>
  <c r="AH287" i="22"/>
  <c r="AH288" i="22"/>
  <c r="AH289" i="22"/>
  <c r="AH290" i="22"/>
  <c r="AH291" i="22"/>
  <c r="AH292" i="22"/>
  <c r="AH293" i="22"/>
  <c r="AH294" i="22"/>
  <c r="AH295" i="22"/>
  <c r="AH296" i="22"/>
  <c r="AH297" i="22"/>
  <c r="AH298" i="2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B33" i="41"/>
  <c r="AB34" i="41"/>
  <c r="AB35" i="41"/>
  <c r="AB36" i="41"/>
  <c r="AB37" i="41"/>
  <c r="AB38" i="41"/>
  <c r="AB39" i="41"/>
  <c r="AB40" i="41"/>
  <c r="AB41" i="41"/>
  <c r="AB42" i="41"/>
  <c r="AB43" i="41"/>
  <c r="AB44" i="41"/>
  <c r="AH2" i="41"/>
  <c r="AH3" i="41"/>
  <c r="AH4" i="41"/>
  <c r="AH5" i="41"/>
  <c r="AH6" i="41"/>
  <c r="AH7" i="41"/>
  <c r="AH8" i="41"/>
  <c r="AH9" i="41"/>
  <c r="AH10" i="41"/>
  <c r="AH11" i="41"/>
  <c r="AH12" i="41"/>
  <c r="AH13" i="41"/>
  <c r="AH14" i="41"/>
  <c r="AH15" i="41"/>
  <c r="AH16" i="41"/>
  <c r="AH17" i="41"/>
  <c r="AH18" i="41"/>
  <c r="AH19" i="41"/>
  <c r="AH20" i="41"/>
  <c r="AH21" i="41"/>
  <c r="AH22" i="41"/>
  <c r="AH23" i="41"/>
  <c r="AH24" i="41"/>
  <c r="AH25" i="41"/>
  <c r="AH26" i="41"/>
  <c r="AH27" i="41"/>
  <c r="AH28" i="41"/>
  <c r="AH29" i="41"/>
  <c r="AH30" i="41"/>
  <c r="AH31" i="41"/>
  <c r="AH32" i="41"/>
  <c r="AH33" i="41"/>
  <c r="AH34" i="41"/>
  <c r="AH35" i="41"/>
  <c r="AH36" i="41"/>
  <c r="AH37" i="41"/>
  <c r="AH38" i="41"/>
  <c r="AH39" i="41"/>
  <c r="AH40" i="41"/>
  <c r="AH41" i="41"/>
  <c r="AH42" i="41"/>
  <c r="AH43" i="41"/>
  <c r="AH44" i="41"/>
  <c r="AH2" i="15"/>
  <c r="AH3" i="15"/>
  <c r="AH4" i="15"/>
  <c r="AH5" i="15"/>
  <c r="AH6" i="15"/>
  <c r="AH7" i="15"/>
  <c r="AH8" i="15"/>
  <c r="AH10" i="15"/>
  <c r="AH11" i="15"/>
  <c r="AH12" i="15"/>
  <c r="AH13" i="15"/>
  <c r="AH14" i="15"/>
  <c r="AH2" i="39"/>
  <c r="AH3" i="39"/>
  <c r="AH4" i="39"/>
  <c r="AH5" i="39"/>
  <c r="AH6" i="39"/>
  <c r="AH7" i="39"/>
  <c r="AH8" i="39"/>
  <c r="AH9" i="39"/>
  <c r="AH2" i="29"/>
  <c r="AH3" i="29"/>
  <c r="AH4" i="29"/>
  <c r="AH5" i="29"/>
  <c r="AH6" i="29"/>
  <c r="AH7" i="29"/>
  <c r="AH9" i="29"/>
  <c r="AH10" i="29"/>
  <c r="AH11" i="29"/>
  <c r="AH12" i="29"/>
  <c r="AH8" i="29"/>
  <c r="AH13" i="29"/>
  <c r="AH14" i="29"/>
  <c r="AH15" i="29"/>
  <c r="AH17" i="29"/>
  <c r="AH16" i="29"/>
  <c r="AH21" i="29"/>
  <c r="AH18" i="29"/>
  <c r="AH19" i="29"/>
  <c r="AH20" i="29"/>
  <c r="AH25" i="29"/>
  <c r="AH22" i="29"/>
  <c r="AH23" i="29"/>
  <c r="AH24" i="29"/>
  <c r="AH26" i="29"/>
  <c r="AH27" i="29"/>
  <c r="AH28" i="29"/>
  <c r="AH29" i="29"/>
  <c r="AH30" i="29"/>
  <c r="F14" i="33"/>
  <c r="L14" i="33" s="1"/>
  <c r="F4" i="33"/>
  <c r="C42" i="22"/>
  <c r="L186" i="22"/>
  <c r="N186" i="22" s="1"/>
  <c r="C186" i="22"/>
  <c r="L266" i="22"/>
  <c r="N266" i="22" s="1"/>
  <c r="C266" i="22"/>
  <c r="L265" i="22"/>
  <c r="N265" i="22" s="1"/>
  <c r="C265" i="22"/>
  <c r="L264" i="22"/>
  <c r="N264" i="22" s="1"/>
  <c r="C264" i="22"/>
  <c r="L263" i="22"/>
  <c r="N263" i="22" s="1"/>
  <c r="C263" i="22"/>
  <c r="L177" i="22"/>
  <c r="N177" i="22" s="1"/>
  <c r="C177" i="22"/>
  <c r="R138" i="22"/>
  <c r="L138" i="22"/>
  <c r="N138" i="22" s="1"/>
  <c r="C138" i="22"/>
  <c r="C139" i="22"/>
  <c r="L139" i="22"/>
  <c r="N139" i="22" s="1"/>
  <c r="O139" i="22"/>
  <c r="R139" i="22"/>
  <c r="Y89" i="22"/>
  <c r="L297" i="22"/>
  <c r="N297" i="22" s="1"/>
  <c r="L298" i="22"/>
  <c r="N298" i="22" s="1"/>
  <c r="L289" i="22"/>
  <c r="N289" i="22" s="1"/>
  <c r="C289" i="22"/>
  <c r="R298" i="22"/>
  <c r="C298" i="22"/>
  <c r="L31" i="22"/>
  <c r="N31" i="22" s="1"/>
  <c r="C31" i="22"/>
  <c r="F120" i="23"/>
  <c r="F121" i="23" s="1"/>
  <c r="F122" i="23" s="1"/>
  <c r="F118" i="23"/>
  <c r="F116" i="23"/>
  <c r="F113" i="23"/>
  <c r="F103" i="23"/>
  <c r="F104" i="23" s="1"/>
  <c r="F105" i="23" s="1"/>
  <c r="F106" i="23" s="1"/>
  <c r="F107" i="23" s="1"/>
  <c r="F108" i="23" s="1"/>
  <c r="F109" i="23" s="1"/>
  <c r="F110" i="23" s="1"/>
  <c r="F111" i="23" s="1"/>
  <c r="F95" i="23"/>
  <c r="F96" i="23" s="1"/>
  <c r="F97" i="23" s="1"/>
  <c r="F98" i="23" s="1"/>
  <c r="F99" i="23" s="1"/>
  <c r="F100" i="23" s="1"/>
  <c r="F101" i="23" s="1"/>
  <c r="F92" i="23"/>
  <c r="F90" i="23"/>
  <c r="F84" i="23"/>
  <c r="F82" i="23"/>
  <c r="F76" i="23"/>
  <c r="F77" i="23" s="1"/>
  <c r="F79" i="23"/>
  <c r="F72" i="23"/>
  <c r="F67" i="23"/>
  <c r="F68" i="23" s="1"/>
  <c r="F64" i="23"/>
  <c r="F62" i="23"/>
  <c r="F60" i="23"/>
  <c r="F55" i="23"/>
  <c r="F56" i="23" s="1"/>
  <c r="F57" i="23" s="1"/>
  <c r="F58" i="23" s="1"/>
  <c r="F53" i="23"/>
  <c r="F44" i="23"/>
  <c r="F45" i="23" s="1"/>
  <c r="F38" i="23"/>
  <c r="F39" i="23" s="1"/>
  <c r="F40" i="23" s="1"/>
  <c r="F41" i="23" s="1"/>
  <c r="F42" i="23" s="1"/>
  <c r="F35" i="23"/>
  <c r="F36" i="23" s="1"/>
  <c r="F32" i="23"/>
  <c r="F26" i="23"/>
  <c r="F27" i="23" s="1"/>
  <c r="F28" i="23" s="1"/>
  <c r="F22" i="23"/>
  <c r="F23" i="23" s="1"/>
  <c r="F24" i="23" s="1"/>
  <c r="F18" i="23"/>
  <c r="F19" i="23" s="1"/>
  <c r="F20" i="23" s="1"/>
  <c r="F11" i="23"/>
  <c r="F12" i="23" s="1"/>
  <c r="F13" i="23" s="1"/>
  <c r="F14" i="23" s="1"/>
  <c r="F15" i="23" s="1"/>
  <c r="F16" i="23" s="1"/>
  <c r="F3" i="23"/>
  <c r="F4" i="23" s="1"/>
  <c r="F5" i="23" s="1"/>
  <c r="F6" i="23" s="1"/>
  <c r="F7" i="23" s="1"/>
  <c r="F8" i="23" s="1"/>
  <c r="N3" i="23"/>
  <c r="N4" i="23"/>
  <c r="N5" i="23"/>
  <c r="N6" i="23"/>
  <c r="N7" i="23"/>
  <c r="N8" i="23"/>
  <c r="J9" i="23"/>
  <c r="N9" i="23" s="1"/>
  <c r="J10" i="23"/>
  <c r="N10" i="23" s="1"/>
  <c r="J11" i="23"/>
  <c r="N11" i="23" s="1"/>
  <c r="J12" i="23"/>
  <c r="N12" i="23" s="1"/>
  <c r="J13" i="23"/>
  <c r="N13" i="23" s="1"/>
  <c r="J14" i="23"/>
  <c r="N14" i="23" s="1"/>
  <c r="J15" i="23"/>
  <c r="N15" i="23" s="1"/>
  <c r="J16" i="23"/>
  <c r="N16" i="23" s="1"/>
  <c r="J17" i="23"/>
  <c r="N17" i="23" s="1"/>
  <c r="J18" i="23"/>
  <c r="N18" i="23" s="1"/>
  <c r="J19" i="23"/>
  <c r="N19" i="23" s="1"/>
  <c r="J20" i="23"/>
  <c r="N20" i="23" s="1"/>
  <c r="J21" i="23"/>
  <c r="N21" i="23" s="1"/>
  <c r="J22" i="23"/>
  <c r="N22" i="23" s="1"/>
  <c r="J23" i="23"/>
  <c r="N23" i="23" s="1"/>
  <c r="J24" i="23"/>
  <c r="N24" i="23" s="1"/>
  <c r="J25" i="23"/>
  <c r="N25" i="23" s="1"/>
  <c r="J26" i="23"/>
  <c r="N26" i="23" s="1"/>
  <c r="J27" i="23"/>
  <c r="N27" i="23" s="1"/>
  <c r="J28" i="23"/>
  <c r="N28" i="23" s="1"/>
  <c r="J29" i="23"/>
  <c r="N29" i="23" s="1"/>
  <c r="J30" i="23"/>
  <c r="N30" i="23" s="1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2" i="23"/>
  <c r="R2" i="19"/>
  <c r="C2" i="19"/>
  <c r="R3" i="19"/>
  <c r="C3" i="19"/>
  <c r="R144" i="26"/>
  <c r="J144" i="26"/>
  <c r="C144" i="26"/>
  <c r="R227" i="26"/>
  <c r="J227" i="26"/>
  <c r="C227" i="26"/>
  <c r="Y180" i="26"/>
  <c r="Y23" i="26"/>
  <c r="R23" i="26"/>
  <c r="J23" i="26"/>
  <c r="L23" i="26" s="1"/>
  <c r="N23" i="26" s="1"/>
  <c r="C23" i="26"/>
  <c r="Y46" i="26"/>
  <c r="Y37" i="26"/>
  <c r="Y36" i="26"/>
  <c r="Y24" i="26"/>
  <c r="Y21" i="26"/>
  <c r="Y20" i="26"/>
  <c r="F11" i="2"/>
  <c r="F12" i="2" s="1"/>
  <c r="F7" i="2"/>
  <c r="F8" i="2" s="1"/>
  <c r="F9" i="2" s="1"/>
  <c r="F18" i="2"/>
  <c r="N2" i="20"/>
  <c r="L3" i="29"/>
  <c r="N3" i="29" s="1"/>
  <c r="L4" i="29"/>
  <c r="N4" i="29" s="1"/>
  <c r="L5" i="29"/>
  <c r="N5" i="29" s="1"/>
  <c r="L6" i="29"/>
  <c r="N6" i="29" s="1"/>
  <c r="L7" i="29"/>
  <c r="L9" i="29"/>
  <c r="N9" i="29" s="1"/>
  <c r="L10" i="29"/>
  <c r="N10" i="29" s="1"/>
  <c r="L11" i="29"/>
  <c r="N11" i="29" s="1"/>
  <c r="L12" i="29"/>
  <c r="N12" i="29" s="1"/>
  <c r="L8" i="29"/>
  <c r="N8" i="29" s="1"/>
  <c r="L13" i="29"/>
  <c r="N13" i="29" s="1"/>
  <c r="L14" i="29"/>
  <c r="N14" i="29" s="1"/>
  <c r="L15" i="29"/>
  <c r="N15" i="29" s="1"/>
  <c r="L17" i="29"/>
  <c r="N17" i="29" s="1"/>
  <c r="L16" i="29"/>
  <c r="L21" i="29"/>
  <c r="L18" i="29"/>
  <c r="L19" i="29"/>
  <c r="N19" i="29" s="1"/>
  <c r="L20" i="29"/>
  <c r="N20" i="29" s="1"/>
  <c r="L25" i="29"/>
  <c r="N25" i="29" s="1"/>
  <c r="L22" i="29"/>
  <c r="L23" i="29"/>
  <c r="N23" i="29" s="1"/>
  <c r="L24" i="29"/>
  <c r="L26" i="29"/>
  <c r="L27" i="29"/>
  <c r="N27" i="29" s="1"/>
  <c r="L28" i="29"/>
  <c r="L29" i="29"/>
  <c r="N29" i="29" s="1"/>
  <c r="L30" i="29"/>
  <c r="N30" i="29" s="1"/>
  <c r="L2" i="29"/>
  <c r="N2" i="29" s="1"/>
  <c r="V79" i="34"/>
  <c r="X79" i="34" s="1"/>
  <c r="Y79" i="34" s="1"/>
  <c r="V80" i="34"/>
  <c r="X80" i="34" s="1"/>
  <c r="Y80" i="34" s="1"/>
  <c r="V81" i="34"/>
  <c r="X81" i="34" s="1"/>
  <c r="Y81" i="34" s="1"/>
  <c r="V52" i="34"/>
  <c r="X52" i="34" s="1"/>
  <c r="Y52" i="34" s="1"/>
  <c r="V53" i="34"/>
  <c r="V86" i="34"/>
  <c r="X86" i="34" s="1"/>
  <c r="Y86" i="34" s="1"/>
  <c r="V87" i="34"/>
  <c r="V85" i="34"/>
  <c r="V64" i="34"/>
  <c r="V23" i="34"/>
  <c r="X23" i="34" s="1"/>
  <c r="Y23" i="34" s="1"/>
  <c r="V14" i="34"/>
  <c r="X14" i="34" s="1"/>
  <c r="Y14" i="34" s="1"/>
  <c r="V60" i="34"/>
  <c r="X60" i="34" s="1"/>
  <c r="Y60" i="34" s="1"/>
  <c r="V17" i="34"/>
  <c r="X17" i="34" s="1"/>
  <c r="Y17" i="34" s="1"/>
  <c r="V18" i="34"/>
  <c r="X18" i="34" s="1"/>
  <c r="Y18" i="34" s="1"/>
  <c r="V61" i="34"/>
  <c r="V62" i="34"/>
  <c r="V71" i="34"/>
  <c r="V19" i="34"/>
  <c r="V66" i="34"/>
  <c r="V16" i="34"/>
  <c r="X16" i="34" s="1"/>
  <c r="Y16" i="34" s="1"/>
  <c r="V67" i="34"/>
  <c r="V68" i="34"/>
  <c r="V69" i="34"/>
  <c r="X69" i="34" s="1"/>
  <c r="Y69" i="34" s="1"/>
  <c r="V70" i="34"/>
  <c r="X70" i="34" s="1"/>
  <c r="Y70" i="34" s="1"/>
  <c r="V63" i="34"/>
  <c r="V45" i="34"/>
  <c r="X45" i="34" s="1"/>
  <c r="Y45" i="34" s="1"/>
  <c r="V39" i="34"/>
  <c r="X39" i="34" s="1"/>
  <c r="Y39" i="34" s="1"/>
  <c r="V41" i="34"/>
  <c r="X41" i="34" s="1"/>
  <c r="Y41" i="34" s="1"/>
  <c r="V43" i="34"/>
  <c r="X43" i="34" s="1"/>
  <c r="Y43" i="34" s="1"/>
  <c r="V44" i="34"/>
  <c r="X44" i="34" s="1"/>
  <c r="Y44" i="34" s="1"/>
  <c r="V11" i="34"/>
  <c r="X11" i="34" s="1"/>
  <c r="Y11" i="34" s="1"/>
  <c r="V8" i="34"/>
  <c r="X8" i="34" s="1"/>
  <c r="Y8" i="34" s="1"/>
  <c r="V10" i="34"/>
  <c r="V9" i="34"/>
  <c r="V74" i="34"/>
  <c r="V76" i="34"/>
  <c r="X76" i="34" s="1"/>
  <c r="Y76" i="34" s="1"/>
  <c r="V77" i="34"/>
  <c r="X77" i="34" s="1"/>
  <c r="Y77" i="34" s="1"/>
  <c r="V37" i="34"/>
  <c r="X37" i="34" s="1"/>
  <c r="Y37" i="34" s="1"/>
  <c r="V38" i="34"/>
  <c r="X38" i="34" s="1"/>
  <c r="Y38" i="34" s="1"/>
  <c r="V28" i="34"/>
  <c r="V29" i="34"/>
  <c r="X29" i="34" s="1"/>
  <c r="Y29" i="34" s="1"/>
  <c r="V7" i="34"/>
  <c r="X7" i="34" s="1"/>
  <c r="Y7" i="34" s="1"/>
  <c r="V12" i="34"/>
  <c r="V73" i="34"/>
  <c r="X73" i="34" s="1"/>
  <c r="Y73" i="34" s="1"/>
  <c r="V72" i="34"/>
  <c r="V13" i="34"/>
  <c r="X13" i="34" s="1"/>
  <c r="Y13" i="34" s="1"/>
  <c r="V46" i="34"/>
  <c r="V47" i="34"/>
  <c r="V33" i="34"/>
  <c r="X33" i="34" s="1"/>
  <c r="Y33" i="34" s="1"/>
  <c r="V34" i="34"/>
  <c r="V30" i="34"/>
  <c r="V31" i="34"/>
  <c r="V32" i="34"/>
  <c r="X32" i="34" s="1"/>
  <c r="Y32" i="34" s="1"/>
  <c r="V75" i="34"/>
  <c r="V24" i="34"/>
  <c r="V25" i="34"/>
  <c r="V26" i="34"/>
  <c r="X26" i="34" s="1"/>
  <c r="Y26" i="34" s="1"/>
  <c r="V27" i="34"/>
  <c r="X27" i="34" s="1"/>
  <c r="Y27" i="34" s="1"/>
  <c r="V2" i="34"/>
  <c r="V6" i="34"/>
  <c r="V4" i="34"/>
  <c r="V3" i="34"/>
  <c r="V20" i="34"/>
  <c r="X20" i="34" s="1"/>
  <c r="Y20" i="34" s="1"/>
  <c r="V56" i="34"/>
  <c r="X56" i="34" s="1"/>
  <c r="Y56" i="34" s="1"/>
  <c r="V54" i="34"/>
  <c r="X54" i="34" s="1"/>
  <c r="Y54" i="34" s="1"/>
  <c r="V55" i="34"/>
  <c r="V5" i="34"/>
  <c r="V21" i="34"/>
  <c r="V78" i="34"/>
  <c r="X78" i="34" s="1"/>
  <c r="Y78" i="34" s="1"/>
  <c r="V83" i="34"/>
  <c r="X83" i="34" s="1"/>
  <c r="Y83" i="34" s="1"/>
  <c r="V48" i="34"/>
  <c r="V49" i="34"/>
  <c r="X49" i="34" s="1"/>
  <c r="Y49" i="34" s="1"/>
  <c r="V50" i="34"/>
  <c r="X50" i="34" s="1"/>
  <c r="Y50" i="34" s="1"/>
  <c r="V51" i="34"/>
  <c r="V35" i="34"/>
  <c r="V36" i="34"/>
  <c r="C297" i="22"/>
  <c r="R297" i="22"/>
  <c r="F5" i="33" l="1"/>
  <c r="L5" i="33" s="1"/>
  <c r="L4" i="33"/>
  <c r="N14" i="33"/>
  <c r="AB14" i="33"/>
  <c r="O8" i="26"/>
  <c r="O8" i="39"/>
  <c r="AB55" i="40"/>
  <c r="AB56" i="40"/>
  <c r="AB46" i="40"/>
  <c r="AB47" i="40"/>
  <c r="AB42" i="40"/>
  <c r="F44" i="40"/>
  <c r="L44" i="40" s="1"/>
  <c r="L43" i="40"/>
  <c r="AB33" i="40"/>
  <c r="F35" i="40"/>
  <c r="L34" i="40"/>
  <c r="AB22" i="40"/>
  <c r="L23" i="40"/>
  <c r="F24" i="40"/>
  <c r="L24" i="40" s="1"/>
  <c r="AB6" i="40"/>
  <c r="F8" i="40"/>
  <c r="L7" i="40"/>
  <c r="N7" i="40" s="1"/>
  <c r="O7" i="40" s="1"/>
  <c r="AB16" i="40"/>
  <c r="F18" i="40"/>
  <c r="L17" i="40"/>
  <c r="F123" i="23"/>
  <c r="F124" i="23"/>
  <c r="N28" i="29"/>
  <c r="AB28" i="2"/>
  <c r="N26" i="29"/>
  <c r="AB26" i="2"/>
  <c r="N24" i="29"/>
  <c r="AB25" i="2"/>
  <c r="N22" i="29"/>
  <c r="AB15" i="15"/>
  <c r="N18" i="29"/>
  <c r="AB18" i="15"/>
  <c r="N21" i="29"/>
  <c r="AB17" i="15"/>
  <c r="N16" i="29"/>
  <c r="AB27" i="2"/>
  <c r="N7" i="29"/>
  <c r="AB16" i="15"/>
  <c r="F85" i="23"/>
  <c r="X2" i="34"/>
  <c r="Y2" i="34" s="1"/>
  <c r="X24" i="34"/>
  <c r="Y24" i="34" s="1"/>
  <c r="X62" i="34"/>
  <c r="Y62" i="34" s="1"/>
  <c r="X61" i="34"/>
  <c r="Y61" i="34" s="1"/>
  <c r="O298" i="22"/>
  <c r="O297" i="22"/>
  <c r="AB9" i="15"/>
  <c r="AB122" i="23"/>
  <c r="AB121" i="23"/>
  <c r="AB120" i="23"/>
  <c r="AB119" i="23"/>
  <c r="AB118" i="23"/>
  <c r="AB117" i="23"/>
  <c r="AB116" i="23"/>
  <c r="AB115" i="23"/>
  <c r="AB114" i="23"/>
  <c r="AB113" i="23"/>
  <c r="AB112" i="23"/>
  <c r="AB111" i="23"/>
  <c r="AB110" i="23"/>
  <c r="AB109" i="23"/>
  <c r="AB108" i="23"/>
  <c r="AB107" i="23"/>
  <c r="AB106" i="23"/>
  <c r="AB105" i="23"/>
  <c r="AB104" i="23"/>
  <c r="AB103" i="23"/>
  <c r="AB102" i="23"/>
  <c r="AB101" i="23"/>
  <c r="AB100" i="23"/>
  <c r="AB99" i="23"/>
  <c r="AB98" i="23"/>
  <c r="AB97" i="23"/>
  <c r="AB96" i="23"/>
  <c r="AB95" i="23"/>
  <c r="AB94" i="23"/>
  <c r="AB93" i="23"/>
  <c r="AB92" i="23"/>
  <c r="AB91" i="23"/>
  <c r="AB90" i="23"/>
  <c r="AB89" i="23"/>
  <c r="AB88" i="23"/>
  <c r="AB84" i="23"/>
  <c r="AB83" i="23"/>
  <c r="AB82" i="23"/>
  <c r="AB81" i="23"/>
  <c r="AB80" i="23"/>
  <c r="AB79" i="23"/>
  <c r="AB78" i="23"/>
  <c r="AB77" i="23"/>
  <c r="AB76" i="23"/>
  <c r="AB75" i="23"/>
  <c r="AB74" i="23"/>
  <c r="AB73" i="23"/>
  <c r="AB72" i="23"/>
  <c r="AB71" i="23"/>
  <c r="AB70" i="23"/>
  <c r="AB69" i="23"/>
  <c r="AB68" i="23"/>
  <c r="AB67" i="23"/>
  <c r="AB66" i="23"/>
  <c r="AB64" i="23"/>
  <c r="AB63" i="23"/>
  <c r="AB62" i="23"/>
  <c r="AB61" i="23"/>
  <c r="AB60" i="23"/>
  <c r="AB59" i="23"/>
  <c r="AB58" i="23"/>
  <c r="AB57" i="23"/>
  <c r="AB56" i="23"/>
  <c r="AB55" i="23"/>
  <c r="AB54" i="23"/>
  <c r="AB53" i="23"/>
  <c r="AB52" i="23"/>
  <c r="AB51" i="23"/>
  <c r="AB50" i="23"/>
  <c r="AB49" i="23"/>
  <c r="AB48" i="23"/>
  <c r="AB47" i="23"/>
  <c r="AB46" i="23"/>
  <c r="AB45" i="23"/>
  <c r="AB44" i="23"/>
  <c r="AB43" i="23"/>
  <c r="AB42" i="23"/>
  <c r="AB41" i="23"/>
  <c r="AB40" i="23"/>
  <c r="AB39" i="23"/>
  <c r="AB38" i="23"/>
  <c r="AB37" i="23"/>
  <c r="AB36" i="23"/>
  <c r="AB35" i="23"/>
  <c r="AB34" i="23"/>
  <c r="AB33" i="23"/>
  <c r="AB32" i="23"/>
  <c r="AB31" i="23"/>
  <c r="AB30" i="23"/>
  <c r="AB29" i="23"/>
  <c r="AB28" i="23"/>
  <c r="AB27" i="23"/>
  <c r="AB26" i="23"/>
  <c r="AB25" i="23"/>
  <c r="AB24" i="23"/>
  <c r="AB23" i="23"/>
  <c r="AB22" i="23"/>
  <c r="AB21" i="23"/>
  <c r="AB20" i="23"/>
  <c r="AB19" i="23"/>
  <c r="AB18" i="23"/>
  <c r="AB17" i="23"/>
  <c r="AB16" i="23"/>
  <c r="AB15" i="23"/>
  <c r="AB14" i="23"/>
  <c r="AB13" i="23"/>
  <c r="AB12" i="23"/>
  <c r="AB11" i="23"/>
  <c r="AB10" i="23"/>
  <c r="AB9" i="23"/>
  <c r="AB8" i="23"/>
  <c r="AB7" i="23"/>
  <c r="AB6" i="23"/>
  <c r="AB5" i="23"/>
  <c r="AB4" i="23"/>
  <c r="AB3" i="23"/>
  <c r="AB2" i="23"/>
  <c r="L15" i="35"/>
  <c r="AC15" i="35" s="1"/>
  <c r="L14" i="35"/>
  <c r="AC14" i="35" s="1"/>
  <c r="L13" i="35"/>
  <c r="AC13" i="35" s="1"/>
  <c r="L12" i="35"/>
  <c r="AC12" i="35" s="1"/>
  <c r="L11" i="35"/>
  <c r="AC11" i="35" s="1"/>
  <c r="L10" i="35"/>
  <c r="AC10" i="35" s="1"/>
  <c r="L9" i="35"/>
  <c r="AC9" i="35" s="1"/>
  <c r="L8" i="35"/>
  <c r="AC8" i="35" s="1"/>
  <c r="L7" i="35"/>
  <c r="AC7" i="35" s="1"/>
  <c r="L6" i="35"/>
  <c r="AC6" i="35" s="1"/>
  <c r="L5" i="35"/>
  <c r="AC5" i="35" s="1"/>
  <c r="L4" i="35"/>
  <c r="AC4" i="35" s="1"/>
  <c r="L3" i="35"/>
  <c r="AC3" i="35" s="1"/>
  <c r="L2" i="35"/>
  <c r="AC2" i="35" s="1"/>
  <c r="L42" i="22"/>
  <c r="N42" i="22" s="1"/>
  <c r="O23" i="26"/>
  <c r="AB23" i="26"/>
  <c r="L17" i="30"/>
  <c r="AB17" i="30" s="1"/>
  <c r="L13" i="30"/>
  <c r="AB13" i="30" s="1"/>
  <c r="F24" i="30"/>
  <c r="L20" i="30"/>
  <c r="AB20" i="30" s="1"/>
  <c r="L18" i="30"/>
  <c r="AB18" i="30" s="1"/>
  <c r="L14" i="30"/>
  <c r="AB14" i="30" s="1"/>
  <c r="F25" i="30"/>
  <c r="L21" i="30"/>
  <c r="AB21" i="30" s="1"/>
  <c r="AB2" i="29"/>
  <c r="AB2" i="22"/>
  <c r="AB2" i="2"/>
  <c r="AB2" i="41"/>
  <c r="AB2" i="15"/>
  <c r="AB2" i="39"/>
  <c r="AB30" i="29"/>
  <c r="AB30" i="22"/>
  <c r="AB30" i="41"/>
  <c r="AB29" i="29"/>
  <c r="AB29" i="22"/>
  <c r="AB29" i="41"/>
  <c r="AB28" i="29"/>
  <c r="AB28" i="22"/>
  <c r="AB28" i="41"/>
  <c r="AB27" i="29"/>
  <c r="AB27" i="22"/>
  <c r="AB27" i="41"/>
  <c r="AB26" i="29"/>
  <c r="AB26" i="22"/>
  <c r="AB26" i="41"/>
  <c r="AB24" i="29"/>
  <c r="AB25" i="22"/>
  <c r="AB25" i="41"/>
  <c r="AB23" i="29"/>
  <c r="AB24" i="22"/>
  <c r="AB24" i="2"/>
  <c r="AB24" i="41"/>
  <c r="AB22" i="29"/>
  <c r="AB23" i="22"/>
  <c r="AB23" i="2"/>
  <c r="AB23" i="41"/>
  <c r="AB25" i="29"/>
  <c r="AB22" i="22"/>
  <c r="AB22" i="2"/>
  <c r="AB22" i="41"/>
  <c r="AB20" i="29"/>
  <c r="AB21" i="22"/>
  <c r="AB21" i="2"/>
  <c r="AB21" i="41"/>
  <c r="AB19" i="29"/>
  <c r="AB20" i="22"/>
  <c r="AB20" i="2"/>
  <c r="AB20" i="41"/>
  <c r="AB18" i="29"/>
  <c r="AB19" i="22"/>
  <c r="AB19" i="2"/>
  <c r="AB19" i="41"/>
  <c r="AB21" i="29"/>
  <c r="AB18" i="22"/>
  <c r="AB18" i="2"/>
  <c r="AB18" i="41"/>
  <c r="AB16" i="29"/>
  <c r="AB17" i="22"/>
  <c r="AB17" i="2"/>
  <c r="AB17" i="41"/>
  <c r="AB17" i="29"/>
  <c r="AB16" i="22"/>
  <c r="AB16" i="2"/>
  <c r="AB16" i="41"/>
  <c r="AB15" i="29"/>
  <c r="AB15" i="22"/>
  <c r="AB15" i="2"/>
  <c r="AB15" i="41"/>
  <c r="AB14" i="29"/>
  <c r="AB14" i="22"/>
  <c r="AB14" i="2"/>
  <c r="AB14" i="41"/>
  <c r="AB13" i="29"/>
  <c r="AB13" i="22"/>
  <c r="AB13" i="2"/>
  <c r="AB13" i="41"/>
  <c r="AB14" i="15"/>
  <c r="AB8" i="29"/>
  <c r="AB12" i="22"/>
  <c r="AB12" i="2"/>
  <c r="AB12" i="41"/>
  <c r="AB13" i="15"/>
  <c r="AB12" i="29"/>
  <c r="AB11" i="22"/>
  <c r="AB11" i="2"/>
  <c r="AB11" i="41"/>
  <c r="AB12" i="15"/>
  <c r="AB11" i="29"/>
  <c r="AB10" i="22"/>
  <c r="AB10" i="2"/>
  <c r="AB10" i="41"/>
  <c r="AB11" i="15"/>
  <c r="AB10" i="29"/>
  <c r="AB9" i="22"/>
  <c r="AB9" i="2"/>
  <c r="AB9" i="41"/>
  <c r="AB10" i="15"/>
  <c r="AB9" i="39"/>
  <c r="AB9" i="29"/>
  <c r="AB8" i="22"/>
  <c r="AB8" i="2"/>
  <c r="AB8" i="41"/>
  <c r="AB8" i="15"/>
  <c r="AB8" i="39"/>
  <c r="AB7" i="29"/>
  <c r="AB7" i="22"/>
  <c r="AB7" i="2"/>
  <c r="AB7" i="41"/>
  <c r="AB7" i="15"/>
  <c r="AB7" i="39"/>
  <c r="AB6" i="29"/>
  <c r="AB6" i="22"/>
  <c r="AB6" i="2"/>
  <c r="AB6" i="41"/>
  <c r="AB6" i="15"/>
  <c r="AB6" i="39"/>
  <c r="AB5" i="29"/>
  <c r="AB5" i="22"/>
  <c r="AB5" i="2"/>
  <c r="AB5" i="41"/>
  <c r="AB5" i="15"/>
  <c r="AB5" i="39"/>
  <c r="AB4" i="29"/>
  <c r="AB4" i="22"/>
  <c r="AB4" i="2"/>
  <c r="AB4" i="41"/>
  <c r="AB4" i="15"/>
  <c r="AB4" i="39"/>
  <c r="AB3" i="29"/>
  <c r="AB3" i="22"/>
  <c r="AB3" i="2"/>
  <c r="AB3" i="41"/>
  <c r="AB3" i="15"/>
  <c r="AB3" i="39"/>
  <c r="AB31" i="22"/>
  <c r="AB31" i="41"/>
  <c r="AB32" i="22"/>
  <c r="AB32" i="41"/>
  <c r="O31" i="22"/>
  <c r="O289" i="22"/>
  <c r="O138" i="22"/>
  <c r="O177" i="22"/>
  <c r="O263" i="22"/>
  <c r="O264" i="22"/>
  <c r="O265" i="22"/>
  <c r="O266" i="22"/>
  <c r="O186" i="22"/>
  <c r="O42" i="22"/>
  <c r="F222" i="26"/>
  <c r="F223" i="26" s="1"/>
  <c r="F224" i="26" s="1"/>
  <c r="F225" i="26" s="1"/>
  <c r="F226" i="26" s="1"/>
  <c r="F227" i="26" s="1"/>
  <c r="L227" i="26" s="1"/>
  <c r="N227" i="26" s="1"/>
  <c r="F218" i="26"/>
  <c r="F219" i="26" s="1"/>
  <c r="F220" i="26" s="1"/>
  <c r="F216" i="26"/>
  <c r="F215" i="26"/>
  <c r="F209" i="26"/>
  <c r="F205" i="26"/>
  <c r="F206" i="26" s="1"/>
  <c r="F207" i="26" s="1"/>
  <c r="F210" i="26" s="1"/>
  <c r="F211" i="26" s="1"/>
  <c r="F212" i="26" s="1"/>
  <c r="F201" i="26"/>
  <c r="F202" i="26" s="1"/>
  <c r="F203" i="26" s="1"/>
  <c r="F192" i="26"/>
  <c r="F190" i="26"/>
  <c r="F181" i="26"/>
  <c r="F185" i="26"/>
  <c r="F179" i="26"/>
  <c r="L179" i="26" s="1"/>
  <c r="N179" i="26" s="1"/>
  <c r="F176" i="26"/>
  <c r="F177" i="26" s="1"/>
  <c r="F160" i="26"/>
  <c r="F158" i="26"/>
  <c r="F142" i="26"/>
  <c r="F143" i="26" s="1"/>
  <c r="J151" i="26"/>
  <c r="F151" i="26"/>
  <c r="F152" i="26" s="1"/>
  <c r="F153" i="26" s="1"/>
  <c r="F154" i="26" s="1"/>
  <c r="F155" i="26" s="1"/>
  <c r="F156" i="26" s="1"/>
  <c r="J137" i="26"/>
  <c r="J138" i="26"/>
  <c r="J139" i="26"/>
  <c r="J140" i="26"/>
  <c r="F137" i="26"/>
  <c r="F138" i="26" s="1"/>
  <c r="F139" i="26" s="1"/>
  <c r="F140" i="26" s="1"/>
  <c r="F130" i="26"/>
  <c r="F131" i="26" s="1"/>
  <c r="F187" i="26"/>
  <c r="F125" i="26"/>
  <c r="F126" i="26" s="1"/>
  <c r="F127" i="26" s="1"/>
  <c r="F104" i="26"/>
  <c r="F100" i="26"/>
  <c r="F101" i="26" s="1"/>
  <c r="F102" i="26" s="1"/>
  <c r="R98" i="26"/>
  <c r="J98" i="26"/>
  <c r="L98" i="26" s="1"/>
  <c r="N98" i="26" s="1"/>
  <c r="C98" i="26"/>
  <c r="C196" i="26"/>
  <c r="C193" i="26"/>
  <c r="C199" i="26"/>
  <c r="C195" i="26"/>
  <c r="R195" i="26"/>
  <c r="L195" i="26"/>
  <c r="N195" i="26" s="1"/>
  <c r="R199" i="26"/>
  <c r="L199" i="26"/>
  <c r="N199" i="26" s="1"/>
  <c r="R193" i="26"/>
  <c r="L193" i="26"/>
  <c r="N193" i="26" s="1"/>
  <c r="R196" i="26"/>
  <c r="L196" i="26"/>
  <c r="N196" i="26" s="1"/>
  <c r="F80" i="26"/>
  <c r="F81" i="26" s="1"/>
  <c r="F82" i="26" s="1"/>
  <c r="F83" i="26" s="1"/>
  <c r="F84" i="26" s="1"/>
  <c r="F85" i="26" s="1"/>
  <c r="F78" i="26"/>
  <c r="F75" i="26"/>
  <c r="F68" i="26"/>
  <c r="F69" i="26" s="1"/>
  <c r="F70" i="26" s="1"/>
  <c r="F71" i="26" s="1"/>
  <c r="F72" i="26" s="1"/>
  <c r="F64" i="26"/>
  <c r="F65" i="26" s="1"/>
  <c r="F66" i="26" s="1"/>
  <c r="F62" i="26"/>
  <c r="F58" i="26"/>
  <c r="F59" i="26" s="1"/>
  <c r="F60" i="26" s="1"/>
  <c r="L2" i="26"/>
  <c r="N2" i="26" s="1"/>
  <c r="O2" i="39" s="1"/>
  <c r="L4" i="26"/>
  <c r="N4" i="26" s="1"/>
  <c r="O4" i="39" s="1"/>
  <c r="L12" i="26"/>
  <c r="N12" i="26" s="1"/>
  <c r="L22" i="26"/>
  <c r="N22" i="26" s="1"/>
  <c r="L25" i="26"/>
  <c r="N25" i="26" s="1"/>
  <c r="L40" i="26"/>
  <c r="N40" i="26" s="1"/>
  <c r="L43" i="26"/>
  <c r="N43" i="26" s="1"/>
  <c r="L44" i="26"/>
  <c r="N44" i="26" s="1"/>
  <c r="L53" i="26"/>
  <c r="N53" i="26" s="1"/>
  <c r="L57" i="26"/>
  <c r="N57" i="26" s="1"/>
  <c r="L58" i="26"/>
  <c r="N58" i="26" s="1"/>
  <c r="L59" i="26"/>
  <c r="N59" i="26" s="1"/>
  <c r="L60" i="26"/>
  <c r="N60" i="26" s="1"/>
  <c r="L64" i="26"/>
  <c r="N64" i="26" s="1"/>
  <c r="L65" i="26"/>
  <c r="N65" i="26" s="1"/>
  <c r="L66" i="26"/>
  <c r="N66" i="26" s="1"/>
  <c r="L68" i="26"/>
  <c r="N68" i="26" s="1"/>
  <c r="L69" i="26"/>
  <c r="N69" i="26" s="1"/>
  <c r="L70" i="26"/>
  <c r="N70" i="26" s="1"/>
  <c r="L71" i="26"/>
  <c r="N71" i="26" s="1"/>
  <c r="L72" i="26"/>
  <c r="N72" i="26" s="1"/>
  <c r="F51" i="26"/>
  <c r="F42" i="26"/>
  <c r="F39" i="26"/>
  <c r="F33" i="26"/>
  <c r="F29" i="26"/>
  <c r="F27" i="26"/>
  <c r="F5" i="26"/>
  <c r="F13" i="26"/>
  <c r="J41" i="26"/>
  <c r="J42" i="26"/>
  <c r="J45" i="26"/>
  <c r="J46" i="26"/>
  <c r="J48" i="26"/>
  <c r="J50" i="26"/>
  <c r="J51" i="26"/>
  <c r="J52" i="26"/>
  <c r="J20" i="26"/>
  <c r="J21" i="26"/>
  <c r="J24" i="26"/>
  <c r="J61" i="26"/>
  <c r="J62" i="26"/>
  <c r="J26" i="26"/>
  <c r="J27" i="26"/>
  <c r="J86" i="26"/>
  <c r="J213" i="26"/>
  <c r="J214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49" i="26"/>
  <c r="J99" i="26"/>
  <c r="J100" i="26"/>
  <c r="J101" i="26"/>
  <c r="J102" i="26"/>
  <c r="J103" i="26"/>
  <c r="J136" i="26"/>
  <c r="J141" i="26"/>
  <c r="J142" i="26"/>
  <c r="J143" i="26"/>
  <c r="J145" i="26"/>
  <c r="J146" i="26"/>
  <c r="J147" i="26"/>
  <c r="J148" i="26"/>
  <c r="J149" i="26"/>
  <c r="J150" i="26"/>
  <c r="J152" i="26"/>
  <c r="J153" i="26"/>
  <c r="J154" i="26"/>
  <c r="J155" i="26"/>
  <c r="J156" i="26"/>
  <c r="J157" i="26"/>
  <c r="J158" i="26"/>
  <c r="J159" i="26"/>
  <c r="J160" i="26"/>
  <c r="J161" i="26"/>
  <c r="J162" i="26"/>
  <c r="J215" i="26"/>
  <c r="J216" i="26"/>
  <c r="J163" i="26"/>
  <c r="J164" i="26"/>
  <c r="J91" i="26"/>
  <c r="J92" i="26"/>
  <c r="J93" i="26"/>
  <c r="J165" i="26"/>
  <c r="J166" i="26"/>
  <c r="J217" i="26"/>
  <c r="J218" i="26"/>
  <c r="J219" i="26"/>
  <c r="J220" i="26"/>
  <c r="J221" i="26"/>
  <c r="J222" i="26"/>
  <c r="J223" i="26"/>
  <c r="J224" i="26"/>
  <c r="J225" i="26"/>
  <c r="J226" i="26"/>
  <c r="J189" i="26"/>
  <c r="J190" i="26"/>
  <c r="J95" i="26"/>
  <c r="J96" i="26"/>
  <c r="J9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104" i="26"/>
  <c r="J191" i="26"/>
  <c r="J192" i="26"/>
  <c r="F22" i="2"/>
  <c r="L2" i="2"/>
  <c r="N2" i="2" s="1"/>
  <c r="L3" i="2"/>
  <c r="N3" i="2" s="1"/>
  <c r="L4" i="2"/>
  <c r="N4" i="2" s="1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38" i="41"/>
  <c r="L32" i="41"/>
  <c r="L31" i="41"/>
  <c r="L30" i="41"/>
  <c r="L29" i="41"/>
  <c r="L25" i="41"/>
  <c r="L23" i="41"/>
  <c r="L20" i="41"/>
  <c r="L16" i="41"/>
  <c r="L15" i="41"/>
  <c r="L8" i="41"/>
  <c r="L4" i="41"/>
  <c r="L2" i="41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72" i="17"/>
  <c r="F136" i="17" s="1"/>
  <c r="J2" i="17"/>
  <c r="J3" i="17"/>
  <c r="J4" i="17"/>
  <c r="J5" i="17"/>
  <c r="J7" i="17"/>
  <c r="J8" i="17"/>
  <c r="J10" i="17"/>
  <c r="J11" i="17"/>
  <c r="J12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K2" i="17"/>
  <c r="K3" i="17"/>
  <c r="K4" i="17"/>
  <c r="K5" i="17"/>
  <c r="K7" i="17"/>
  <c r="K8" i="17"/>
  <c r="K10" i="17"/>
  <c r="K11" i="17"/>
  <c r="K12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L110" i="22"/>
  <c r="N110" i="22" s="1"/>
  <c r="L111" i="22"/>
  <c r="N111" i="22" s="1"/>
  <c r="L112" i="22"/>
  <c r="N112" i="22" s="1"/>
  <c r="L113" i="22"/>
  <c r="N113" i="22" s="1"/>
  <c r="L118" i="22"/>
  <c r="N118" i="22" s="1"/>
  <c r="L119" i="22"/>
  <c r="N119" i="22" s="1"/>
  <c r="L120" i="22"/>
  <c r="N120" i="22" s="1"/>
  <c r="L121" i="22"/>
  <c r="N121" i="22" s="1"/>
  <c r="L122" i="22"/>
  <c r="N122" i="22" s="1"/>
  <c r="L123" i="22"/>
  <c r="N123" i="22" s="1"/>
  <c r="L124" i="22"/>
  <c r="N124" i="22" s="1"/>
  <c r="L125" i="22"/>
  <c r="N125" i="22" s="1"/>
  <c r="L128" i="22"/>
  <c r="N128" i="22" s="1"/>
  <c r="L129" i="22"/>
  <c r="N129" i="22" s="1"/>
  <c r="L130" i="22"/>
  <c r="N130" i="22" s="1"/>
  <c r="L131" i="22"/>
  <c r="N131" i="22" s="1"/>
  <c r="L132" i="22"/>
  <c r="N132" i="22" s="1"/>
  <c r="L133" i="22"/>
  <c r="N133" i="22" s="1"/>
  <c r="L134" i="22"/>
  <c r="N134" i="22" s="1"/>
  <c r="L135" i="22"/>
  <c r="N135" i="22" s="1"/>
  <c r="L136" i="22"/>
  <c r="N136" i="22" s="1"/>
  <c r="L137" i="22"/>
  <c r="N137" i="22" s="1"/>
  <c r="L287" i="22"/>
  <c r="N287" i="22" s="1"/>
  <c r="L288" i="22"/>
  <c r="N288" i="22" s="1"/>
  <c r="L141" i="22"/>
  <c r="N141" i="22" s="1"/>
  <c r="L142" i="22"/>
  <c r="N142" i="22" s="1"/>
  <c r="L143" i="22"/>
  <c r="N143" i="22" s="1"/>
  <c r="L144" i="22"/>
  <c r="N144" i="22" s="1"/>
  <c r="L145" i="22"/>
  <c r="N145" i="22" s="1"/>
  <c r="L147" i="22"/>
  <c r="N147" i="22" s="1"/>
  <c r="L148" i="22"/>
  <c r="N148" i="22" s="1"/>
  <c r="L149" i="22"/>
  <c r="N149" i="22" s="1"/>
  <c r="L150" i="22"/>
  <c r="N150" i="22" s="1"/>
  <c r="L151" i="22"/>
  <c r="N151" i="22" s="1"/>
  <c r="L152" i="22"/>
  <c r="N152" i="22" s="1"/>
  <c r="L154" i="22"/>
  <c r="N154" i="22" s="1"/>
  <c r="L155" i="22"/>
  <c r="N155" i="22" s="1"/>
  <c r="L156" i="22"/>
  <c r="N156" i="22" s="1"/>
  <c r="L157" i="22"/>
  <c r="N157" i="22" s="1"/>
  <c r="L158" i="22"/>
  <c r="N158" i="22" s="1"/>
  <c r="L159" i="22"/>
  <c r="N159" i="22" s="1"/>
  <c r="L160" i="22"/>
  <c r="N160" i="22" s="1"/>
  <c r="L161" i="22"/>
  <c r="N161" i="22" s="1"/>
  <c r="L162" i="22"/>
  <c r="N162" i="22" s="1"/>
  <c r="L163" i="22"/>
  <c r="N163" i="22" s="1"/>
  <c r="L164" i="22"/>
  <c r="N164" i="22" s="1"/>
  <c r="L165" i="22"/>
  <c r="N165" i="22" s="1"/>
  <c r="L166" i="22"/>
  <c r="N166" i="22" s="1"/>
  <c r="L167" i="22"/>
  <c r="N167" i="22" s="1"/>
  <c r="L168" i="22"/>
  <c r="N168" i="22" s="1"/>
  <c r="L169" i="22"/>
  <c r="N169" i="22" s="1"/>
  <c r="L170" i="22"/>
  <c r="N170" i="22" s="1"/>
  <c r="L171" i="22"/>
  <c r="N171" i="22" s="1"/>
  <c r="L172" i="22"/>
  <c r="N172" i="22" s="1"/>
  <c r="L173" i="22"/>
  <c r="N173" i="22" s="1"/>
  <c r="L174" i="22"/>
  <c r="N174" i="22" s="1"/>
  <c r="L175" i="22"/>
  <c r="N175" i="22" s="1"/>
  <c r="L176" i="22"/>
  <c r="N176" i="22" s="1"/>
  <c r="L178" i="22"/>
  <c r="N178" i="22" s="1"/>
  <c r="L179" i="22"/>
  <c r="N179" i="22" s="1"/>
  <c r="L180" i="22"/>
  <c r="N180" i="22" s="1"/>
  <c r="L181" i="22"/>
  <c r="N181" i="22" s="1"/>
  <c r="L182" i="22"/>
  <c r="N182" i="22" s="1"/>
  <c r="L183" i="22"/>
  <c r="N183" i="22" s="1"/>
  <c r="L184" i="22"/>
  <c r="N184" i="22" s="1"/>
  <c r="L185" i="22"/>
  <c r="N185" i="22" s="1"/>
  <c r="L187" i="22"/>
  <c r="N187" i="22" s="1"/>
  <c r="L188" i="22"/>
  <c r="N188" i="22" s="1"/>
  <c r="L189" i="22"/>
  <c r="N189" i="22" s="1"/>
  <c r="L190" i="22"/>
  <c r="N190" i="22" s="1"/>
  <c r="L191" i="22"/>
  <c r="N191" i="22" s="1"/>
  <c r="L192" i="22"/>
  <c r="N192" i="22" s="1"/>
  <c r="L193" i="22"/>
  <c r="N193" i="22" s="1"/>
  <c r="L194" i="22"/>
  <c r="N194" i="22" s="1"/>
  <c r="L195" i="22"/>
  <c r="N195" i="22" s="1"/>
  <c r="L196" i="22"/>
  <c r="N196" i="22" s="1"/>
  <c r="L197" i="22"/>
  <c r="N197" i="22" s="1"/>
  <c r="L198" i="22"/>
  <c r="N198" i="22" s="1"/>
  <c r="L199" i="22"/>
  <c r="N199" i="22" s="1"/>
  <c r="L200" i="22"/>
  <c r="N200" i="22" s="1"/>
  <c r="L201" i="22"/>
  <c r="N201" i="22" s="1"/>
  <c r="L202" i="22"/>
  <c r="N202" i="22" s="1"/>
  <c r="L203" i="22"/>
  <c r="N203" i="22" s="1"/>
  <c r="L204" i="22"/>
  <c r="N204" i="22" s="1"/>
  <c r="L205" i="22"/>
  <c r="N205" i="22" s="1"/>
  <c r="L206" i="22"/>
  <c r="N206" i="22" s="1"/>
  <c r="L207" i="22"/>
  <c r="N207" i="22" s="1"/>
  <c r="L208" i="22"/>
  <c r="N208" i="22" s="1"/>
  <c r="L209" i="22"/>
  <c r="N209" i="22" s="1"/>
  <c r="L210" i="22"/>
  <c r="N210" i="22" s="1"/>
  <c r="L211" i="22"/>
  <c r="N211" i="22" s="1"/>
  <c r="L212" i="22"/>
  <c r="N212" i="22" s="1"/>
  <c r="L213" i="22"/>
  <c r="N213" i="22" s="1"/>
  <c r="L214" i="22"/>
  <c r="N214" i="22" s="1"/>
  <c r="L215" i="22"/>
  <c r="N215" i="22" s="1"/>
  <c r="L216" i="22"/>
  <c r="N216" i="22" s="1"/>
  <c r="L217" i="22"/>
  <c r="N217" i="22" s="1"/>
  <c r="L290" i="22"/>
  <c r="N290" i="22" s="1"/>
  <c r="L291" i="22"/>
  <c r="N291" i="22" s="1"/>
  <c r="L56" i="22"/>
  <c r="N56" i="22" s="1"/>
  <c r="L57" i="22"/>
  <c r="N57" i="22" s="1"/>
  <c r="L58" i="22"/>
  <c r="N58" i="22" s="1"/>
  <c r="L59" i="22"/>
  <c r="N59" i="22" s="1"/>
  <c r="L60" i="22"/>
  <c r="N60" i="22" s="1"/>
  <c r="L61" i="22"/>
  <c r="N61" i="22" s="1"/>
  <c r="L62" i="22"/>
  <c r="N62" i="22" s="1"/>
  <c r="L63" i="22"/>
  <c r="N63" i="22" s="1"/>
  <c r="L64" i="22"/>
  <c r="N64" i="22" s="1"/>
  <c r="L2" i="22"/>
  <c r="N2" i="22" s="1"/>
  <c r="L3" i="22"/>
  <c r="N3" i="22" s="1"/>
  <c r="L4" i="22"/>
  <c r="N4" i="22" s="1"/>
  <c r="L5" i="22"/>
  <c r="N5" i="22" s="1"/>
  <c r="L6" i="22"/>
  <c r="N6" i="22" s="1"/>
  <c r="L7" i="22"/>
  <c r="N7" i="22" s="1"/>
  <c r="L8" i="22"/>
  <c r="N8" i="22" s="1"/>
  <c r="L9" i="22"/>
  <c r="N9" i="22" s="1"/>
  <c r="L10" i="22"/>
  <c r="N10" i="22" s="1"/>
  <c r="L11" i="22"/>
  <c r="N11" i="22" s="1"/>
  <c r="L12" i="22"/>
  <c r="N12" i="22" s="1"/>
  <c r="L13" i="22"/>
  <c r="N13" i="22" s="1"/>
  <c r="L14" i="22"/>
  <c r="N14" i="22" s="1"/>
  <c r="L15" i="22"/>
  <c r="N15" i="22" s="1"/>
  <c r="L16" i="22"/>
  <c r="N16" i="22" s="1"/>
  <c r="L17" i="22"/>
  <c r="N17" i="22" s="1"/>
  <c r="L18" i="22"/>
  <c r="N18" i="22" s="1"/>
  <c r="L19" i="22"/>
  <c r="N19" i="22" s="1"/>
  <c r="L20" i="22"/>
  <c r="N20" i="22" s="1"/>
  <c r="L21" i="22"/>
  <c r="N21" i="22" s="1"/>
  <c r="L22" i="22"/>
  <c r="N22" i="22" s="1"/>
  <c r="L23" i="22"/>
  <c r="N23" i="22" s="1"/>
  <c r="L24" i="22"/>
  <c r="N24" i="22" s="1"/>
  <c r="L25" i="22"/>
  <c r="N25" i="22" s="1"/>
  <c r="L26" i="22"/>
  <c r="N26" i="22" s="1"/>
  <c r="L27" i="22"/>
  <c r="N27" i="22" s="1"/>
  <c r="L28" i="22"/>
  <c r="N28" i="22" s="1"/>
  <c r="L29" i="22"/>
  <c r="N29" i="22" s="1"/>
  <c r="L30" i="22"/>
  <c r="N30" i="22" s="1"/>
  <c r="L32" i="22"/>
  <c r="N32" i="22" s="1"/>
  <c r="L33" i="22"/>
  <c r="N33" i="22" s="1"/>
  <c r="L34" i="22"/>
  <c r="N34" i="22" s="1"/>
  <c r="L35" i="22"/>
  <c r="N35" i="22" s="1"/>
  <c r="L36" i="22"/>
  <c r="N36" i="22" s="1"/>
  <c r="L37" i="22"/>
  <c r="N37" i="22" s="1"/>
  <c r="L38" i="22"/>
  <c r="N38" i="22" s="1"/>
  <c r="L39" i="22"/>
  <c r="N39" i="22" s="1"/>
  <c r="L218" i="22"/>
  <c r="N218" i="22" s="1"/>
  <c r="L219" i="22"/>
  <c r="N219" i="22" s="1"/>
  <c r="L220" i="22"/>
  <c r="N220" i="22" s="1"/>
  <c r="L221" i="22"/>
  <c r="N221" i="22" s="1"/>
  <c r="L222" i="22"/>
  <c r="N222" i="22" s="1"/>
  <c r="L223" i="22"/>
  <c r="N223" i="22" s="1"/>
  <c r="L224" i="22"/>
  <c r="N224" i="22" s="1"/>
  <c r="L225" i="22"/>
  <c r="N225" i="22" s="1"/>
  <c r="L226" i="22"/>
  <c r="N226" i="22" s="1"/>
  <c r="L227" i="22"/>
  <c r="N227" i="22" s="1"/>
  <c r="L228" i="22"/>
  <c r="N228" i="22" s="1"/>
  <c r="L229" i="22"/>
  <c r="N229" i="22" s="1"/>
  <c r="L230" i="22"/>
  <c r="N230" i="22" s="1"/>
  <c r="L40" i="22"/>
  <c r="N40" i="22" s="1"/>
  <c r="L41" i="22"/>
  <c r="N41" i="22" s="1"/>
  <c r="L43" i="22"/>
  <c r="N43" i="22" s="1"/>
  <c r="L292" i="22"/>
  <c r="N292" i="22" s="1"/>
  <c r="L293" i="22"/>
  <c r="N293" i="22" s="1"/>
  <c r="L231" i="22"/>
  <c r="N231" i="22" s="1"/>
  <c r="L294" i="22"/>
  <c r="N294" i="22" s="1"/>
  <c r="L295" i="22"/>
  <c r="N295" i="22" s="1"/>
  <c r="L296" i="22"/>
  <c r="N296" i="22" s="1"/>
  <c r="L66" i="22"/>
  <c r="N66" i="22" s="1"/>
  <c r="L67" i="22"/>
  <c r="N67" i="22" s="1"/>
  <c r="L68" i="22"/>
  <c r="N68" i="22" s="1"/>
  <c r="L233" i="22"/>
  <c r="N233" i="22" s="1"/>
  <c r="L236" i="22"/>
  <c r="N236" i="22" s="1"/>
  <c r="L237" i="22"/>
  <c r="N237" i="22" s="1"/>
  <c r="L238" i="22"/>
  <c r="N238" i="22" s="1"/>
  <c r="L239" i="22"/>
  <c r="N239" i="22" s="1"/>
  <c r="L240" i="22"/>
  <c r="N240" i="22" s="1"/>
  <c r="L241" i="22"/>
  <c r="N241" i="22" s="1"/>
  <c r="L242" i="22"/>
  <c r="N242" i="22" s="1"/>
  <c r="L243" i="22"/>
  <c r="N243" i="22" s="1"/>
  <c r="L244" i="22"/>
  <c r="N244" i="22" s="1"/>
  <c r="L245" i="22"/>
  <c r="N245" i="22" s="1"/>
  <c r="L246" i="22"/>
  <c r="N246" i="22" s="1"/>
  <c r="L99" i="22"/>
  <c r="N99" i="22" s="1"/>
  <c r="L100" i="22"/>
  <c r="N100" i="22" s="1"/>
  <c r="L101" i="22"/>
  <c r="N101" i="22" s="1"/>
  <c r="L102" i="22"/>
  <c r="N102" i="22" s="1"/>
  <c r="L103" i="22"/>
  <c r="N103" i="22" s="1"/>
  <c r="L104" i="22"/>
  <c r="N104" i="22" s="1"/>
  <c r="L105" i="22"/>
  <c r="N105" i="22" s="1"/>
  <c r="L106" i="22"/>
  <c r="N106" i="22" s="1"/>
  <c r="L247" i="22"/>
  <c r="N247" i="22" s="1"/>
  <c r="L248" i="22"/>
  <c r="N248" i="22" s="1"/>
  <c r="L249" i="22"/>
  <c r="N249" i="22" s="1"/>
  <c r="L250" i="22"/>
  <c r="N250" i="22" s="1"/>
  <c r="L251" i="22"/>
  <c r="N251" i="22" s="1"/>
  <c r="L252" i="22"/>
  <c r="N252" i="22" s="1"/>
  <c r="L253" i="22"/>
  <c r="N253" i="22" s="1"/>
  <c r="L254" i="22"/>
  <c r="N254" i="22" s="1"/>
  <c r="L255" i="22"/>
  <c r="N255" i="22" s="1"/>
  <c r="L256" i="22"/>
  <c r="N256" i="22" s="1"/>
  <c r="L257" i="22"/>
  <c r="N257" i="22" s="1"/>
  <c r="L258" i="22"/>
  <c r="N258" i="22" s="1"/>
  <c r="L259" i="22"/>
  <c r="N259" i="22" s="1"/>
  <c r="L260" i="22"/>
  <c r="N260" i="22" s="1"/>
  <c r="L261" i="22"/>
  <c r="N261" i="22" s="1"/>
  <c r="L262" i="22"/>
  <c r="N262" i="22" s="1"/>
  <c r="L267" i="22"/>
  <c r="N267" i="22" s="1"/>
  <c r="L268" i="22"/>
  <c r="N268" i="22" s="1"/>
  <c r="L269" i="22"/>
  <c r="N269" i="22" s="1"/>
  <c r="L270" i="22"/>
  <c r="N270" i="22" s="1"/>
  <c r="L271" i="22"/>
  <c r="N271" i="22" s="1"/>
  <c r="L272" i="22"/>
  <c r="N272" i="22" s="1"/>
  <c r="L273" i="22"/>
  <c r="N273" i="22" s="1"/>
  <c r="L274" i="22"/>
  <c r="N274" i="22" s="1"/>
  <c r="L275" i="22"/>
  <c r="N275" i="22" s="1"/>
  <c r="L276" i="22"/>
  <c r="N276" i="22" s="1"/>
  <c r="L277" i="22"/>
  <c r="N277" i="22" s="1"/>
  <c r="L278" i="22"/>
  <c r="N278" i="22" s="1"/>
  <c r="L279" i="22"/>
  <c r="N279" i="22" s="1"/>
  <c r="L280" i="22"/>
  <c r="N280" i="22" s="1"/>
  <c r="L281" i="22"/>
  <c r="N281" i="22" s="1"/>
  <c r="L282" i="22"/>
  <c r="N282" i="22" s="1"/>
  <c r="L283" i="22"/>
  <c r="N283" i="22" s="1"/>
  <c r="L44" i="22"/>
  <c r="N44" i="22" s="1"/>
  <c r="L45" i="22"/>
  <c r="N45" i="22" s="1"/>
  <c r="L46" i="22"/>
  <c r="N46" i="22" s="1"/>
  <c r="L47" i="22"/>
  <c r="N47" i="22" s="1"/>
  <c r="L48" i="22"/>
  <c r="N48" i="22" s="1"/>
  <c r="L49" i="22"/>
  <c r="N49" i="22" s="1"/>
  <c r="L50" i="22"/>
  <c r="N50" i="22" s="1"/>
  <c r="L51" i="22"/>
  <c r="N51" i="22" s="1"/>
  <c r="L52" i="22"/>
  <c r="N52" i="22" s="1"/>
  <c r="L53" i="22"/>
  <c r="N53" i="22" s="1"/>
  <c r="L284" i="22"/>
  <c r="N284" i="22" s="1"/>
  <c r="L285" i="22"/>
  <c r="N285" i="22" s="1"/>
  <c r="L286" i="22"/>
  <c r="N286" i="22" s="1"/>
  <c r="L54" i="22"/>
  <c r="N54" i="22" s="1"/>
  <c r="L55" i="22"/>
  <c r="N55" i="22" s="1"/>
  <c r="L107" i="22"/>
  <c r="N107" i="22" s="1"/>
  <c r="L108" i="22"/>
  <c r="N108" i="22" s="1"/>
  <c r="L109" i="22"/>
  <c r="N109" i="22" s="1"/>
  <c r="L232" i="22"/>
  <c r="N232" i="22" s="1"/>
  <c r="L65" i="22"/>
  <c r="N65" i="22" s="1"/>
  <c r="L69" i="22"/>
  <c r="N69" i="22" s="1"/>
  <c r="L70" i="22"/>
  <c r="N70" i="22" s="1"/>
  <c r="L71" i="22"/>
  <c r="N71" i="22" s="1"/>
  <c r="L72" i="22"/>
  <c r="N72" i="22" s="1"/>
  <c r="L73" i="22"/>
  <c r="N73" i="22" s="1"/>
  <c r="L74" i="22"/>
  <c r="N74" i="22" s="1"/>
  <c r="L75" i="22"/>
  <c r="N75" i="22" s="1"/>
  <c r="L76" i="22"/>
  <c r="N76" i="22" s="1"/>
  <c r="L77" i="22"/>
  <c r="N77" i="22" s="1"/>
  <c r="L78" i="22"/>
  <c r="N78" i="22" s="1"/>
  <c r="L79" i="22"/>
  <c r="N79" i="22" s="1"/>
  <c r="L80" i="22"/>
  <c r="N80" i="22" s="1"/>
  <c r="L81" i="22"/>
  <c r="N81" i="22" s="1"/>
  <c r="L82" i="22"/>
  <c r="N82" i="22" s="1"/>
  <c r="L83" i="22"/>
  <c r="N83" i="22" s="1"/>
  <c r="L84" i="22"/>
  <c r="N84" i="22" s="1"/>
  <c r="L85" i="22"/>
  <c r="N85" i="22" s="1"/>
  <c r="L86" i="22"/>
  <c r="N86" i="22" s="1"/>
  <c r="L87" i="22"/>
  <c r="N87" i="22" s="1"/>
  <c r="L88" i="22"/>
  <c r="N88" i="22" s="1"/>
  <c r="L89" i="22"/>
  <c r="N89" i="22" s="1"/>
  <c r="L90" i="22"/>
  <c r="N90" i="22" s="1"/>
  <c r="L91" i="22"/>
  <c r="N91" i="22" s="1"/>
  <c r="L92" i="22"/>
  <c r="N92" i="22" s="1"/>
  <c r="L93" i="22"/>
  <c r="N93" i="22" s="1"/>
  <c r="L94" i="22"/>
  <c r="N94" i="22" s="1"/>
  <c r="L95" i="22"/>
  <c r="N95" i="22" s="1"/>
  <c r="L96" i="22"/>
  <c r="N96" i="22" s="1"/>
  <c r="L97" i="22"/>
  <c r="N97" i="22" s="1"/>
  <c r="L98" i="22"/>
  <c r="N98" i="22" s="1"/>
  <c r="L146" i="22"/>
  <c r="N146" i="22" s="1"/>
  <c r="C36" i="34"/>
  <c r="C35" i="34"/>
  <c r="C51" i="34"/>
  <c r="C50" i="34"/>
  <c r="C49" i="34"/>
  <c r="C48" i="34"/>
  <c r="F39" i="41"/>
  <c r="F26" i="41"/>
  <c r="F24" i="41"/>
  <c r="L24" i="41" s="1"/>
  <c r="F21" i="41"/>
  <c r="F17" i="41"/>
  <c r="F9" i="41"/>
  <c r="F5" i="41"/>
  <c r="F3" i="41"/>
  <c r="L3" i="41" s="1"/>
  <c r="N3" i="41"/>
  <c r="O3" i="41" s="1"/>
  <c r="N4" i="41"/>
  <c r="O4" i="41" s="1"/>
  <c r="N8" i="41"/>
  <c r="O8" i="41" s="1"/>
  <c r="N15" i="41"/>
  <c r="O15" i="41" s="1"/>
  <c r="N16" i="41"/>
  <c r="O16" i="41" s="1"/>
  <c r="N20" i="41"/>
  <c r="O20" i="41" s="1"/>
  <c r="N23" i="41"/>
  <c r="O23" i="41" s="1"/>
  <c r="N24" i="41"/>
  <c r="O24" i="41" s="1"/>
  <c r="N25" i="41"/>
  <c r="O25" i="41" s="1"/>
  <c r="N29" i="41"/>
  <c r="O29" i="41" s="1"/>
  <c r="N32" i="41"/>
  <c r="O32" i="41" s="1"/>
  <c r="N38" i="41"/>
  <c r="O38" i="41" s="1"/>
  <c r="N2" i="41"/>
  <c r="O2" i="41" s="1"/>
  <c r="N4" i="33" l="1"/>
  <c r="AB4" i="33"/>
  <c r="N5" i="33"/>
  <c r="AB5" i="33"/>
  <c r="AB24" i="40"/>
  <c r="AB23" i="40"/>
  <c r="AB34" i="40"/>
  <c r="F36" i="40"/>
  <c r="L36" i="40" s="1"/>
  <c r="L35" i="40"/>
  <c r="AB43" i="40"/>
  <c r="AB44" i="40"/>
  <c r="AB7" i="40"/>
  <c r="F9" i="40"/>
  <c r="L9" i="40" s="1"/>
  <c r="N9" i="40" s="1"/>
  <c r="O9" i="40" s="1"/>
  <c r="L8" i="40"/>
  <c r="N8" i="40" s="1"/>
  <c r="O8" i="40" s="1"/>
  <c r="AB17" i="40"/>
  <c r="F19" i="40"/>
  <c r="L18" i="40"/>
  <c r="AB124" i="23"/>
  <c r="N124" i="23"/>
  <c r="O124" i="23" s="1"/>
  <c r="F125" i="23"/>
  <c r="AB87" i="23"/>
  <c r="N87" i="23"/>
  <c r="O87" i="23" s="1"/>
  <c r="F86" i="23"/>
  <c r="AB48" i="34"/>
  <c r="AB49" i="34"/>
  <c r="AB50" i="34"/>
  <c r="AB51" i="34"/>
  <c r="AB36" i="34"/>
  <c r="AB35" i="34"/>
  <c r="AB2" i="32"/>
  <c r="N2" i="32"/>
  <c r="AB31" i="29"/>
  <c r="AB32" i="29" s="1"/>
  <c r="L66" i="17"/>
  <c r="N66" i="17" s="1"/>
  <c r="L65" i="17"/>
  <c r="N65" i="17" s="1"/>
  <c r="L64" i="17"/>
  <c r="N64" i="17" s="1"/>
  <c r="L63" i="17"/>
  <c r="N63" i="17" s="1"/>
  <c r="L62" i="17"/>
  <c r="N62" i="17" s="1"/>
  <c r="L61" i="17"/>
  <c r="N61" i="17" s="1"/>
  <c r="L60" i="17"/>
  <c r="N60" i="17" s="1"/>
  <c r="L59" i="17"/>
  <c r="N59" i="17" s="1"/>
  <c r="L58" i="17"/>
  <c r="N58" i="17" s="1"/>
  <c r="L57" i="17"/>
  <c r="N57" i="17" s="1"/>
  <c r="L56" i="17"/>
  <c r="N56" i="17" s="1"/>
  <c r="L55" i="17"/>
  <c r="N55" i="17" s="1"/>
  <c r="L54" i="17"/>
  <c r="N54" i="17" s="1"/>
  <c r="L50" i="17"/>
  <c r="N50" i="17" s="1"/>
  <c r="L49" i="17"/>
  <c r="N49" i="17" s="1"/>
  <c r="L48" i="17"/>
  <c r="N48" i="17" s="1"/>
  <c r="L47" i="17"/>
  <c r="N47" i="17" s="1"/>
  <c r="L46" i="17"/>
  <c r="N46" i="17" s="1"/>
  <c r="L45" i="17"/>
  <c r="N45" i="17" s="1"/>
  <c r="L44" i="17"/>
  <c r="N44" i="17" s="1"/>
  <c r="L43" i="17"/>
  <c r="N43" i="17" s="1"/>
  <c r="L42" i="17"/>
  <c r="N42" i="17" s="1"/>
  <c r="L41" i="17"/>
  <c r="N41" i="17" s="1"/>
  <c r="L40" i="17"/>
  <c r="N40" i="17" s="1"/>
  <c r="L39" i="17"/>
  <c r="N39" i="17" s="1"/>
  <c r="L38" i="17"/>
  <c r="N38" i="17" s="1"/>
  <c r="L37" i="17"/>
  <c r="N37" i="17" s="1"/>
  <c r="L36" i="17"/>
  <c r="N36" i="17" s="1"/>
  <c r="L35" i="17"/>
  <c r="N35" i="17" s="1"/>
  <c r="L34" i="17"/>
  <c r="N34" i="17" s="1"/>
  <c r="L33" i="17"/>
  <c r="N33" i="17" s="1"/>
  <c r="L32" i="17"/>
  <c r="N32" i="17" s="1"/>
  <c r="L31" i="17"/>
  <c r="N31" i="17" s="1"/>
  <c r="L30" i="17"/>
  <c r="N30" i="17" s="1"/>
  <c r="L29" i="17"/>
  <c r="N29" i="17" s="1"/>
  <c r="L28" i="17"/>
  <c r="N28" i="17" s="1"/>
  <c r="L27" i="17"/>
  <c r="N27" i="17" s="1"/>
  <c r="L26" i="17"/>
  <c r="N26" i="17" s="1"/>
  <c r="L25" i="17"/>
  <c r="N25" i="17" s="1"/>
  <c r="L24" i="17"/>
  <c r="N24" i="17" s="1"/>
  <c r="L23" i="17"/>
  <c r="L22" i="17"/>
  <c r="L21" i="17"/>
  <c r="L20" i="17"/>
  <c r="L19" i="17"/>
  <c r="L18" i="17"/>
  <c r="L17" i="17"/>
  <c r="L16" i="17"/>
  <c r="L15" i="17"/>
  <c r="L12" i="17"/>
  <c r="N12" i="17" s="1"/>
  <c r="L11" i="17"/>
  <c r="N11" i="17" s="1"/>
  <c r="L10" i="17"/>
  <c r="N10" i="17" s="1"/>
  <c r="L8" i="17"/>
  <c r="N8" i="17" s="1"/>
  <c r="L7" i="17"/>
  <c r="N7" i="17" s="1"/>
  <c r="L5" i="17"/>
  <c r="N5" i="17" s="1"/>
  <c r="L4" i="17"/>
  <c r="N4" i="17" s="1"/>
  <c r="L3" i="17"/>
  <c r="N3" i="17" s="1"/>
  <c r="L2" i="17"/>
  <c r="N2" i="17" s="1"/>
  <c r="AB6" i="17"/>
  <c r="O6" i="17"/>
  <c r="O72" i="26"/>
  <c r="AB72" i="26"/>
  <c r="O71" i="26"/>
  <c r="AB71" i="26"/>
  <c r="O70" i="26"/>
  <c r="AB70" i="26"/>
  <c r="O69" i="26"/>
  <c r="AB69" i="26"/>
  <c r="O68" i="26"/>
  <c r="AB68" i="26"/>
  <c r="O66" i="26"/>
  <c r="AB66" i="26"/>
  <c r="O65" i="26"/>
  <c r="AB65" i="26"/>
  <c r="O64" i="26"/>
  <c r="AB64" i="26"/>
  <c r="O60" i="26"/>
  <c r="AB60" i="26"/>
  <c r="O59" i="26"/>
  <c r="AB59" i="26"/>
  <c r="O58" i="26"/>
  <c r="AB58" i="26"/>
  <c r="O57" i="26"/>
  <c r="AB57" i="26"/>
  <c r="O53" i="26"/>
  <c r="AB53" i="26"/>
  <c r="O44" i="26"/>
  <c r="AB44" i="26"/>
  <c r="O43" i="26"/>
  <c r="AB43" i="26"/>
  <c r="O40" i="26"/>
  <c r="AB40" i="26"/>
  <c r="O25" i="26"/>
  <c r="AB25" i="26"/>
  <c r="O22" i="26"/>
  <c r="AB22" i="26"/>
  <c r="O12" i="26"/>
  <c r="AB12" i="26"/>
  <c r="O4" i="26"/>
  <c r="AB4" i="26"/>
  <c r="O2" i="26"/>
  <c r="AB2" i="26"/>
  <c r="O196" i="26"/>
  <c r="AB196" i="26"/>
  <c r="O193" i="26"/>
  <c r="AB193" i="26"/>
  <c r="O199" i="26"/>
  <c r="AB199" i="26"/>
  <c r="O195" i="26"/>
  <c r="AB195" i="26"/>
  <c r="O98" i="26"/>
  <c r="AB98" i="26"/>
  <c r="O227" i="26"/>
  <c r="AB227" i="26"/>
  <c r="M48" i="34"/>
  <c r="L25" i="30"/>
  <c r="AB25" i="30" s="1"/>
  <c r="F27" i="30"/>
  <c r="L24" i="30"/>
  <c r="AB24" i="30" s="1"/>
  <c r="F26" i="30"/>
  <c r="F144" i="26"/>
  <c r="L5" i="41"/>
  <c r="N5" i="41" s="1"/>
  <c r="O5" i="41" s="1"/>
  <c r="F6" i="41"/>
  <c r="L9" i="41"/>
  <c r="N9" i="41" s="1"/>
  <c r="O9" i="41" s="1"/>
  <c r="F10" i="41"/>
  <c r="L17" i="41"/>
  <c r="N17" i="41" s="1"/>
  <c r="O17" i="41" s="1"/>
  <c r="F18" i="41"/>
  <c r="L21" i="41"/>
  <c r="N21" i="41" s="1"/>
  <c r="O21" i="41" s="1"/>
  <c r="F22" i="41"/>
  <c r="L22" i="41" s="1"/>
  <c r="N22" i="41" s="1"/>
  <c r="O22" i="41" s="1"/>
  <c r="L26" i="41"/>
  <c r="N26" i="41" s="1"/>
  <c r="O26" i="41" s="1"/>
  <c r="F27" i="41"/>
  <c r="L27" i="41" s="1"/>
  <c r="N27" i="41" s="1"/>
  <c r="O27" i="41" s="1"/>
  <c r="L39" i="41"/>
  <c r="N39" i="41" s="1"/>
  <c r="O39" i="41" s="1"/>
  <c r="F40" i="41"/>
  <c r="O146" i="22"/>
  <c r="O98" i="22"/>
  <c r="O97" i="22"/>
  <c r="O96" i="22"/>
  <c r="O95" i="22"/>
  <c r="O94" i="22"/>
  <c r="O93" i="22"/>
  <c r="O92" i="22"/>
  <c r="O91" i="22"/>
  <c r="O90" i="22"/>
  <c r="O89" i="22"/>
  <c r="O88" i="22"/>
  <c r="O87" i="22"/>
  <c r="O86" i="22"/>
  <c r="O85" i="22"/>
  <c r="O84" i="22"/>
  <c r="O83" i="22"/>
  <c r="O82" i="22"/>
  <c r="O81" i="22"/>
  <c r="O80" i="22"/>
  <c r="O79" i="22"/>
  <c r="O78" i="22"/>
  <c r="O77" i="22"/>
  <c r="O76" i="22"/>
  <c r="O75" i="22"/>
  <c r="O74" i="22"/>
  <c r="O73" i="22"/>
  <c r="O72" i="22"/>
  <c r="O71" i="22"/>
  <c r="O70" i="22"/>
  <c r="O69" i="22"/>
  <c r="O65" i="22"/>
  <c r="O232" i="22"/>
  <c r="O109" i="22"/>
  <c r="O108" i="22"/>
  <c r="O107" i="22"/>
  <c r="O55" i="22"/>
  <c r="O54" i="22"/>
  <c r="O286" i="22"/>
  <c r="O285" i="22"/>
  <c r="O284" i="22"/>
  <c r="O53" i="22"/>
  <c r="O52" i="22"/>
  <c r="O51" i="22"/>
  <c r="O50" i="22"/>
  <c r="O49" i="22"/>
  <c r="O48" i="22"/>
  <c r="O47" i="22"/>
  <c r="O46" i="22"/>
  <c r="O45" i="22"/>
  <c r="O44" i="22"/>
  <c r="O283" i="22"/>
  <c r="O282" i="22"/>
  <c r="O281" i="22"/>
  <c r="O280" i="22"/>
  <c r="O279" i="22"/>
  <c r="O278" i="22"/>
  <c r="O277" i="22"/>
  <c r="O276" i="22"/>
  <c r="O275" i="22"/>
  <c r="O274" i="22"/>
  <c r="O273" i="22"/>
  <c r="O272" i="22"/>
  <c r="O271" i="22"/>
  <c r="O270" i="22"/>
  <c r="O269" i="22"/>
  <c r="O268" i="22"/>
  <c r="O267" i="22"/>
  <c r="O262" i="22"/>
  <c r="O261" i="22"/>
  <c r="O260" i="22"/>
  <c r="O259" i="22"/>
  <c r="O258" i="22"/>
  <c r="O257" i="22"/>
  <c r="O256" i="22"/>
  <c r="O255" i="22"/>
  <c r="O254" i="22"/>
  <c r="O253" i="22"/>
  <c r="O252" i="22"/>
  <c r="O251" i="22"/>
  <c r="O250" i="22"/>
  <c r="O249" i="22"/>
  <c r="O248" i="22"/>
  <c r="O247" i="22"/>
  <c r="O106" i="22"/>
  <c r="O105" i="22"/>
  <c r="O104" i="22"/>
  <c r="O103" i="22"/>
  <c r="O102" i="22"/>
  <c r="O101" i="22"/>
  <c r="O100" i="22"/>
  <c r="O99" i="22"/>
  <c r="O246" i="22"/>
  <c r="O245" i="22"/>
  <c r="O244" i="22"/>
  <c r="O243" i="22"/>
  <c r="O242" i="22"/>
  <c r="O241" i="22"/>
  <c r="O240" i="22"/>
  <c r="O239" i="22"/>
  <c r="O238" i="22"/>
  <c r="O237" i="22"/>
  <c r="O236" i="22"/>
  <c r="O233" i="22"/>
  <c r="O68" i="22"/>
  <c r="O67" i="22"/>
  <c r="O66" i="22"/>
  <c r="O296" i="22"/>
  <c r="O295" i="22"/>
  <c r="O294" i="22"/>
  <c r="O231" i="22"/>
  <c r="O293" i="22"/>
  <c r="O292" i="22"/>
  <c r="O43" i="22"/>
  <c r="O41" i="22"/>
  <c r="O40" i="22"/>
  <c r="O230" i="22"/>
  <c r="O229" i="22"/>
  <c r="O228" i="22"/>
  <c r="O227" i="22"/>
  <c r="O226" i="22"/>
  <c r="O225" i="22"/>
  <c r="O224" i="22"/>
  <c r="O223" i="22"/>
  <c r="O222" i="22"/>
  <c r="O221" i="22"/>
  <c r="O220" i="22"/>
  <c r="O219" i="22"/>
  <c r="O218" i="22"/>
  <c r="O39" i="22"/>
  <c r="O38" i="22"/>
  <c r="O37" i="22"/>
  <c r="O36" i="22"/>
  <c r="O35" i="22"/>
  <c r="O34" i="22"/>
  <c r="O33" i="22"/>
  <c r="O32" i="22"/>
  <c r="O30" i="22"/>
  <c r="O29" i="22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O3" i="22"/>
  <c r="O2" i="22"/>
  <c r="O64" i="22"/>
  <c r="O63" i="22"/>
  <c r="O62" i="22"/>
  <c r="O61" i="22"/>
  <c r="O60" i="22"/>
  <c r="O59" i="22"/>
  <c r="O58" i="22"/>
  <c r="O57" i="22"/>
  <c r="O56" i="22"/>
  <c r="O291" i="22"/>
  <c r="O290" i="22"/>
  <c r="O217" i="22"/>
  <c r="O216" i="22"/>
  <c r="O215" i="22"/>
  <c r="O214" i="22"/>
  <c r="O213" i="22"/>
  <c r="O212" i="22"/>
  <c r="O211" i="22"/>
  <c r="O210" i="22"/>
  <c r="O209" i="22"/>
  <c r="O208" i="22"/>
  <c r="O207" i="22"/>
  <c r="O206" i="22"/>
  <c r="O205" i="22"/>
  <c r="O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191" i="22"/>
  <c r="O190" i="22"/>
  <c r="O189" i="22"/>
  <c r="O188" i="22"/>
  <c r="O187" i="22"/>
  <c r="O185" i="22"/>
  <c r="O184" i="22"/>
  <c r="O183" i="22"/>
  <c r="O182" i="22"/>
  <c r="O181" i="22"/>
  <c r="O180" i="22"/>
  <c r="O179" i="22"/>
  <c r="O178" i="22"/>
  <c r="O176" i="22"/>
  <c r="O175" i="22"/>
  <c r="O174" i="22"/>
  <c r="O173" i="22"/>
  <c r="O172" i="22"/>
  <c r="O171" i="22"/>
  <c r="O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57" i="22"/>
  <c r="O156" i="22"/>
  <c r="O155" i="22"/>
  <c r="O154" i="22"/>
  <c r="O152" i="22"/>
  <c r="O151" i="22"/>
  <c r="O150" i="22"/>
  <c r="O149" i="22"/>
  <c r="O148" i="22"/>
  <c r="O147" i="22"/>
  <c r="O143" i="22"/>
  <c r="O142" i="22"/>
  <c r="O141" i="22"/>
  <c r="O288" i="22"/>
  <c r="O287" i="22"/>
  <c r="O137" i="22"/>
  <c r="O136" i="22"/>
  <c r="O135" i="22"/>
  <c r="O134" i="22"/>
  <c r="O133" i="22"/>
  <c r="O132" i="22"/>
  <c r="O131" i="22"/>
  <c r="O130" i="22"/>
  <c r="O129" i="22"/>
  <c r="O128" i="22"/>
  <c r="O125" i="22"/>
  <c r="O124" i="22"/>
  <c r="O123" i="22"/>
  <c r="O122" i="22"/>
  <c r="O121" i="22"/>
  <c r="O120" i="22"/>
  <c r="O119" i="22"/>
  <c r="O118" i="22"/>
  <c r="O113" i="22"/>
  <c r="O112" i="22"/>
  <c r="O111" i="22"/>
  <c r="O110" i="22"/>
  <c r="M49" i="34"/>
  <c r="M50" i="34"/>
  <c r="M35" i="34"/>
  <c r="M51" i="34"/>
  <c r="M36" i="34"/>
  <c r="L192" i="26"/>
  <c r="N192" i="26" s="1"/>
  <c r="L191" i="26"/>
  <c r="N191" i="26" s="1"/>
  <c r="L104" i="26"/>
  <c r="N104" i="26" s="1"/>
  <c r="L135" i="26"/>
  <c r="N135" i="26" s="1"/>
  <c r="L134" i="26"/>
  <c r="N134" i="26" s="1"/>
  <c r="L38" i="26"/>
  <c r="N38" i="26" s="1"/>
  <c r="L32" i="26"/>
  <c r="N32" i="26" s="1"/>
  <c r="L28" i="26"/>
  <c r="N28" i="26" s="1"/>
  <c r="L97" i="26"/>
  <c r="N97" i="26" s="1"/>
  <c r="L96" i="26"/>
  <c r="N96" i="26" s="1"/>
  <c r="L95" i="26"/>
  <c r="N95" i="26" s="1"/>
  <c r="L133" i="26"/>
  <c r="N133" i="26" s="1"/>
  <c r="L132" i="26"/>
  <c r="N132" i="26" s="1"/>
  <c r="L131" i="26"/>
  <c r="N131" i="26" s="1"/>
  <c r="L190" i="26"/>
  <c r="N190" i="26" s="1"/>
  <c r="L189" i="26"/>
  <c r="N189" i="26" s="1"/>
  <c r="L226" i="26"/>
  <c r="N226" i="26" s="1"/>
  <c r="L225" i="26"/>
  <c r="N225" i="26" s="1"/>
  <c r="L224" i="26"/>
  <c r="N224" i="26" s="1"/>
  <c r="L223" i="26"/>
  <c r="N223" i="26" s="1"/>
  <c r="L222" i="26"/>
  <c r="N222" i="26" s="1"/>
  <c r="L221" i="26"/>
  <c r="N221" i="26" s="1"/>
  <c r="L220" i="26"/>
  <c r="N220" i="26" s="1"/>
  <c r="L219" i="26"/>
  <c r="N219" i="26" s="1"/>
  <c r="L218" i="26"/>
  <c r="N218" i="26" s="1"/>
  <c r="L217" i="26"/>
  <c r="N217" i="26" s="1"/>
  <c r="L130" i="26"/>
  <c r="N130" i="26" s="1"/>
  <c r="L166" i="26"/>
  <c r="N166" i="26" s="1"/>
  <c r="L165" i="26"/>
  <c r="N165" i="26" s="1"/>
  <c r="L94" i="26"/>
  <c r="N94" i="26" s="1"/>
  <c r="L93" i="26"/>
  <c r="N93" i="26" s="1"/>
  <c r="L92" i="26"/>
  <c r="N92" i="26" s="1"/>
  <c r="L91" i="26"/>
  <c r="N91" i="26" s="1"/>
  <c r="L90" i="26"/>
  <c r="N90" i="26" s="1"/>
  <c r="L164" i="26"/>
  <c r="N164" i="26" s="1"/>
  <c r="L163" i="26"/>
  <c r="N163" i="26" s="1"/>
  <c r="L89" i="26"/>
  <c r="N89" i="26" s="1"/>
  <c r="L216" i="26"/>
  <c r="N216" i="26" s="1"/>
  <c r="L215" i="26"/>
  <c r="N215" i="26" s="1"/>
  <c r="L162" i="26"/>
  <c r="N162" i="26" s="1"/>
  <c r="L188" i="26"/>
  <c r="N188" i="26" s="1"/>
  <c r="L187" i="26"/>
  <c r="N187" i="26" s="1"/>
  <c r="L186" i="26"/>
  <c r="N186" i="26" s="1"/>
  <c r="L185" i="26"/>
  <c r="N185" i="26" s="1"/>
  <c r="L184" i="26"/>
  <c r="N184" i="26" s="1"/>
  <c r="L181" i="26"/>
  <c r="N181" i="26" s="1"/>
  <c r="L180" i="26"/>
  <c r="N180" i="26" s="1"/>
  <c r="L161" i="26"/>
  <c r="N161" i="26" s="1"/>
  <c r="L160" i="26"/>
  <c r="N160" i="26" s="1"/>
  <c r="L159" i="26"/>
  <c r="N159" i="26" s="1"/>
  <c r="L158" i="26"/>
  <c r="N158" i="26" s="1"/>
  <c r="L157" i="26"/>
  <c r="N157" i="26" s="1"/>
  <c r="L156" i="26"/>
  <c r="N156" i="26" s="1"/>
  <c r="L155" i="26"/>
  <c r="N155" i="26" s="1"/>
  <c r="L154" i="26"/>
  <c r="N154" i="26" s="1"/>
  <c r="L153" i="26"/>
  <c r="N153" i="26" s="1"/>
  <c r="L152" i="26"/>
  <c r="N152" i="26" s="1"/>
  <c r="L151" i="26"/>
  <c r="N151" i="26" s="1"/>
  <c r="L150" i="26"/>
  <c r="N150" i="26" s="1"/>
  <c r="L143" i="26"/>
  <c r="N143" i="26" s="1"/>
  <c r="L142" i="26"/>
  <c r="N142" i="26" s="1"/>
  <c r="L141" i="26"/>
  <c r="N141" i="26" s="1"/>
  <c r="L140" i="26"/>
  <c r="N140" i="26" s="1"/>
  <c r="L139" i="26"/>
  <c r="N139" i="26" s="1"/>
  <c r="L138" i="26"/>
  <c r="N138" i="26" s="1"/>
  <c r="L137" i="26"/>
  <c r="N137" i="26" s="1"/>
  <c r="L136" i="26"/>
  <c r="N136" i="26" s="1"/>
  <c r="L103" i="26"/>
  <c r="N103" i="26" s="1"/>
  <c r="L102" i="26"/>
  <c r="N102" i="26" s="1"/>
  <c r="L101" i="26"/>
  <c r="N101" i="26" s="1"/>
  <c r="L100" i="26"/>
  <c r="N100" i="26" s="1"/>
  <c r="L99" i="26"/>
  <c r="N99" i="26" s="1"/>
  <c r="L129" i="26"/>
  <c r="N129" i="26" s="1"/>
  <c r="L49" i="26"/>
  <c r="N49" i="26" s="1"/>
  <c r="L212" i="26"/>
  <c r="N212" i="26" s="1"/>
  <c r="L211" i="26"/>
  <c r="N211" i="26" s="1"/>
  <c r="L210" i="26"/>
  <c r="N210" i="26" s="1"/>
  <c r="L209" i="26"/>
  <c r="N209" i="26" s="1"/>
  <c r="L208" i="26"/>
  <c r="N208" i="26" s="1"/>
  <c r="L207" i="26"/>
  <c r="N207" i="26" s="1"/>
  <c r="L206" i="26"/>
  <c r="N206" i="26" s="1"/>
  <c r="L205" i="26"/>
  <c r="N205" i="26" s="1"/>
  <c r="L204" i="26"/>
  <c r="N204" i="26" s="1"/>
  <c r="L203" i="26"/>
  <c r="N203" i="26" s="1"/>
  <c r="L202" i="26"/>
  <c r="N202" i="26" s="1"/>
  <c r="L201" i="26"/>
  <c r="N201" i="26" s="1"/>
  <c r="L200" i="26"/>
  <c r="N200" i="26" s="1"/>
  <c r="L88" i="26"/>
  <c r="N88" i="26" s="1"/>
  <c r="L87" i="26"/>
  <c r="N87" i="26" s="1"/>
  <c r="L127" i="26"/>
  <c r="N127" i="26" s="1"/>
  <c r="L126" i="26"/>
  <c r="N126" i="26" s="1"/>
  <c r="L125" i="26"/>
  <c r="N125" i="26" s="1"/>
  <c r="L124" i="26"/>
  <c r="N124" i="26" s="1"/>
  <c r="L123" i="26"/>
  <c r="N123" i="26" s="1"/>
  <c r="L122" i="26"/>
  <c r="N122" i="26" s="1"/>
  <c r="L121" i="26"/>
  <c r="N121" i="26" s="1"/>
  <c r="L120" i="26"/>
  <c r="N120" i="26" s="1"/>
  <c r="L119" i="26"/>
  <c r="N119" i="26" s="1"/>
  <c r="L214" i="26"/>
  <c r="N214" i="26" s="1"/>
  <c r="L213" i="26"/>
  <c r="N213" i="26" s="1"/>
  <c r="L198" i="26"/>
  <c r="N198" i="26" s="1"/>
  <c r="L197" i="26"/>
  <c r="N197" i="26" s="1"/>
  <c r="L194" i="26"/>
  <c r="N194" i="26" s="1"/>
  <c r="L86" i="26"/>
  <c r="N86" i="26" s="1"/>
  <c r="L26" i="26"/>
  <c r="N26" i="26" s="1"/>
  <c r="L118" i="26"/>
  <c r="N118" i="26" s="1"/>
  <c r="L117" i="26"/>
  <c r="N117" i="26" s="1"/>
  <c r="L116" i="26"/>
  <c r="N116" i="26" s="1"/>
  <c r="L115" i="26"/>
  <c r="N115" i="26" s="1"/>
  <c r="L114" i="26"/>
  <c r="N114" i="26" s="1"/>
  <c r="L85" i="26"/>
  <c r="N85" i="26" s="1"/>
  <c r="L84" i="26"/>
  <c r="N84" i="26" s="1"/>
  <c r="L83" i="26"/>
  <c r="N83" i="26" s="1"/>
  <c r="L82" i="26"/>
  <c r="N82" i="26" s="1"/>
  <c r="L81" i="26"/>
  <c r="N81" i="26" s="1"/>
  <c r="L80" i="26"/>
  <c r="N80" i="26" s="1"/>
  <c r="L79" i="26"/>
  <c r="N79" i="26" s="1"/>
  <c r="L78" i="26"/>
  <c r="N78" i="26" s="1"/>
  <c r="L77" i="26"/>
  <c r="N77" i="26" s="1"/>
  <c r="L76" i="26"/>
  <c r="N76" i="26" s="1"/>
  <c r="L75" i="26"/>
  <c r="N75" i="26" s="1"/>
  <c r="L74" i="26"/>
  <c r="N74" i="26" s="1"/>
  <c r="L110" i="26"/>
  <c r="N110" i="26" s="1"/>
  <c r="L73" i="26"/>
  <c r="N73" i="26" s="1"/>
  <c r="L106" i="26"/>
  <c r="N106" i="26" s="1"/>
  <c r="L62" i="26"/>
  <c r="N62" i="26" s="1"/>
  <c r="L61" i="26"/>
  <c r="N61" i="26" s="1"/>
  <c r="L24" i="26"/>
  <c r="N24" i="26" s="1"/>
  <c r="L21" i="26"/>
  <c r="N21" i="26" s="1"/>
  <c r="L20" i="26"/>
  <c r="N20" i="26" s="1"/>
  <c r="L50" i="26"/>
  <c r="N50" i="26" s="1"/>
  <c r="L48" i="26"/>
  <c r="N48" i="26" s="1"/>
  <c r="L46" i="26"/>
  <c r="N46" i="26" s="1"/>
  <c r="L177" i="26"/>
  <c r="N177" i="26" s="1"/>
  <c r="L176" i="26"/>
  <c r="N176" i="26" s="1"/>
  <c r="L175" i="26"/>
  <c r="N175" i="26" s="1"/>
  <c r="L167" i="26"/>
  <c r="N167" i="26" s="1"/>
  <c r="L45" i="26"/>
  <c r="N45" i="26" s="1"/>
  <c r="L105" i="26"/>
  <c r="N105" i="26" s="1"/>
  <c r="L41" i="26"/>
  <c r="N41" i="26" s="1"/>
  <c r="F14" i="26"/>
  <c r="L13" i="26"/>
  <c r="N13" i="26" s="1"/>
  <c r="F6" i="26"/>
  <c r="L5" i="26"/>
  <c r="N5" i="26" s="1"/>
  <c r="O5" i="39" s="1"/>
  <c r="L27" i="26"/>
  <c r="N27" i="26" s="1"/>
  <c r="F30" i="26"/>
  <c r="L29" i="26"/>
  <c r="N29" i="26" s="1"/>
  <c r="F34" i="26"/>
  <c r="L33" i="26"/>
  <c r="N33" i="26" s="1"/>
  <c r="L39" i="26"/>
  <c r="N39" i="26" s="1"/>
  <c r="L42" i="26"/>
  <c r="N42" i="26" s="1"/>
  <c r="L51" i="26"/>
  <c r="N51" i="26" s="1"/>
  <c r="L67" i="26"/>
  <c r="N67" i="26" s="1"/>
  <c r="L63" i="26"/>
  <c r="N63" i="26" s="1"/>
  <c r="L54" i="26"/>
  <c r="N54" i="26" s="1"/>
  <c r="L55" i="26"/>
  <c r="N55" i="26" s="1"/>
  <c r="L56" i="26"/>
  <c r="N56" i="26" s="1"/>
  <c r="L140" i="22"/>
  <c r="N140" i="22" s="1"/>
  <c r="X2" i="39"/>
  <c r="X4" i="39"/>
  <c r="X3" i="39"/>
  <c r="X5" i="39"/>
  <c r="X7" i="39"/>
  <c r="X9" i="39"/>
  <c r="X6" i="39"/>
  <c r="X8" i="39"/>
  <c r="C5" i="39"/>
  <c r="C7" i="39"/>
  <c r="C2" i="39"/>
  <c r="C4" i="39"/>
  <c r="C3" i="39"/>
  <c r="C9" i="39"/>
  <c r="C6" i="39"/>
  <c r="C8" i="39"/>
  <c r="R27" i="40"/>
  <c r="C27" i="40"/>
  <c r="AB3" i="40"/>
  <c r="R17" i="40"/>
  <c r="C17" i="40"/>
  <c r="R10" i="40"/>
  <c r="C10" i="40"/>
  <c r="R32" i="30"/>
  <c r="C32" i="30"/>
  <c r="O10" i="30"/>
  <c r="R10" i="30"/>
  <c r="C10" i="30"/>
  <c r="AB35" i="40" l="1"/>
  <c r="AB36" i="40"/>
  <c r="AB8" i="40"/>
  <c r="AB9" i="40"/>
  <c r="AB18" i="40"/>
  <c r="F20" i="40"/>
  <c r="L20" i="40" s="1"/>
  <c r="L19" i="40"/>
  <c r="N123" i="23"/>
  <c r="AB123" i="23"/>
  <c r="F126" i="23"/>
  <c r="L144" i="26"/>
  <c r="N144" i="26" s="1"/>
  <c r="F145" i="26"/>
  <c r="N85" i="23"/>
  <c r="AB85" i="23"/>
  <c r="N86" i="23"/>
  <c r="AB86" i="23"/>
  <c r="AB7" i="34"/>
  <c r="AB83" i="34"/>
  <c r="AB87" i="34"/>
  <c r="AB81" i="34"/>
  <c r="AB80" i="34"/>
  <c r="AB79" i="34"/>
  <c r="AB86" i="34"/>
  <c r="AB85" i="34"/>
  <c r="AB74" i="34"/>
  <c r="AB72" i="34"/>
  <c r="AB77" i="34"/>
  <c r="AB76" i="34"/>
  <c r="AB70" i="34"/>
  <c r="AB69" i="34"/>
  <c r="AB68" i="34"/>
  <c r="AB67" i="34"/>
  <c r="AB73" i="34"/>
  <c r="AB14" i="34"/>
  <c r="AB78" i="34"/>
  <c r="AB63" i="34"/>
  <c r="AB62" i="34"/>
  <c r="AB61" i="34"/>
  <c r="AB60" i="34"/>
  <c r="AB75" i="34"/>
  <c r="AB46" i="34"/>
  <c r="AB45" i="34"/>
  <c r="AB41" i="34"/>
  <c r="AB39" i="34"/>
  <c r="AB43" i="34"/>
  <c r="AB38" i="34"/>
  <c r="AB37" i="34"/>
  <c r="AB30" i="34"/>
  <c r="AB33" i="34"/>
  <c r="AB24" i="34"/>
  <c r="AB23" i="34"/>
  <c r="AB21" i="34"/>
  <c r="AB19" i="34"/>
  <c r="AB18" i="34"/>
  <c r="AB17" i="34"/>
  <c r="AB16" i="34"/>
  <c r="AB13" i="34"/>
  <c r="AB12" i="34"/>
  <c r="AB11" i="34"/>
  <c r="AB10" i="34"/>
  <c r="AB9" i="34"/>
  <c r="AB8" i="34"/>
  <c r="AB6" i="34"/>
  <c r="AB5" i="34"/>
  <c r="AB4" i="34"/>
  <c r="AB3" i="34"/>
  <c r="AB2" i="34"/>
  <c r="O2" i="15"/>
  <c r="AB2" i="17"/>
  <c r="AB3" i="17"/>
  <c r="AB4" i="17"/>
  <c r="AB5" i="17"/>
  <c r="AB7" i="17"/>
  <c r="AB8" i="17"/>
  <c r="AB10" i="17"/>
  <c r="AB11" i="17"/>
  <c r="AB12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O144" i="22"/>
  <c r="O120" i="28"/>
  <c r="O145" i="22"/>
  <c r="O121" i="28"/>
  <c r="O56" i="26"/>
  <c r="AB56" i="26"/>
  <c r="O55" i="26"/>
  <c r="AB55" i="26"/>
  <c r="O54" i="26"/>
  <c r="AB54" i="26"/>
  <c r="O63" i="26"/>
  <c r="AB63" i="26"/>
  <c r="O67" i="26"/>
  <c r="AB67" i="26"/>
  <c r="O51" i="26"/>
  <c r="AB51" i="26"/>
  <c r="O42" i="26"/>
  <c r="AB42" i="26"/>
  <c r="O39" i="26"/>
  <c r="AB39" i="26"/>
  <c r="O33" i="26"/>
  <c r="AB33" i="26"/>
  <c r="O29" i="26"/>
  <c r="AB29" i="26"/>
  <c r="O27" i="26"/>
  <c r="AB27" i="26"/>
  <c r="O5" i="26"/>
  <c r="AB5" i="26"/>
  <c r="O13" i="26"/>
  <c r="AB13" i="26"/>
  <c r="O41" i="26"/>
  <c r="AB41" i="26"/>
  <c r="O105" i="26"/>
  <c r="AB105" i="26"/>
  <c r="O45" i="26"/>
  <c r="AB45" i="26"/>
  <c r="O167" i="26"/>
  <c r="AB167" i="26"/>
  <c r="O175" i="26"/>
  <c r="AB175" i="26"/>
  <c r="O176" i="26"/>
  <c r="AB176" i="26"/>
  <c r="O177" i="26"/>
  <c r="AB177" i="26"/>
  <c r="O46" i="26"/>
  <c r="AB46" i="26"/>
  <c r="O48" i="26"/>
  <c r="AB48" i="26"/>
  <c r="O50" i="26"/>
  <c r="AB50" i="26"/>
  <c r="O20" i="26"/>
  <c r="AB20" i="26"/>
  <c r="O21" i="26"/>
  <c r="AB21" i="26"/>
  <c r="O24" i="26"/>
  <c r="AB24" i="26"/>
  <c r="O61" i="26"/>
  <c r="AB61" i="26"/>
  <c r="O62" i="26"/>
  <c r="AB62" i="26"/>
  <c r="O106" i="26"/>
  <c r="AB106" i="26"/>
  <c r="O73" i="26"/>
  <c r="AB73" i="26"/>
  <c r="O110" i="26"/>
  <c r="AB110" i="26"/>
  <c r="O74" i="26"/>
  <c r="AB74" i="26"/>
  <c r="O75" i="26"/>
  <c r="AB75" i="26"/>
  <c r="O76" i="26"/>
  <c r="AB76" i="26"/>
  <c r="O77" i="26"/>
  <c r="AB77" i="26"/>
  <c r="O78" i="26"/>
  <c r="AB78" i="26"/>
  <c r="O79" i="26"/>
  <c r="AB79" i="26"/>
  <c r="O80" i="26"/>
  <c r="AB80" i="26"/>
  <c r="O81" i="26"/>
  <c r="AB81" i="26"/>
  <c r="O82" i="26"/>
  <c r="AB82" i="26"/>
  <c r="O83" i="26"/>
  <c r="AB83" i="26"/>
  <c r="O84" i="26"/>
  <c r="AB84" i="26"/>
  <c r="O85" i="26"/>
  <c r="AB85" i="26"/>
  <c r="O114" i="26"/>
  <c r="AB114" i="26"/>
  <c r="O115" i="26"/>
  <c r="AB115" i="26"/>
  <c r="O116" i="26"/>
  <c r="AB116" i="26"/>
  <c r="O117" i="26"/>
  <c r="AB117" i="26"/>
  <c r="O118" i="26"/>
  <c r="AB118" i="26"/>
  <c r="O26" i="26"/>
  <c r="AB26" i="26"/>
  <c r="O86" i="26"/>
  <c r="AB86" i="26"/>
  <c r="O194" i="26"/>
  <c r="AB194" i="26"/>
  <c r="O197" i="26"/>
  <c r="AB197" i="26"/>
  <c r="O198" i="26"/>
  <c r="AB198" i="26"/>
  <c r="O213" i="26"/>
  <c r="AB213" i="26"/>
  <c r="O214" i="26"/>
  <c r="AB214" i="26"/>
  <c r="O119" i="26"/>
  <c r="AB119" i="26"/>
  <c r="O120" i="26"/>
  <c r="AB120" i="26"/>
  <c r="O121" i="26"/>
  <c r="AB121" i="26"/>
  <c r="O122" i="26"/>
  <c r="AB122" i="26"/>
  <c r="O123" i="26"/>
  <c r="AB123" i="26"/>
  <c r="O124" i="26"/>
  <c r="AB124" i="26"/>
  <c r="O125" i="26"/>
  <c r="AB125" i="26"/>
  <c r="O126" i="26"/>
  <c r="AB126" i="26"/>
  <c r="O127" i="26"/>
  <c r="AB127" i="26"/>
  <c r="O87" i="26"/>
  <c r="AB87" i="26"/>
  <c r="O88" i="26"/>
  <c r="AB88" i="26"/>
  <c r="O200" i="26"/>
  <c r="AB200" i="26"/>
  <c r="O201" i="26"/>
  <c r="AB201" i="26"/>
  <c r="O202" i="26"/>
  <c r="AB202" i="26"/>
  <c r="O203" i="26"/>
  <c r="AB203" i="26"/>
  <c r="O204" i="26"/>
  <c r="AB204" i="26"/>
  <c r="O205" i="26"/>
  <c r="AB205" i="26"/>
  <c r="O206" i="26"/>
  <c r="AB206" i="26"/>
  <c r="O207" i="26"/>
  <c r="AB207" i="26"/>
  <c r="O208" i="26"/>
  <c r="AB208" i="26"/>
  <c r="O209" i="26"/>
  <c r="AB209" i="26"/>
  <c r="O210" i="26"/>
  <c r="AB210" i="26"/>
  <c r="O211" i="26"/>
  <c r="AB211" i="26"/>
  <c r="O212" i="26"/>
  <c r="AB212" i="26"/>
  <c r="O49" i="26"/>
  <c r="AB49" i="26"/>
  <c r="O129" i="26"/>
  <c r="AB129" i="26"/>
  <c r="O99" i="26"/>
  <c r="AB99" i="26"/>
  <c r="O100" i="26"/>
  <c r="AB100" i="26"/>
  <c r="O101" i="26"/>
  <c r="AB101" i="26"/>
  <c r="O102" i="26"/>
  <c r="AB102" i="26"/>
  <c r="O103" i="26"/>
  <c r="AB103" i="26"/>
  <c r="O136" i="26"/>
  <c r="AB136" i="26"/>
  <c r="O137" i="26"/>
  <c r="AB137" i="26"/>
  <c r="O138" i="26"/>
  <c r="AB138" i="26"/>
  <c r="O139" i="26"/>
  <c r="AB139" i="26"/>
  <c r="O140" i="26"/>
  <c r="AB140" i="26"/>
  <c r="O141" i="26"/>
  <c r="AB141" i="26"/>
  <c r="O142" i="26"/>
  <c r="AB142" i="26"/>
  <c r="O143" i="26"/>
  <c r="AB143" i="26"/>
  <c r="O150" i="26"/>
  <c r="AB150" i="26"/>
  <c r="O151" i="26"/>
  <c r="AB151" i="26"/>
  <c r="O152" i="26"/>
  <c r="AB152" i="26"/>
  <c r="O153" i="26"/>
  <c r="AB153" i="26"/>
  <c r="O154" i="26"/>
  <c r="AB154" i="26"/>
  <c r="O155" i="26"/>
  <c r="AB155" i="26"/>
  <c r="O156" i="26"/>
  <c r="AB156" i="26"/>
  <c r="O157" i="26"/>
  <c r="AB157" i="26"/>
  <c r="O158" i="26"/>
  <c r="AB158" i="26"/>
  <c r="O159" i="26"/>
  <c r="AB159" i="26"/>
  <c r="O160" i="26"/>
  <c r="AB160" i="26"/>
  <c r="O161" i="26"/>
  <c r="AB161" i="26"/>
  <c r="O178" i="26"/>
  <c r="AB178" i="26"/>
  <c r="O179" i="26"/>
  <c r="AB179" i="26"/>
  <c r="O180" i="26"/>
  <c r="AB180" i="26"/>
  <c r="O181" i="26"/>
  <c r="AB181" i="26"/>
  <c r="O184" i="26"/>
  <c r="AB184" i="26"/>
  <c r="O185" i="26"/>
  <c r="AB185" i="26"/>
  <c r="O186" i="26"/>
  <c r="AB186" i="26"/>
  <c r="O187" i="26"/>
  <c r="AB187" i="26"/>
  <c r="O188" i="26"/>
  <c r="AB188" i="26"/>
  <c r="O162" i="26"/>
  <c r="AB162" i="26"/>
  <c r="O215" i="26"/>
  <c r="AB215" i="26"/>
  <c r="O216" i="26"/>
  <c r="AB216" i="26"/>
  <c r="O89" i="26"/>
  <c r="AB89" i="26"/>
  <c r="O163" i="26"/>
  <c r="AB163" i="26"/>
  <c r="O164" i="26"/>
  <c r="AB164" i="26"/>
  <c r="O90" i="26"/>
  <c r="AB90" i="26"/>
  <c r="O91" i="26"/>
  <c r="AB91" i="26"/>
  <c r="O92" i="26"/>
  <c r="AB92" i="26"/>
  <c r="O93" i="26"/>
  <c r="AB93" i="26"/>
  <c r="O94" i="26"/>
  <c r="AB94" i="26"/>
  <c r="O165" i="26"/>
  <c r="AB165" i="26"/>
  <c r="O166" i="26"/>
  <c r="AB166" i="26"/>
  <c r="O130" i="26"/>
  <c r="AB130" i="26"/>
  <c r="O217" i="26"/>
  <c r="AB217" i="26"/>
  <c r="O218" i="26"/>
  <c r="AB218" i="26"/>
  <c r="O219" i="26"/>
  <c r="AB219" i="26"/>
  <c r="O220" i="26"/>
  <c r="AB220" i="26"/>
  <c r="O221" i="26"/>
  <c r="AB221" i="26"/>
  <c r="O222" i="26"/>
  <c r="AB222" i="26"/>
  <c r="O223" i="26"/>
  <c r="AB223" i="26"/>
  <c r="O224" i="26"/>
  <c r="AB224" i="26"/>
  <c r="O225" i="26"/>
  <c r="AB225" i="26"/>
  <c r="O226" i="26"/>
  <c r="AB226" i="26"/>
  <c r="O189" i="26"/>
  <c r="AB189" i="26"/>
  <c r="O190" i="26"/>
  <c r="AB190" i="26"/>
  <c r="O131" i="26"/>
  <c r="AB131" i="26"/>
  <c r="O132" i="26"/>
  <c r="AB132" i="26"/>
  <c r="O133" i="26"/>
  <c r="AB133" i="26"/>
  <c r="O95" i="26"/>
  <c r="AB95" i="26"/>
  <c r="O96" i="26"/>
  <c r="AB96" i="26"/>
  <c r="O97" i="26"/>
  <c r="AB97" i="26"/>
  <c r="O28" i="26"/>
  <c r="AB28" i="26"/>
  <c r="O32" i="26"/>
  <c r="AB32" i="26"/>
  <c r="O38" i="26"/>
  <c r="AB38" i="26"/>
  <c r="O134" i="26"/>
  <c r="AB134" i="26"/>
  <c r="O135" i="26"/>
  <c r="AB135" i="26"/>
  <c r="O104" i="26"/>
  <c r="AB104" i="26"/>
  <c r="O191" i="26"/>
  <c r="AB191" i="26"/>
  <c r="O192" i="26"/>
  <c r="AB192" i="26"/>
  <c r="O144" i="26"/>
  <c r="AB144" i="26"/>
  <c r="L26" i="30"/>
  <c r="F28" i="30"/>
  <c r="L27" i="30"/>
  <c r="AB27" i="30" s="1"/>
  <c r="F29" i="30"/>
  <c r="AB26" i="30"/>
  <c r="O26" i="30"/>
  <c r="L40" i="41"/>
  <c r="N40" i="41" s="1"/>
  <c r="O40" i="41" s="1"/>
  <c r="F41" i="41"/>
  <c r="L18" i="41"/>
  <c r="F19" i="41"/>
  <c r="L19" i="41" s="1"/>
  <c r="N19" i="41" s="1"/>
  <c r="O19" i="41" s="1"/>
  <c r="L10" i="41"/>
  <c r="N10" i="41" s="1"/>
  <c r="O10" i="41" s="1"/>
  <c r="F11" i="41"/>
  <c r="L6" i="41"/>
  <c r="N6" i="41" s="1"/>
  <c r="O6" i="41" s="1"/>
  <c r="F7" i="41"/>
  <c r="L7" i="41" s="1"/>
  <c r="N7" i="41" s="1"/>
  <c r="O7" i="41" s="1"/>
  <c r="O140" i="22"/>
  <c r="L52" i="26"/>
  <c r="N52" i="26" s="1"/>
  <c r="F35" i="26"/>
  <c r="L34" i="26"/>
  <c r="N34" i="26" s="1"/>
  <c r="F31" i="26"/>
  <c r="L31" i="26" s="1"/>
  <c r="N31" i="26" s="1"/>
  <c r="L30" i="26"/>
  <c r="N30" i="26" s="1"/>
  <c r="F7" i="26"/>
  <c r="L6" i="26"/>
  <c r="N6" i="26" s="1"/>
  <c r="O6" i="39" s="1"/>
  <c r="F15" i="26"/>
  <c r="L14" i="26"/>
  <c r="N14" i="26" s="1"/>
  <c r="F33" i="41"/>
  <c r="F28" i="41"/>
  <c r="N18" i="41"/>
  <c r="O18" i="41" s="1"/>
  <c r="R8" i="33"/>
  <c r="C8" i="33"/>
  <c r="R7" i="33"/>
  <c r="O7" i="33"/>
  <c r="C7" i="33"/>
  <c r="R6" i="33"/>
  <c r="C6" i="33"/>
  <c r="R14" i="15"/>
  <c r="R8" i="15"/>
  <c r="R13" i="15"/>
  <c r="R12" i="15"/>
  <c r="R11" i="15"/>
  <c r="R10" i="15"/>
  <c r="R7" i="15"/>
  <c r="R6" i="15"/>
  <c r="R5" i="15"/>
  <c r="F44" i="34"/>
  <c r="R12" i="24"/>
  <c r="C12" i="24"/>
  <c r="R90" i="28"/>
  <c r="N90" i="28"/>
  <c r="O90" i="28" s="1"/>
  <c r="C90" i="28"/>
  <c r="R91" i="28"/>
  <c r="N91" i="28"/>
  <c r="O91" i="28" s="1"/>
  <c r="C91" i="28"/>
  <c r="R89" i="28"/>
  <c r="N89" i="28"/>
  <c r="O89" i="28" s="1"/>
  <c r="C89" i="28"/>
  <c r="R83" i="28"/>
  <c r="N83" i="28"/>
  <c r="O83" i="28" s="1"/>
  <c r="C83" i="28"/>
  <c r="R88" i="28"/>
  <c r="N88" i="28"/>
  <c r="O88" i="28" s="1"/>
  <c r="C88" i="28"/>
  <c r="R82" i="28"/>
  <c r="N82" i="28"/>
  <c r="O82" i="28" s="1"/>
  <c r="C82" i="28"/>
  <c r="R81" i="28"/>
  <c r="N81" i="28"/>
  <c r="O81" i="28" s="1"/>
  <c r="C81" i="28"/>
  <c r="R87" i="28"/>
  <c r="N87" i="28"/>
  <c r="O87" i="28" s="1"/>
  <c r="C87" i="28"/>
  <c r="R86" i="28"/>
  <c r="N86" i="28"/>
  <c r="O86" i="28" s="1"/>
  <c r="C86" i="28"/>
  <c r="R85" i="28"/>
  <c r="N85" i="28"/>
  <c r="O85" i="28" s="1"/>
  <c r="C85" i="28"/>
  <c r="R80" i="28"/>
  <c r="N80" i="28"/>
  <c r="O80" i="28" s="1"/>
  <c r="C80" i="28"/>
  <c r="R84" i="28"/>
  <c r="N84" i="28"/>
  <c r="O84" i="28" s="1"/>
  <c r="C84" i="28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O14" i="33"/>
  <c r="R48" i="40"/>
  <c r="C48" i="40"/>
  <c r="O117" i="23"/>
  <c r="O102" i="23"/>
  <c r="O94" i="23"/>
  <c r="O93" i="23"/>
  <c r="O92" i="23"/>
  <c r="O79" i="23"/>
  <c r="O72" i="23"/>
  <c r="O48" i="23"/>
  <c r="O29" i="23"/>
  <c r="O25" i="23"/>
  <c r="O21" i="23"/>
  <c r="O17" i="23"/>
  <c r="O2" i="23"/>
  <c r="O30" i="23"/>
  <c r="O31" i="23"/>
  <c r="O33" i="23"/>
  <c r="O34" i="23"/>
  <c r="O39" i="23"/>
  <c r="O43" i="23"/>
  <c r="O47" i="23"/>
  <c r="O49" i="23"/>
  <c r="O50" i="23"/>
  <c r="O51" i="23"/>
  <c r="O52" i="23"/>
  <c r="O54" i="23"/>
  <c r="O59" i="23"/>
  <c r="O61" i="23"/>
  <c r="O63" i="23"/>
  <c r="O66" i="23"/>
  <c r="O69" i="23"/>
  <c r="O70" i="23"/>
  <c r="O71" i="23"/>
  <c r="O73" i="23"/>
  <c r="O74" i="23"/>
  <c r="O75" i="23"/>
  <c r="O78" i="23"/>
  <c r="O80" i="23"/>
  <c r="O81" i="23"/>
  <c r="O83" i="23"/>
  <c r="O88" i="23"/>
  <c r="O89" i="23"/>
  <c r="O90" i="23"/>
  <c r="O91" i="23"/>
  <c r="O112" i="23"/>
  <c r="O114" i="23"/>
  <c r="O115" i="23"/>
  <c r="O119" i="23"/>
  <c r="R16" i="2"/>
  <c r="O16" i="2"/>
  <c r="C16" i="2"/>
  <c r="C78" i="23"/>
  <c r="R78" i="23"/>
  <c r="C79" i="23"/>
  <c r="R79" i="23"/>
  <c r="C76" i="23"/>
  <c r="O76" i="23"/>
  <c r="R76" i="23"/>
  <c r="C77" i="23"/>
  <c r="O77" i="23"/>
  <c r="R77" i="23"/>
  <c r="R24" i="2"/>
  <c r="O24" i="2"/>
  <c r="C24" i="2"/>
  <c r="C34" i="34"/>
  <c r="M23" i="34"/>
  <c r="M21" i="34"/>
  <c r="C232" i="22"/>
  <c r="C65" i="22"/>
  <c r="R232" i="22"/>
  <c r="C18" i="22"/>
  <c r="C19" i="22"/>
  <c r="R42" i="40"/>
  <c r="C42" i="40"/>
  <c r="R2" i="40"/>
  <c r="C2" i="40"/>
  <c r="R3" i="40"/>
  <c r="R26" i="40"/>
  <c r="C3" i="40"/>
  <c r="R5" i="17"/>
  <c r="O5" i="17"/>
  <c r="C5" i="17"/>
  <c r="R4" i="17"/>
  <c r="O4" i="17"/>
  <c r="C4" i="17"/>
  <c r="R3" i="17"/>
  <c r="O3" i="17"/>
  <c r="C3" i="17"/>
  <c r="O19" i="17"/>
  <c r="O15" i="17"/>
  <c r="R2" i="17"/>
  <c r="O2" i="17"/>
  <c r="C2" i="17"/>
  <c r="R11" i="17"/>
  <c r="C11" i="17"/>
  <c r="R10" i="17"/>
  <c r="C10" i="17"/>
  <c r="R12" i="17"/>
  <c r="O12" i="17"/>
  <c r="C12" i="17"/>
  <c r="R14" i="33"/>
  <c r="C14" i="33"/>
  <c r="R46" i="40"/>
  <c r="C46" i="40"/>
  <c r="R18" i="40"/>
  <c r="C18" i="40"/>
  <c r="R58" i="40"/>
  <c r="C26" i="40"/>
  <c r="R22" i="40"/>
  <c r="C22" i="40"/>
  <c r="R31" i="40"/>
  <c r="C31" i="40"/>
  <c r="R27" i="41"/>
  <c r="C27" i="41"/>
  <c r="R26" i="41"/>
  <c r="C26" i="41"/>
  <c r="R25" i="41"/>
  <c r="C25" i="41"/>
  <c r="R19" i="41"/>
  <c r="C19" i="41"/>
  <c r="R18" i="41"/>
  <c r="C18" i="41"/>
  <c r="R17" i="41"/>
  <c r="C17" i="41"/>
  <c r="R31" i="41"/>
  <c r="C31" i="41"/>
  <c r="R30" i="41"/>
  <c r="C30" i="41"/>
  <c r="R15" i="41"/>
  <c r="C15" i="41"/>
  <c r="R3" i="41"/>
  <c r="C3" i="41"/>
  <c r="R2" i="41"/>
  <c r="C2" i="41"/>
  <c r="R14" i="41"/>
  <c r="C14" i="41"/>
  <c r="R37" i="41"/>
  <c r="C37" i="41"/>
  <c r="R36" i="41"/>
  <c r="C36" i="41"/>
  <c r="R33" i="41"/>
  <c r="C33" i="41"/>
  <c r="R32" i="41"/>
  <c r="C32" i="41"/>
  <c r="R35" i="41"/>
  <c r="C35" i="41"/>
  <c r="R29" i="41"/>
  <c r="C29" i="41"/>
  <c r="R9" i="41"/>
  <c r="C9" i="41"/>
  <c r="R13" i="41"/>
  <c r="C13" i="41"/>
  <c r="R12" i="41"/>
  <c r="C12" i="41"/>
  <c r="R11" i="41"/>
  <c r="C11" i="41"/>
  <c r="R10" i="41"/>
  <c r="C10" i="41"/>
  <c r="R24" i="41"/>
  <c r="C24" i="41"/>
  <c r="R16" i="41"/>
  <c r="C16" i="41"/>
  <c r="R23" i="41"/>
  <c r="C23" i="41"/>
  <c r="R22" i="41"/>
  <c r="C22" i="41"/>
  <c r="R21" i="41"/>
  <c r="C21" i="41"/>
  <c r="R20" i="41"/>
  <c r="C20" i="41"/>
  <c r="R8" i="41"/>
  <c r="C8" i="41"/>
  <c r="R28" i="41"/>
  <c r="C28" i="41"/>
  <c r="R34" i="41"/>
  <c r="C34" i="41"/>
  <c r="R7" i="41"/>
  <c r="C7" i="41"/>
  <c r="R6" i="41"/>
  <c r="C6" i="41"/>
  <c r="R5" i="41"/>
  <c r="C5" i="41"/>
  <c r="R4" i="41"/>
  <c r="C4" i="41"/>
  <c r="R44" i="41"/>
  <c r="C44" i="41"/>
  <c r="R43" i="41"/>
  <c r="C43" i="41"/>
  <c r="R42" i="41"/>
  <c r="C42" i="41"/>
  <c r="R41" i="41"/>
  <c r="C41" i="41"/>
  <c r="R40" i="41"/>
  <c r="C40" i="41"/>
  <c r="R39" i="41"/>
  <c r="C39" i="41"/>
  <c r="R38" i="41"/>
  <c r="C38" i="41"/>
  <c r="R66" i="17"/>
  <c r="O66" i="17"/>
  <c r="C66" i="17"/>
  <c r="R4" i="2"/>
  <c r="O4" i="2"/>
  <c r="C4" i="2"/>
  <c r="O13" i="2"/>
  <c r="O14" i="2"/>
  <c r="O17" i="2"/>
  <c r="O18" i="2"/>
  <c r="O2" i="2"/>
  <c r="O3" i="2"/>
  <c r="O5" i="2"/>
  <c r="O6" i="2"/>
  <c r="O7" i="2"/>
  <c r="O8" i="2"/>
  <c r="O9" i="2"/>
  <c r="O21" i="2"/>
  <c r="O22" i="2"/>
  <c r="O19" i="2"/>
  <c r="O10" i="2"/>
  <c r="O20" i="2"/>
  <c r="O15" i="2"/>
  <c r="O23" i="2"/>
  <c r="R23" i="2"/>
  <c r="C23" i="2"/>
  <c r="R15" i="2"/>
  <c r="C15" i="2"/>
  <c r="R20" i="2"/>
  <c r="C20" i="2"/>
  <c r="R12" i="2"/>
  <c r="C12" i="2"/>
  <c r="R11" i="2"/>
  <c r="C11" i="2"/>
  <c r="R10" i="2"/>
  <c r="C10" i="2"/>
  <c r="R19" i="2"/>
  <c r="C19" i="2"/>
  <c r="C22" i="2"/>
  <c r="C21" i="2"/>
  <c r="O13" i="21"/>
  <c r="O9" i="21"/>
  <c r="X4" i="21"/>
  <c r="AA4" i="21" s="1"/>
  <c r="AB4" i="21" s="1"/>
  <c r="AC4" i="21" s="1"/>
  <c r="X11" i="21"/>
  <c r="AA11" i="21" s="1"/>
  <c r="AB11" i="21" s="1"/>
  <c r="AC11" i="21" s="1"/>
  <c r="X12" i="21"/>
  <c r="X14" i="21"/>
  <c r="X15" i="21"/>
  <c r="AA15" i="21" s="1"/>
  <c r="AB15" i="21" s="1"/>
  <c r="AC15" i="21" s="1"/>
  <c r="X5" i="21"/>
  <c r="AA5" i="21" s="1"/>
  <c r="AB5" i="21" s="1"/>
  <c r="AC5" i="21" s="1"/>
  <c r="X6" i="21"/>
  <c r="X7" i="21"/>
  <c r="X8" i="21"/>
  <c r="AA8" i="21" s="1"/>
  <c r="AB8" i="21" s="1"/>
  <c r="AC8" i="21" s="1"/>
  <c r="X9" i="21"/>
  <c r="X10" i="21"/>
  <c r="AA10" i="21" s="1"/>
  <c r="AB10" i="21" s="1"/>
  <c r="AC10" i="21" s="1"/>
  <c r="X13" i="21"/>
  <c r="X2" i="21"/>
  <c r="AA2" i="21" s="1"/>
  <c r="AB2" i="21" s="1"/>
  <c r="AC2" i="21" s="1"/>
  <c r="X3" i="21"/>
  <c r="AA3" i="21" s="1"/>
  <c r="AB3" i="21" s="1"/>
  <c r="AC3" i="21" s="1"/>
  <c r="O12" i="21"/>
  <c r="O7" i="21"/>
  <c r="C9" i="21"/>
  <c r="C7" i="21"/>
  <c r="C12" i="21"/>
  <c r="R11" i="19"/>
  <c r="R9" i="19"/>
  <c r="R10" i="19"/>
  <c r="R12" i="19"/>
  <c r="R28" i="19"/>
  <c r="R8" i="19"/>
  <c r="C28" i="19"/>
  <c r="O5" i="33"/>
  <c r="O4" i="33"/>
  <c r="O24" i="17"/>
  <c r="O46" i="17"/>
  <c r="O7" i="17"/>
  <c r="O62" i="17"/>
  <c r="O34" i="17"/>
  <c r="R43" i="40"/>
  <c r="C43" i="40"/>
  <c r="R39" i="40"/>
  <c r="R35" i="40"/>
  <c r="R55" i="40"/>
  <c r="R56" i="40"/>
  <c r="R53" i="40"/>
  <c r="R20" i="40"/>
  <c r="R15" i="40"/>
  <c r="R16" i="40"/>
  <c r="R13" i="40"/>
  <c r="R14" i="40"/>
  <c r="R12" i="40"/>
  <c r="R11" i="40"/>
  <c r="R19" i="40"/>
  <c r="R7" i="40"/>
  <c r="R8" i="40"/>
  <c r="R9" i="40"/>
  <c r="R5" i="40"/>
  <c r="R6" i="40"/>
  <c r="R32" i="40"/>
  <c r="R33" i="40"/>
  <c r="R34" i="40"/>
  <c r="R36" i="40"/>
  <c r="R37" i="40"/>
  <c r="R38" i="40"/>
  <c r="R49" i="40"/>
  <c r="R28" i="40"/>
  <c r="R30" i="40"/>
  <c r="R29" i="40"/>
  <c r="R40" i="40"/>
  <c r="R41" i="40"/>
  <c r="R44" i="40"/>
  <c r="R47" i="40"/>
  <c r="R45" i="40"/>
  <c r="R52" i="40"/>
  <c r="R54" i="40"/>
  <c r="R51" i="40"/>
  <c r="R57" i="40"/>
  <c r="R21" i="40"/>
  <c r="C35" i="40"/>
  <c r="C58" i="40"/>
  <c r="C39" i="40"/>
  <c r="C56" i="40"/>
  <c r="C55" i="40"/>
  <c r="C53" i="40"/>
  <c r="C5" i="40"/>
  <c r="C11" i="40"/>
  <c r="C12" i="40"/>
  <c r="C14" i="40"/>
  <c r="C13" i="40"/>
  <c r="C16" i="40"/>
  <c r="C15" i="40"/>
  <c r="C20" i="40"/>
  <c r="C19" i="40"/>
  <c r="C6" i="40"/>
  <c r="C9" i="40"/>
  <c r="C8" i="40"/>
  <c r="C7" i="40"/>
  <c r="C57" i="40"/>
  <c r="C51" i="40"/>
  <c r="C54" i="40"/>
  <c r="C52" i="40"/>
  <c r="C45" i="40"/>
  <c r="C47" i="40"/>
  <c r="C44" i="40"/>
  <c r="C41" i="40"/>
  <c r="C40" i="40"/>
  <c r="C29" i="40"/>
  <c r="C30" i="40"/>
  <c r="C28" i="40"/>
  <c r="C49" i="40"/>
  <c r="C38" i="40"/>
  <c r="C37" i="40"/>
  <c r="C36" i="40"/>
  <c r="C34" i="40"/>
  <c r="C33" i="40"/>
  <c r="C32" i="40"/>
  <c r="C21" i="40"/>
  <c r="R5" i="19"/>
  <c r="R6" i="19"/>
  <c r="R7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4" i="19"/>
  <c r="C12" i="19"/>
  <c r="C10" i="19"/>
  <c r="C9" i="19"/>
  <c r="C11" i="19"/>
  <c r="C8" i="19"/>
  <c r="R160" i="26"/>
  <c r="C160" i="26"/>
  <c r="R158" i="26"/>
  <c r="C158" i="26"/>
  <c r="R138" i="26"/>
  <c r="C138" i="26"/>
  <c r="R143" i="26"/>
  <c r="C143" i="26"/>
  <c r="R101" i="26"/>
  <c r="C101" i="26"/>
  <c r="R16" i="17"/>
  <c r="R17" i="17"/>
  <c r="R18" i="17"/>
  <c r="R19" i="17"/>
  <c r="R20" i="17"/>
  <c r="R21" i="17"/>
  <c r="R22" i="17"/>
  <c r="R23" i="17"/>
  <c r="R15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7" i="17"/>
  <c r="R8" i="17"/>
  <c r="R38" i="17"/>
  <c r="R3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34" i="17"/>
  <c r="R35" i="17"/>
  <c r="R36" i="17"/>
  <c r="R37" i="17"/>
  <c r="R29" i="17"/>
  <c r="R30" i="17"/>
  <c r="R31" i="17"/>
  <c r="R32" i="17"/>
  <c r="R28" i="17"/>
  <c r="R25" i="17"/>
  <c r="R26" i="17"/>
  <c r="R27" i="17"/>
  <c r="R24" i="17"/>
  <c r="O11" i="33"/>
  <c r="O12" i="33"/>
  <c r="O13" i="33"/>
  <c r="O3" i="33"/>
  <c r="C26" i="26"/>
  <c r="C27" i="26"/>
  <c r="R26" i="26"/>
  <c r="R27" i="26"/>
  <c r="O9" i="23"/>
  <c r="O64" i="23"/>
  <c r="O46" i="23"/>
  <c r="O37" i="23"/>
  <c r="O24" i="20"/>
  <c r="O27" i="20"/>
  <c r="O13" i="20"/>
  <c r="O10" i="20"/>
  <c r="O7" i="20"/>
  <c r="O8" i="20"/>
  <c r="O11" i="20"/>
  <c r="O2" i="20"/>
  <c r="O20" i="20"/>
  <c r="O16" i="20"/>
  <c r="O6" i="20"/>
  <c r="O3" i="20"/>
  <c r="O4" i="20"/>
  <c r="O5" i="20"/>
  <c r="O12" i="20"/>
  <c r="O9" i="20"/>
  <c r="O14" i="20"/>
  <c r="O22" i="20"/>
  <c r="O23" i="20"/>
  <c r="O21" i="20"/>
  <c r="O28" i="20"/>
  <c r="O8" i="29"/>
  <c r="O6" i="21"/>
  <c r="O10" i="21"/>
  <c r="O38" i="17"/>
  <c r="O23" i="29"/>
  <c r="O29" i="29"/>
  <c r="O27" i="29"/>
  <c r="O28" i="29"/>
  <c r="O22" i="29"/>
  <c r="O30" i="29"/>
  <c r="O7" i="29"/>
  <c r="O12" i="29"/>
  <c r="O4" i="29"/>
  <c r="O21" i="29"/>
  <c r="O19" i="29"/>
  <c r="O6" i="29"/>
  <c r="O2" i="29"/>
  <c r="O15" i="29"/>
  <c r="O13" i="29"/>
  <c r="O14" i="29"/>
  <c r="R97" i="26"/>
  <c r="C97" i="26"/>
  <c r="R53" i="26"/>
  <c r="C53" i="26"/>
  <c r="R116" i="26"/>
  <c r="C116" i="26"/>
  <c r="R88" i="26"/>
  <c r="R162" i="26"/>
  <c r="R165" i="26"/>
  <c r="R166" i="26"/>
  <c r="R164" i="26"/>
  <c r="R163" i="26"/>
  <c r="C162" i="26"/>
  <c r="C165" i="26"/>
  <c r="C166" i="26"/>
  <c r="C164" i="26"/>
  <c r="C163" i="26"/>
  <c r="C88" i="26"/>
  <c r="C182" i="22"/>
  <c r="R182" i="22"/>
  <c r="O6" i="32"/>
  <c r="O7" i="32"/>
  <c r="O9" i="32"/>
  <c r="O10" i="32"/>
  <c r="O11" i="32"/>
  <c r="O12" i="32"/>
  <c r="O13" i="32"/>
  <c r="O15" i="32"/>
  <c r="O16" i="32"/>
  <c r="O17" i="32"/>
  <c r="O18" i="32"/>
  <c r="O19" i="32"/>
  <c r="O21" i="32"/>
  <c r="O22" i="32"/>
  <c r="O23" i="32"/>
  <c r="O24" i="32"/>
  <c r="O25" i="32"/>
  <c r="O28" i="32"/>
  <c r="O29" i="32"/>
  <c r="O30" i="32"/>
  <c r="O31" i="32"/>
  <c r="O32" i="32"/>
  <c r="O33" i="32"/>
  <c r="O34" i="32"/>
  <c r="O35" i="32"/>
  <c r="O36" i="32"/>
  <c r="O37" i="32"/>
  <c r="O39" i="32"/>
  <c r="O40" i="32"/>
  <c r="C209" i="22"/>
  <c r="C74" i="28"/>
  <c r="C73" i="28"/>
  <c r="C64" i="22"/>
  <c r="C63" i="22"/>
  <c r="C53" i="22"/>
  <c r="R66" i="22"/>
  <c r="C66" i="22"/>
  <c r="R67" i="22"/>
  <c r="C67" i="22"/>
  <c r="C255" i="22"/>
  <c r="M2" i="34"/>
  <c r="M3" i="34"/>
  <c r="M4" i="34"/>
  <c r="M5" i="34"/>
  <c r="M6" i="34"/>
  <c r="M7" i="34"/>
  <c r="M8" i="34"/>
  <c r="M9" i="34"/>
  <c r="M10" i="34"/>
  <c r="M11" i="34"/>
  <c r="M12" i="34"/>
  <c r="M13" i="34"/>
  <c r="M16" i="34"/>
  <c r="M17" i="34"/>
  <c r="M18" i="34"/>
  <c r="M19" i="34"/>
  <c r="M24" i="34"/>
  <c r="M30" i="34"/>
  <c r="M37" i="34"/>
  <c r="M38" i="34"/>
  <c r="M43" i="34"/>
  <c r="M39" i="34"/>
  <c r="M41" i="34"/>
  <c r="M45" i="34"/>
  <c r="M46" i="34"/>
  <c r="M75" i="34"/>
  <c r="M60" i="34"/>
  <c r="M73" i="34"/>
  <c r="M67" i="34"/>
  <c r="M68" i="34"/>
  <c r="M69" i="34"/>
  <c r="M70" i="34"/>
  <c r="M76" i="34"/>
  <c r="M77" i="34"/>
  <c r="M72" i="34"/>
  <c r="M74" i="34"/>
  <c r="M85" i="34"/>
  <c r="M86" i="34"/>
  <c r="M81" i="34"/>
  <c r="M87" i="34"/>
  <c r="M83" i="34"/>
  <c r="R17" i="30"/>
  <c r="O17" i="30"/>
  <c r="C17" i="30"/>
  <c r="R33" i="30"/>
  <c r="C33" i="30"/>
  <c r="M79" i="34"/>
  <c r="R141" i="26"/>
  <c r="C141" i="26"/>
  <c r="C11" i="21"/>
  <c r="C57" i="17"/>
  <c r="R29" i="29"/>
  <c r="R27" i="29"/>
  <c r="R24" i="29"/>
  <c r="R25" i="29"/>
  <c r="R26" i="29"/>
  <c r="R28" i="29"/>
  <c r="R22" i="29"/>
  <c r="R30" i="29"/>
  <c r="R7" i="29"/>
  <c r="R12" i="29"/>
  <c r="R4" i="29"/>
  <c r="R21" i="29"/>
  <c r="R18" i="29"/>
  <c r="R8" i="29"/>
  <c r="R9" i="29"/>
  <c r="R10" i="29"/>
  <c r="R11" i="29"/>
  <c r="R19" i="29"/>
  <c r="R20" i="29"/>
  <c r="R6" i="29"/>
  <c r="R5" i="29"/>
  <c r="R2" i="29"/>
  <c r="R3" i="29"/>
  <c r="R15" i="29"/>
  <c r="R17" i="29"/>
  <c r="R13" i="29"/>
  <c r="R16" i="29"/>
  <c r="R14" i="29"/>
  <c r="R2" i="24"/>
  <c r="R3" i="24"/>
  <c r="R6" i="24"/>
  <c r="R5" i="24"/>
  <c r="R4" i="24"/>
  <c r="R7" i="24"/>
  <c r="R8" i="24"/>
  <c r="R9" i="24"/>
  <c r="R10" i="24"/>
  <c r="R11" i="24"/>
  <c r="R13" i="24"/>
  <c r="R14" i="24"/>
  <c r="R15" i="24"/>
  <c r="R16" i="24"/>
  <c r="R20" i="24"/>
  <c r="R18" i="24"/>
  <c r="R21" i="24"/>
  <c r="R19" i="24"/>
  <c r="R23" i="24"/>
  <c r="R22" i="24"/>
  <c r="R24" i="24"/>
  <c r="R25" i="24"/>
  <c r="R27" i="24"/>
  <c r="R26" i="24"/>
  <c r="R28" i="24"/>
  <c r="R29" i="24"/>
  <c r="R31" i="24"/>
  <c r="R32" i="24"/>
  <c r="R36" i="24"/>
  <c r="R37" i="24"/>
  <c r="R38" i="24"/>
  <c r="R41" i="24"/>
  <c r="R42" i="24"/>
  <c r="R43" i="24"/>
  <c r="R39" i="24"/>
  <c r="R40" i="24"/>
  <c r="R33" i="24"/>
  <c r="R44" i="24"/>
  <c r="R47" i="24"/>
  <c r="R48" i="24"/>
  <c r="R45" i="24"/>
  <c r="R46" i="24"/>
  <c r="R34" i="24"/>
  <c r="R35" i="24"/>
  <c r="R53" i="24"/>
  <c r="R54" i="24"/>
  <c r="R55" i="24"/>
  <c r="R50" i="24"/>
  <c r="R51" i="24"/>
  <c r="R52" i="24"/>
  <c r="R56" i="24"/>
  <c r="R57" i="24"/>
  <c r="R58" i="24"/>
  <c r="R59" i="24"/>
  <c r="R17" i="24"/>
  <c r="R3" i="33"/>
  <c r="R4" i="33"/>
  <c r="R5" i="33"/>
  <c r="R11" i="33"/>
  <c r="R12" i="33"/>
  <c r="R13" i="33"/>
  <c r="R3" i="32"/>
  <c r="R4" i="32"/>
  <c r="R5" i="32"/>
  <c r="R6" i="32"/>
  <c r="R7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O3" i="32"/>
  <c r="O4" i="32"/>
  <c r="O5" i="32"/>
  <c r="O14" i="32"/>
  <c r="O20" i="32"/>
  <c r="O38" i="32"/>
  <c r="R3" i="30"/>
  <c r="R4" i="30"/>
  <c r="R5" i="30"/>
  <c r="R8" i="30"/>
  <c r="R9" i="30"/>
  <c r="R6" i="30"/>
  <c r="R11" i="30"/>
  <c r="R13" i="30"/>
  <c r="R14" i="30"/>
  <c r="R15" i="30"/>
  <c r="R16" i="30"/>
  <c r="R18" i="30"/>
  <c r="R19" i="30"/>
  <c r="R20" i="30"/>
  <c r="R21" i="30"/>
  <c r="R22" i="30"/>
  <c r="R23" i="30"/>
  <c r="R24" i="30"/>
  <c r="R25" i="30"/>
  <c r="R27" i="30"/>
  <c r="R29" i="30"/>
  <c r="R31" i="30"/>
  <c r="R34" i="30"/>
  <c r="R36" i="30"/>
  <c r="R35" i="30"/>
  <c r="R38" i="30"/>
  <c r="R37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39" i="22"/>
  <c r="R107" i="22"/>
  <c r="R137" i="22"/>
  <c r="R140" i="22"/>
  <c r="R141" i="22"/>
  <c r="R142" i="22"/>
  <c r="R144" i="22"/>
  <c r="R147" i="22"/>
  <c r="R148" i="22"/>
  <c r="R151" i="22"/>
  <c r="R143" i="22"/>
  <c r="R145" i="22"/>
  <c r="R146" i="22"/>
  <c r="R152" i="22"/>
  <c r="R156" i="22"/>
  <c r="R157" i="22"/>
  <c r="R158" i="22"/>
  <c r="R174" i="22"/>
  <c r="R175" i="22"/>
  <c r="R184" i="22"/>
  <c r="R185" i="22"/>
  <c r="R204" i="22"/>
  <c r="R205" i="22"/>
  <c r="R206" i="22"/>
  <c r="R217" i="22"/>
  <c r="R197" i="22"/>
  <c r="R198" i="22"/>
  <c r="R199" i="22"/>
  <c r="R214" i="22"/>
  <c r="R215" i="22"/>
  <c r="R216" i="22"/>
  <c r="R213" i="22"/>
  <c r="R218" i="22"/>
  <c r="R219" i="22"/>
  <c r="R220" i="22"/>
  <c r="R226" i="22"/>
  <c r="R233" i="22"/>
  <c r="R236" i="22"/>
  <c r="R237" i="22"/>
  <c r="R238" i="22"/>
  <c r="R239" i="22"/>
  <c r="R287" i="22"/>
  <c r="R288" i="22"/>
  <c r="R294" i="22"/>
  <c r="R295" i="22"/>
  <c r="R133" i="26"/>
  <c r="R105" i="26"/>
  <c r="R106" i="26"/>
  <c r="R114" i="26"/>
  <c r="R115" i="26"/>
  <c r="R117" i="26"/>
  <c r="R118" i="26"/>
  <c r="R119" i="26"/>
  <c r="R129" i="26"/>
  <c r="R130" i="26"/>
  <c r="R131" i="26"/>
  <c r="R132" i="26"/>
  <c r="R134" i="26"/>
  <c r="R135" i="26"/>
  <c r="R110" i="26"/>
  <c r="R120" i="26"/>
  <c r="R121" i="26"/>
  <c r="R122" i="26"/>
  <c r="R123" i="26"/>
  <c r="R124" i="26"/>
  <c r="R125" i="26"/>
  <c r="R126" i="26"/>
  <c r="R127" i="26"/>
  <c r="R189" i="26"/>
  <c r="R190" i="26"/>
  <c r="R217" i="26"/>
  <c r="R218" i="26"/>
  <c r="R219" i="26"/>
  <c r="R220" i="26"/>
  <c r="R221" i="26"/>
  <c r="R222" i="26"/>
  <c r="R223" i="26"/>
  <c r="R224" i="26"/>
  <c r="R225" i="26"/>
  <c r="R226" i="26"/>
  <c r="R213" i="26"/>
  <c r="R214" i="26"/>
  <c r="R215" i="26"/>
  <c r="R216" i="26"/>
  <c r="R12" i="26"/>
  <c r="R13" i="26"/>
  <c r="R14" i="26"/>
  <c r="R15" i="26"/>
  <c r="R16" i="26"/>
  <c r="R17" i="26"/>
  <c r="R4" i="26"/>
  <c r="R5" i="26"/>
  <c r="R19" i="26"/>
  <c r="R2" i="26"/>
  <c r="R6" i="26"/>
  <c r="R7" i="26"/>
  <c r="R18" i="26"/>
  <c r="R10" i="26"/>
  <c r="R11" i="26"/>
  <c r="R22" i="26"/>
  <c r="R24" i="26"/>
  <c r="R21" i="26"/>
  <c r="R25" i="26"/>
  <c r="R20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9" i="26"/>
  <c r="R45" i="26"/>
  <c r="R55" i="26"/>
  <c r="R56" i="26"/>
  <c r="R57" i="26"/>
  <c r="R58" i="26"/>
  <c r="R59" i="26"/>
  <c r="R60" i="26"/>
  <c r="R61" i="26"/>
  <c r="R62" i="26"/>
  <c r="R86" i="26"/>
  <c r="R73" i="26"/>
  <c r="R54" i="26"/>
  <c r="R74" i="26"/>
  <c r="R75" i="26"/>
  <c r="R76" i="26"/>
  <c r="R77" i="26"/>
  <c r="R78" i="26"/>
  <c r="R87" i="26"/>
  <c r="R50" i="26"/>
  <c r="R51" i="26"/>
  <c r="R52" i="26"/>
  <c r="R194" i="26"/>
  <c r="R197" i="26"/>
  <c r="R198" i="26"/>
  <c r="R46" i="26"/>
  <c r="R48" i="26"/>
  <c r="R63" i="26"/>
  <c r="R64" i="26"/>
  <c r="R65" i="26"/>
  <c r="R66" i="26"/>
  <c r="R67" i="26"/>
  <c r="R68" i="26"/>
  <c r="R69" i="26"/>
  <c r="R70" i="26"/>
  <c r="R71" i="26"/>
  <c r="R72" i="26"/>
  <c r="R79" i="26"/>
  <c r="R80" i="26"/>
  <c r="R81" i="26"/>
  <c r="R82" i="26"/>
  <c r="R83" i="26"/>
  <c r="R84" i="26"/>
  <c r="R85" i="26"/>
  <c r="R89" i="26"/>
  <c r="R91" i="26"/>
  <c r="R92" i="26"/>
  <c r="R93" i="26"/>
  <c r="R94" i="26"/>
  <c r="R90" i="26"/>
  <c r="R95" i="26"/>
  <c r="R96" i="26"/>
  <c r="R104" i="26"/>
  <c r="R99" i="26"/>
  <c r="R100" i="26"/>
  <c r="R102" i="26"/>
  <c r="R103" i="26"/>
  <c r="R136" i="26"/>
  <c r="R137" i="26"/>
  <c r="R139" i="26"/>
  <c r="R140" i="26"/>
  <c r="R142" i="26"/>
  <c r="R145" i="26"/>
  <c r="R146" i="26"/>
  <c r="R147" i="26"/>
  <c r="R150" i="26"/>
  <c r="R151" i="26"/>
  <c r="R152" i="26"/>
  <c r="R153" i="26"/>
  <c r="R154" i="26"/>
  <c r="R155" i="26"/>
  <c r="R156" i="26"/>
  <c r="R148" i="26"/>
  <c r="R149" i="26"/>
  <c r="R157" i="26"/>
  <c r="R159" i="26"/>
  <c r="R161" i="26"/>
  <c r="R180" i="26"/>
  <c r="R191" i="26"/>
  <c r="R192" i="26"/>
  <c r="R186" i="26"/>
  <c r="R187" i="26"/>
  <c r="R188" i="26"/>
  <c r="R181" i="26"/>
  <c r="R178" i="26"/>
  <c r="R179" i="26"/>
  <c r="R169" i="26"/>
  <c r="R170" i="26"/>
  <c r="R167" i="26"/>
  <c r="R172" i="26"/>
  <c r="R168" i="26"/>
  <c r="R171" i="26"/>
  <c r="R184" i="26"/>
  <c r="R185" i="26"/>
  <c r="R173" i="26"/>
  <c r="R174" i="26"/>
  <c r="R175" i="26"/>
  <c r="R176" i="26"/>
  <c r="R177" i="26"/>
  <c r="R200" i="26"/>
  <c r="R201" i="26"/>
  <c r="R202" i="26"/>
  <c r="R203" i="26"/>
  <c r="R204" i="26"/>
  <c r="R205" i="26"/>
  <c r="R206" i="26"/>
  <c r="R207" i="26"/>
  <c r="R208" i="26"/>
  <c r="R209" i="26"/>
  <c r="R210" i="26"/>
  <c r="R211" i="26"/>
  <c r="R212" i="26"/>
  <c r="R13" i="2"/>
  <c r="R14" i="2"/>
  <c r="R17" i="2"/>
  <c r="R18" i="2"/>
  <c r="R2" i="2"/>
  <c r="R3" i="2"/>
  <c r="R5" i="2"/>
  <c r="R6" i="2"/>
  <c r="R7" i="2"/>
  <c r="R8" i="2"/>
  <c r="R9" i="2"/>
  <c r="R9" i="28"/>
  <c r="R10" i="28"/>
  <c r="R122" i="28"/>
  <c r="R5" i="28"/>
  <c r="R6" i="28"/>
  <c r="R7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7" i="28"/>
  <c r="R29" i="28"/>
  <c r="R30" i="28"/>
  <c r="R26" i="28"/>
  <c r="R34" i="28"/>
  <c r="R35" i="28"/>
  <c r="R36" i="28"/>
  <c r="R31" i="28"/>
  <c r="R32" i="28"/>
  <c r="R33" i="28"/>
  <c r="R38" i="28"/>
  <c r="R39" i="28"/>
  <c r="R40" i="28"/>
  <c r="R37" i="28"/>
  <c r="R41" i="28"/>
  <c r="R42" i="28"/>
  <c r="R43" i="28"/>
  <c r="R44" i="28"/>
  <c r="R45" i="28"/>
  <c r="R46" i="28"/>
  <c r="R75" i="28"/>
  <c r="R76" i="28"/>
  <c r="R77" i="28"/>
  <c r="R78" i="28"/>
  <c r="R79" i="28"/>
  <c r="R92" i="28"/>
  <c r="R93" i="28"/>
  <c r="R126" i="28"/>
  <c r="R124" i="28"/>
  <c r="R123" i="28"/>
  <c r="R125" i="28"/>
  <c r="R137" i="28"/>
  <c r="R138" i="28"/>
  <c r="R139" i="28"/>
  <c r="R127" i="28"/>
  <c r="R128" i="28"/>
  <c r="R129" i="28"/>
  <c r="R130" i="28"/>
  <c r="R131" i="28"/>
  <c r="R140" i="28"/>
  <c r="R141" i="28"/>
  <c r="R132" i="28"/>
  <c r="R133" i="28"/>
  <c r="R134" i="28"/>
  <c r="R135" i="28"/>
  <c r="R136" i="28"/>
  <c r="R24" i="28"/>
  <c r="R25" i="28"/>
  <c r="R23" i="28"/>
  <c r="R94" i="28"/>
  <c r="R95" i="28"/>
  <c r="R96" i="28"/>
  <c r="R97" i="28"/>
  <c r="R98" i="28"/>
  <c r="R99" i="28"/>
  <c r="R100" i="28"/>
  <c r="R101" i="28"/>
  <c r="R102" i="28"/>
  <c r="R103" i="28"/>
  <c r="R104" i="28"/>
  <c r="R105" i="28"/>
  <c r="R106" i="28"/>
  <c r="R107" i="28"/>
  <c r="R108" i="28"/>
  <c r="R109" i="28"/>
  <c r="R110" i="28"/>
  <c r="R2" i="28"/>
  <c r="R50" i="28"/>
  <c r="R51" i="28"/>
  <c r="R52" i="28"/>
  <c r="R70" i="28"/>
  <c r="R71" i="28"/>
  <c r="R72" i="28"/>
  <c r="R65" i="28"/>
  <c r="R66" i="28"/>
  <c r="R67" i="28"/>
  <c r="R68" i="28"/>
  <c r="R62" i="28"/>
  <c r="R59" i="28"/>
  <c r="R61" i="28"/>
  <c r="R56" i="28"/>
  <c r="R53" i="28"/>
  <c r="R54" i="28"/>
  <c r="R57" i="28"/>
  <c r="R63" i="28"/>
  <c r="R64" i="28"/>
  <c r="R58" i="28"/>
  <c r="R55" i="28"/>
  <c r="R112" i="28"/>
  <c r="R111" i="28"/>
  <c r="R113" i="28"/>
  <c r="R114" i="28"/>
  <c r="R116" i="28"/>
  <c r="R115" i="28"/>
  <c r="R117" i="28"/>
  <c r="R119" i="28"/>
  <c r="R118" i="28"/>
  <c r="R69" i="28"/>
  <c r="N9" i="28"/>
  <c r="O9" i="28"/>
  <c r="N10" i="28"/>
  <c r="O10" i="28" s="1"/>
  <c r="N122" i="28"/>
  <c r="O122" i="28"/>
  <c r="N5" i="28"/>
  <c r="O5" i="28" s="1"/>
  <c r="N6" i="28"/>
  <c r="O6" i="28" s="1"/>
  <c r="N7" i="28"/>
  <c r="O7" i="28" s="1"/>
  <c r="N11" i="28"/>
  <c r="O11" i="28"/>
  <c r="N12" i="28"/>
  <c r="O12" i="28" s="1"/>
  <c r="N13" i="28"/>
  <c r="O13" i="28" s="1"/>
  <c r="N14" i="28"/>
  <c r="O14" i="28" s="1"/>
  <c r="N15" i="28"/>
  <c r="O15" i="28" s="1"/>
  <c r="N16" i="28"/>
  <c r="O16" i="28" s="1"/>
  <c r="N17" i="28"/>
  <c r="O17" i="28" s="1"/>
  <c r="N18" i="28"/>
  <c r="O18" i="28" s="1"/>
  <c r="N19" i="28"/>
  <c r="O19" i="28" s="1"/>
  <c r="N20" i="28"/>
  <c r="O20" i="28" s="1"/>
  <c r="N21" i="28"/>
  <c r="O21" i="28" s="1"/>
  <c r="N22" i="28"/>
  <c r="O22" i="28" s="1"/>
  <c r="N27" i="28"/>
  <c r="O27" i="28" s="1"/>
  <c r="N29" i="28"/>
  <c r="O29" i="28" s="1"/>
  <c r="N30" i="28"/>
  <c r="O30" i="28" s="1"/>
  <c r="N26" i="28"/>
  <c r="O26" i="28" s="1"/>
  <c r="N34" i="28"/>
  <c r="O34" i="28" s="1"/>
  <c r="N35" i="28"/>
  <c r="O35" i="28" s="1"/>
  <c r="N36" i="28"/>
  <c r="O36" i="28" s="1"/>
  <c r="N31" i="28"/>
  <c r="O31" i="28" s="1"/>
  <c r="N32" i="28"/>
  <c r="O32" i="28" s="1"/>
  <c r="N33" i="28"/>
  <c r="O33" i="28" s="1"/>
  <c r="N38" i="28"/>
  <c r="O38" i="28" s="1"/>
  <c r="N39" i="28"/>
  <c r="O39" i="28" s="1"/>
  <c r="N40" i="28"/>
  <c r="O40" i="28" s="1"/>
  <c r="N37" i="28"/>
  <c r="O37" i="28" s="1"/>
  <c r="N41" i="28"/>
  <c r="O41" i="28" s="1"/>
  <c r="N42" i="28"/>
  <c r="O42" i="28" s="1"/>
  <c r="N43" i="28"/>
  <c r="O43" i="28" s="1"/>
  <c r="N44" i="28"/>
  <c r="O44" i="28" s="1"/>
  <c r="N45" i="28"/>
  <c r="O45" i="28" s="1"/>
  <c r="N46" i="28"/>
  <c r="O46" i="28" s="1"/>
  <c r="N75" i="28"/>
  <c r="O75" i="28" s="1"/>
  <c r="N76" i="28"/>
  <c r="O76" i="28" s="1"/>
  <c r="N77" i="28"/>
  <c r="O77" i="28" s="1"/>
  <c r="N78" i="28"/>
  <c r="O78" i="28" s="1"/>
  <c r="N79" i="28"/>
  <c r="O79" i="28"/>
  <c r="N92" i="28"/>
  <c r="O92" i="28"/>
  <c r="N93" i="28"/>
  <c r="O93" i="28" s="1"/>
  <c r="N126" i="28"/>
  <c r="O126" i="28" s="1"/>
  <c r="N124" i="28"/>
  <c r="O124" i="28" s="1"/>
  <c r="N123" i="28"/>
  <c r="O123" i="28" s="1"/>
  <c r="N125" i="28"/>
  <c r="O125" i="28" s="1"/>
  <c r="N137" i="28"/>
  <c r="O137" i="28"/>
  <c r="N138" i="28"/>
  <c r="O138" i="28" s="1"/>
  <c r="N139" i="28"/>
  <c r="O139" i="28" s="1"/>
  <c r="N127" i="28"/>
  <c r="O127" i="28" s="1"/>
  <c r="N128" i="28"/>
  <c r="O128" i="28" s="1"/>
  <c r="N129" i="28"/>
  <c r="O129" i="28" s="1"/>
  <c r="N130" i="28"/>
  <c r="O130" i="28" s="1"/>
  <c r="N131" i="28"/>
  <c r="O131" i="28" s="1"/>
  <c r="N140" i="28"/>
  <c r="O140" i="28" s="1"/>
  <c r="N141" i="28"/>
  <c r="O141" i="28" s="1"/>
  <c r="N132" i="28"/>
  <c r="O132" i="28" s="1"/>
  <c r="N133" i="28"/>
  <c r="O133" i="28" s="1"/>
  <c r="N134" i="28"/>
  <c r="O134" i="28" s="1"/>
  <c r="N135" i="28"/>
  <c r="O135" i="28" s="1"/>
  <c r="N136" i="28"/>
  <c r="O136" i="28" s="1"/>
  <c r="N24" i="28"/>
  <c r="O24" i="28" s="1"/>
  <c r="N25" i="28"/>
  <c r="O25" i="28" s="1"/>
  <c r="N23" i="28"/>
  <c r="O23" i="28" s="1"/>
  <c r="N94" i="28"/>
  <c r="O94" i="28" s="1"/>
  <c r="N95" i="28"/>
  <c r="O95" i="28" s="1"/>
  <c r="N96" i="28"/>
  <c r="O96" i="28" s="1"/>
  <c r="N97" i="28"/>
  <c r="O97" i="28" s="1"/>
  <c r="N98" i="28"/>
  <c r="O98" i="28" s="1"/>
  <c r="N99" i="28"/>
  <c r="O99" i="28" s="1"/>
  <c r="N100" i="28"/>
  <c r="O100" i="28" s="1"/>
  <c r="N101" i="28"/>
  <c r="O101" i="28" s="1"/>
  <c r="N102" i="28"/>
  <c r="O102" i="28" s="1"/>
  <c r="N103" i="28"/>
  <c r="O103" i="28" s="1"/>
  <c r="N104" i="28"/>
  <c r="O104" i="28" s="1"/>
  <c r="N105" i="28"/>
  <c r="O105" i="28" s="1"/>
  <c r="N106" i="28"/>
  <c r="O106" i="28"/>
  <c r="N107" i="28"/>
  <c r="O107" i="28" s="1"/>
  <c r="N108" i="28"/>
  <c r="O108" i="28" s="1"/>
  <c r="N109" i="28"/>
  <c r="O109" i="28" s="1"/>
  <c r="N110" i="28"/>
  <c r="O110" i="28" s="1"/>
  <c r="N2" i="28"/>
  <c r="O2" i="28" s="1"/>
  <c r="N50" i="28"/>
  <c r="O50" i="28" s="1"/>
  <c r="N51" i="28"/>
  <c r="O51" i="28" s="1"/>
  <c r="N52" i="28"/>
  <c r="O52" i="28" s="1"/>
  <c r="N70" i="28"/>
  <c r="O70" i="28" s="1"/>
  <c r="N71" i="28"/>
  <c r="O71" i="28" s="1"/>
  <c r="N72" i="28"/>
  <c r="O72" i="28"/>
  <c r="N65" i="28"/>
  <c r="O65" i="28" s="1"/>
  <c r="N66" i="28"/>
  <c r="O66" i="28" s="1"/>
  <c r="N67" i="28"/>
  <c r="O67" i="28" s="1"/>
  <c r="N68" i="28"/>
  <c r="O68" i="28" s="1"/>
  <c r="N62" i="28"/>
  <c r="O62" i="28" s="1"/>
  <c r="N59" i="28"/>
  <c r="O59" i="28" s="1"/>
  <c r="N61" i="28"/>
  <c r="O61" i="28" s="1"/>
  <c r="N56" i="28"/>
  <c r="O56" i="28"/>
  <c r="N53" i="28"/>
  <c r="O53" i="28" s="1"/>
  <c r="N54" i="28"/>
  <c r="O54" i="28" s="1"/>
  <c r="N57" i="28"/>
  <c r="O57" i="28" s="1"/>
  <c r="N63" i="28"/>
  <c r="O63" i="28" s="1"/>
  <c r="N64" i="28"/>
  <c r="O64" i="28" s="1"/>
  <c r="N58" i="28"/>
  <c r="O58" i="28" s="1"/>
  <c r="N55" i="28"/>
  <c r="O55" i="28" s="1"/>
  <c r="N112" i="28"/>
  <c r="O112" i="28" s="1"/>
  <c r="N111" i="28"/>
  <c r="O111" i="28" s="1"/>
  <c r="N113" i="28"/>
  <c r="O113" i="28" s="1"/>
  <c r="N114" i="28"/>
  <c r="O114" i="28" s="1"/>
  <c r="N116" i="28"/>
  <c r="O116" i="28" s="1"/>
  <c r="N115" i="28"/>
  <c r="O115" i="28" s="1"/>
  <c r="N117" i="28"/>
  <c r="O117" i="28" s="1"/>
  <c r="N119" i="28"/>
  <c r="O119" i="28" s="1"/>
  <c r="N118" i="28"/>
  <c r="O118" i="28" s="1"/>
  <c r="N69" i="28"/>
  <c r="O69" i="28" s="1"/>
  <c r="C19" i="17"/>
  <c r="C23" i="17"/>
  <c r="C5" i="32"/>
  <c r="C7" i="32"/>
  <c r="C26" i="24"/>
  <c r="C25" i="24"/>
  <c r="C5" i="24"/>
  <c r="C290" i="22"/>
  <c r="C157" i="22"/>
  <c r="C156" i="22"/>
  <c r="C141" i="22"/>
  <c r="C28" i="22"/>
  <c r="C99" i="26"/>
  <c r="C100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5" i="26"/>
  <c r="C4" i="26"/>
  <c r="C83" i="34"/>
  <c r="C69" i="28"/>
  <c r="C118" i="28"/>
  <c r="C296" i="22"/>
  <c r="C294" i="22"/>
  <c r="C287" i="22"/>
  <c r="C288" i="22"/>
  <c r="C231" i="22"/>
  <c r="C107" i="28"/>
  <c r="C108" i="28"/>
  <c r="C79" i="34"/>
  <c r="C80" i="34"/>
  <c r="C81" i="34"/>
  <c r="C87" i="34"/>
  <c r="C17" i="24"/>
  <c r="C124" i="28"/>
  <c r="C28" i="34"/>
  <c r="C29" i="34"/>
  <c r="C25" i="34"/>
  <c r="C26" i="34"/>
  <c r="C27" i="34"/>
  <c r="C54" i="34"/>
  <c r="C18" i="34"/>
  <c r="AB19" i="40" l="1"/>
  <c r="AB20" i="40"/>
  <c r="N125" i="23"/>
  <c r="AB125" i="23"/>
  <c r="F127" i="23"/>
  <c r="F146" i="26"/>
  <c r="L145" i="26"/>
  <c r="N145" i="26" s="1"/>
  <c r="AB20" i="34"/>
  <c r="AB25" i="34"/>
  <c r="AB26" i="34"/>
  <c r="AB27" i="34"/>
  <c r="AB28" i="34"/>
  <c r="AB29" i="34"/>
  <c r="AB44" i="34"/>
  <c r="AB47" i="34"/>
  <c r="AB52" i="34"/>
  <c r="AB54" i="34"/>
  <c r="AB55" i="34"/>
  <c r="AB64" i="34"/>
  <c r="AB66" i="34"/>
  <c r="AB71" i="34"/>
  <c r="AC16" i="21"/>
  <c r="L8" i="39"/>
  <c r="N8" i="39" s="1"/>
  <c r="F6" i="39"/>
  <c r="L6" i="39" s="1"/>
  <c r="N6" i="39" s="1"/>
  <c r="L9" i="39"/>
  <c r="N9" i="39" s="1"/>
  <c r="O4" i="15"/>
  <c r="O3" i="15"/>
  <c r="O14" i="15"/>
  <c r="O8" i="15"/>
  <c r="O13" i="15"/>
  <c r="O12" i="15"/>
  <c r="O11" i="15"/>
  <c r="O10" i="15"/>
  <c r="O7" i="15"/>
  <c r="O6" i="15"/>
  <c r="O5" i="15"/>
  <c r="O14" i="26"/>
  <c r="AB14" i="26"/>
  <c r="O6" i="26"/>
  <c r="AB6" i="26"/>
  <c r="O30" i="26"/>
  <c r="AB30" i="26"/>
  <c r="O31" i="26"/>
  <c r="AB31" i="26"/>
  <c r="O34" i="26"/>
  <c r="AB34" i="26"/>
  <c r="O52" i="26"/>
  <c r="AB52" i="26"/>
  <c r="M25" i="34"/>
  <c r="M26" i="34"/>
  <c r="M27" i="34"/>
  <c r="M28" i="34"/>
  <c r="M29" i="34"/>
  <c r="M44" i="34"/>
  <c r="M47" i="34"/>
  <c r="M54" i="34"/>
  <c r="M71" i="34"/>
  <c r="F31" i="30"/>
  <c r="L29" i="30"/>
  <c r="AB29" i="30" s="1"/>
  <c r="F30" i="30"/>
  <c r="L28" i="30"/>
  <c r="L28" i="41"/>
  <c r="N28" i="41" s="1"/>
  <c r="O28" i="41" s="1"/>
  <c r="L33" i="41"/>
  <c r="N33" i="41" s="1"/>
  <c r="O33" i="41" s="1"/>
  <c r="F34" i="41"/>
  <c r="L11" i="41"/>
  <c r="N11" i="41" s="1"/>
  <c r="O11" i="41" s="1"/>
  <c r="F12" i="41"/>
  <c r="L41" i="41"/>
  <c r="N41" i="41" s="1"/>
  <c r="O41" i="41" s="1"/>
  <c r="F42" i="41"/>
  <c r="F16" i="26"/>
  <c r="L15" i="26"/>
  <c r="N15" i="26" s="1"/>
  <c r="L7" i="26"/>
  <c r="N7" i="26" s="1"/>
  <c r="O7" i="39" s="1"/>
  <c r="F36" i="26"/>
  <c r="L35" i="26"/>
  <c r="N35" i="26" s="1"/>
  <c r="M80" i="34"/>
  <c r="M66" i="34"/>
  <c r="M64" i="34"/>
  <c r="M14" i="34"/>
  <c r="M78" i="34"/>
  <c r="M63" i="34"/>
  <c r="M62" i="34"/>
  <c r="M61" i="34"/>
  <c r="M20" i="34"/>
  <c r="O10" i="23"/>
  <c r="O11" i="23"/>
  <c r="N31" i="41"/>
  <c r="O31" i="41" s="1"/>
  <c r="N30" i="41"/>
  <c r="O30" i="41" s="1"/>
  <c r="O8" i="33"/>
  <c r="O6" i="33"/>
  <c r="M33" i="34"/>
  <c r="F53" i="34"/>
  <c r="M52" i="34"/>
  <c r="M55" i="34"/>
  <c r="O11" i="17"/>
  <c r="O12" i="2"/>
  <c r="O11" i="2"/>
  <c r="C56" i="34"/>
  <c r="C55" i="34"/>
  <c r="C39" i="34"/>
  <c r="O8" i="21"/>
  <c r="O113" i="23"/>
  <c r="O82" i="23"/>
  <c r="O68" i="23"/>
  <c r="O67" i="23"/>
  <c r="O62" i="23"/>
  <c r="O60" i="23"/>
  <c r="O58" i="23"/>
  <c r="O57" i="23"/>
  <c r="O56" i="23"/>
  <c r="O55" i="23"/>
  <c r="O53" i="23"/>
  <c r="O42" i="23"/>
  <c r="O41" i="23"/>
  <c r="O40" i="23"/>
  <c r="O32" i="23"/>
  <c r="O36" i="23"/>
  <c r="O35" i="23"/>
  <c r="C3" i="29"/>
  <c r="O21" i="17"/>
  <c r="O18" i="17"/>
  <c r="O17" i="17"/>
  <c r="O16" i="17"/>
  <c r="C47" i="22"/>
  <c r="C173" i="22"/>
  <c r="C86" i="34"/>
  <c r="O2" i="30"/>
  <c r="O3" i="30"/>
  <c r="O4" i="30"/>
  <c r="O5" i="30"/>
  <c r="O16" i="30"/>
  <c r="O36" i="30"/>
  <c r="O35" i="30"/>
  <c r="O49" i="30"/>
  <c r="O50" i="30"/>
  <c r="O44" i="30"/>
  <c r="O43" i="30"/>
  <c r="O42" i="30"/>
  <c r="O41" i="30"/>
  <c r="O40" i="30"/>
  <c r="O39" i="30"/>
  <c r="O37" i="30"/>
  <c r="O29" i="30"/>
  <c r="O27" i="30"/>
  <c r="O25" i="30"/>
  <c r="O24" i="30"/>
  <c r="O23" i="30"/>
  <c r="O22" i="30"/>
  <c r="O21" i="30"/>
  <c r="O20" i="30"/>
  <c r="O18" i="30"/>
  <c r="O15" i="30"/>
  <c r="O14" i="30"/>
  <c r="O13" i="30"/>
  <c r="O11" i="30"/>
  <c r="O9" i="30"/>
  <c r="C77" i="34"/>
  <c r="C146" i="22"/>
  <c r="C22" i="26"/>
  <c r="C225" i="22"/>
  <c r="C221" i="22"/>
  <c r="C230" i="22"/>
  <c r="C226" i="22"/>
  <c r="C227" i="22"/>
  <c r="C3" i="20"/>
  <c r="R3" i="20"/>
  <c r="C4" i="20"/>
  <c r="R4" i="20"/>
  <c r="C5" i="20"/>
  <c r="R5" i="20"/>
  <c r="R15" i="35"/>
  <c r="N15" i="35"/>
  <c r="C15" i="35"/>
  <c r="R14" i="35"/>
  <c r="N14" i="35"/>
  <c r="C14" i="35"/>
  <c r="R13" i="35"/>
  <c r="N13" i="35"/>
  <c r="C13" i="35"/>
  <c r="R12" i="35"/>
  <c r="N12" i="35"/>
  <c r="C12" i="35"/>
  <c r="R11" i="35"/>
  <c r="N11" i="35"/>
  <c r="C11" i="35"/>
  <c r="R10" i="35"/>
  <c r="N10" i="35"/>
  <c r="C10" i="35"/>
  <c r="R9" i="35"/>
  <c r="N9" i="35"/>
  <c r="C9" i="35"/>
  <c r="R8" i="35"/>
  <c r="N8" i="35"/>
  <c r="C8" i="35"/>
  <c r="R7" i="35"/>
  <c r="N7" i="35"/>
  <c r="C7" i="35"/>
  <c r="R6" i="35"/>
  <c r="N6" i="35"/>
  <c r="C6" i="35"/>
  <c r="R5" i="35"/>
  <c r="N5" i="35"/>
  <c r="C5" i="35"/>
  <c r="R4" i="35"/>
  <c r="N4" i="35"/>
  <c r="C4" i="35"/>
  <c r="R3" i="35"/>
  <c r="N3" i="35"/>
  <c r="C3" i="35"/>
  <c r="R2" i="35"/>
  <c r="N2" i="35"/>
  <c r="C2" i="35"/>
  <c r="C37" i="34"/>
  <c r="C38" i="34"/>
  <c r="C30" i="29"/>
  <c r="C5" i="34"/>
  <c r="C24" i="34"/>
  <c r="C72" i="34"/>
  <c r="C4" i="34"/>
  <c r="C3" i="34"/>
  <c r="C2" i="34"/>
  <c r="C6" i="34"/>
  <c r="C70" i="34"/>
  <c r="C20" i="34"/>
  <c r="C78" i="34"/>
  <c r="C75" i="34"/>
  <c r="C32" i="34"/>
  <c r="C31" i="34"/>
  <c r="C30" i="34"/>
  <c r="C33" i="34"/>
  <c r="C69" i="34"/>
  <c r="C47" i="34"/>
  <c r="C46" i="34"/>
  <c r="C13" i="34"/>
  <c r="C7" i="34"/>
  <c r="C74" i="34"/>
  <c r="C9" i="34"/>
  <c r="C10" i="34"/>
  <c r="C8" i="34"/>
  <c r="C11" i="34"/>
  <c r="C44" i="34"/>
  <c r="C43" i="34"/>
  <c r="C45" i="34"/>
  <c r="C16" i="34"/>
  <c r="C71" i="34"/>
  <c r="C62" i="34"/>
  <c r="C61" i="34"/>
  <c r="C17" i="34"/>
  <c r="C60" i="34"/>
  <c r="C14" i="34"/>
  <c r="C12" i="34"/>
  <c r="C68" i="34"/>
  <c r="C67" i="34"/>
  <c r="C41" i="34"/>
  <c r="C85" i="34"/>
  <c r="C53" i="34"/>
  <c r="C52" i="34"/>
  <c r="C76" i="34"/>
  <c r="C73" i="34"/>
  <c r="C63" i="34"/>
  <c r="C64" i="34"/>
  <c r="C66" i="34"/>
  <c r="C19" i="34"/>
  <c r="C23" i="34"/>
  <c r="C21" i="34"/>
  <c r="C189" i="26"/>
  <c r="C190" i="26"/>
  <c r="C21" i="29"/>
  <c r="C13" i="33"/>
  <c r="C12" i="33"/>
  <c r="C11" i="33"/>
  <c r="C5" i="33"/>
  <c r="C4" i="33"/>
  <c r="C3" i="33"/>
  <c r="R2" i="33"/>
  <c r="O2" i="33"/>
  <c r="C2" i="33"/>
  <c r="C11" i="32"/>
  <c r="C10" i="32"/>
  <c r="C9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13" i="32"/>
  <c r="C12" i="32"/>
  <c r="C6" i="32"/>
  <c r="C4" i="32"/>
  <c r="C3" i="32"/>
  <c r="R2" i="32"/>
  <c r="O2" i="32"/>
  <c r="C2" i="32"/>
  <c r="C50" i="30"/>
  <c r="C49" i="30"/>
  <c r="C48" i="30"/>
  <c r="C47" i="30"/>
  <c r="C46" i="30"/>
  <c r="C45" i="30"/>
  <c r="C44" i="30"/>
  <c r="C43" i="30"/>
  <c r="C42" i="30"/>
  <c r="C41" i="30"/>
  <c r="C40" i="30"/>
  <c r="C39" i="30"/>
  <c r="C37" i="30"/>
  <c r="C38" i="30"/>
  <c r="C35" i="30"/>
  <c r="C36" i="30"/>
  <c r="C34" i="30"/>
  <c r="C31" i="30"/>
  <c r="C29" i="30"/>
  <c r="C27" i="30"/>
  <c r="C25" i="30"/>
  <c r="C24" i="30"/>
  <c r="C23" i="30"/>
  <c r="C22" i="30"/>
  <c r="C21" i="30"/>
  <c r="C20" i="30"/>
  <c r="C19" i="30"/>
  <c r="C18" i="30"/>
  <c r="C16" i="30"/>
  <c r="C15" i="30"/>
  <c r="C14" i="30"/>
  <c r="C13" i="30"/>
  <c r="C11" i="30"/>
  <c r="C6" i="30"/>
  <c r="C9" i="30"/>
  <c r="C8" i="30"/>
  <c r="C5" i="30"/>
  <c r="C4" i="30"/>
  <c r="C3" i="30"/>
  <c r="R2" i="30"/>
  <c r="C2" i="30"/>
  <c r="C14" i="29"/>
  <c r="C16" i="29"/>
  <c r="C13" i="29"/>
  <c r="C17" i="29"/>
  <c r="C15" i="29"/>
  <c r="C2" i="29"/>
  <c r="C5" i="29"/>
  <c r="C6" i="29"/>
  <c r="C19" i="29"/>
  <c r="C11" i="29"/>
  <c r="C10" i="29"/>
  <c r="C9" i="29"/>
  <c r="C8" i="29"/>
  <c r="C18" i="29"/>
  <c r="C4" i="29"/>
  <c r="C12" i="29"/>
  <c r="C7" i="29"/>
  <c r="C20" i="29"/>
  <c r="C22" i="29"/>
  <c r="C28" i="29"/>
  <c r="C26" i="29"/>
  <c r="C25" i="29"/>
  <c r="C24" i="29"/>
  <c r="C27" i="29"/>
  <c r="C29" i="29"/>
  <c r="R23" i="29"/>
  <c r="C23" i="29"/>
  <c r="C270" i="22"/>
  <c r="C44" i="28"/>
  <c r="C25" i="28"/>
  <c r="C24" i="28"/>
  <c r="C77" i="28"/>
  <c r="C136" i="28"/>
  <c r="C135" i="28"/>
  <c r="C126" i="28"/>
  <c r="C125" i="28"/>
  <c r="C123" i="28"/>
  <c r="C119" i="28"/>
  <c r="C117" i="28"/>
  <c r="C115" i="28"/>
  <c r="C116" i="28"/>
  <c r="C112" i="28"/>
  <c r="C114" i="28"/>
  <c r="C113" i="28"/>
  <c r="C111" i="28"/>
  <c r="C109" i="28"/>
  <c r="C106" i="28"/>
  <c r="C105" i="28"/>
  <c r="C104" i="28"/>
  <c r="C110" i="28"/>
  <c r="C103" i="28"/>
  <c r="C100" i="28"/>
  <c r="C98" i="28"/>
  <c r="C99" i="28"/>
  <c r="C102" i="28"/>
  <c r="C101" i="28"/>
  <c r="C97" i="28"/>
  <c r="C95" i="28"/>
  <c r="C94" i="28"/>
  <c r="C96" i="28"/>
  <c r="C93" i="28"/>
  <c r="C92" i="28"/>
  <c r="C122" i="28"/>
  <c r="C79" i="28"/>
  <c r="C75" i="28"/>
  <c r="C76" i="28"/>
  <c r="C71" i="28"/>
  <c r="C70" i="28"/>
  <c r="C68" i="28"/>
  <c r="C67" i="28"/>
  <c r="C66" i="28"/>
  <c r="C65" i="28"/>
  <c r="C63" i="28"/>
  <c r="C64" i="28"/>
  <c r="C62" i="28"/>
  <c r="C61" i="28"/>
  <c r="C59" i="28"/>
  <c r="C58" i="28"/>
  <c r="C57" i="28"/>
  <c r="C56" i="28"/>
  <c r="C55" i="28"/>
  <c r="C54" i="28"/>
  <c r="C53" i="28"/>
  <c r="C52" i="28"/>
  <c r="C51" i="28"/>
  <c r="C50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7" i="28"/>
  <c r="C26" i="28"/>
  <c r="C72" i="28"/>
  <c r="C21" i="28"/>
  <c r="C15" i="28"/>
  <c r="C10" i="28"/>
  <c r="C9" i="28"/>
  <c r="R8" i="28"/>
  <c r="N8" i="28"/>
  <c r="O8" i="28" s="1"/>
  <c r="C8" i="28"/>
  <c r="C2" i="28"/>
  <c r="C141" i="28"/>
  <c r="C140" i="28"/>
  <c r="C139" i="28"/>
  <c r="C138" i="28"/>
  <c r="C137" i="28"/>
  <c r="C134" i="28"/>
  <c r="C133" i="28"/>
  <c r="C131" i="28"/>
  <c r="C130" i="28"/>
  <c r="C127" i="28"/>
  <c r="C128" i="28"/>
  <c r="C46" i="28"/>
  <c r="C45" i="28"/>
  <c r="C132" i="28"/>
  <c r="C43" i="28"/>
  <c r="C42" i="28"/>
  <c r="C78" i="28"/>
  <c r="C129" i="28"/>
  <c r="C22" i="28"/>
  <c r="C20" i="28"/>
  <c r="C19" i="28"/>
  <c r="C18" i="28"/>
  <c r="C17" i="28"/>
  <c r="C14" i="28"/>
  <c r="C13" i="28"/>
  <c r="C12" i="28"/>
  <c r="C11" i="28"/>
  <c r="C7" i="28"/>
  <c r="C6" i="28"/>
  <c r="C5" i="28"/>
  <c r="C23" i="28"/>
  <c r="C16" i="28"/>
  <c r="C154" i="26"/>
  <c r="C137" i="26"/>
  <c r="C140" i="26"/>
  <c r="C155" i="26"/>
  <c r="C156" i="26"/>
  <c r="C44" i="26"/>
  <c r="C96" i="26"/>
  <c r="C95" i="26"/>
  <c r="C90" i="26"/>
  <c r="C94" i="26"/>
  <c r="C93" i="26"/>
  <c r="C92" i="26"/>
  <c r="C91" i="26"/>
  <c r="C89" i="26"/>
  <c r="C49" i="26"/>
  <c r="C28" i="26"/>
  <c r="C11" i="26"/>
  <c r="C10" i="26"/>
  <c r="C151" i="26"/>
  <c r="C87" i="26"/>
  <c r="C104" i="26"/>
  <c r="C226" i="26"/>
  <c r="C225" i="26"/>
  <c r="C224" i="26"/>
  <c r="C223" i="26"/>
  <c r="C222" i="26"/>
  <c r="C221" i="26"/>
  <c r="C216" i="26"/>
  <c r="C214" i="26"/>
  <c r="C212" i="26"/>
  <c r="C211" i="26"/>
  <c r="C210" i="26"/>
  <c r="C203" i="26"/>
  <c r="C209" i="26"/>
  <c r="C208" i="26"/>
  <c r="C202" i="26"/>
  <c r="C201" i="26"/>
  <c r="C207" i="26"/>
  <c r="C200" i="26"/>
  <c r="C206" i="26"/>
  <c r="C205" i="26"/>
  <c r="C204" i="26"/>
  <c r="C192" i="26"/>
  <c r="C191" i="26"/>
  <c r="C188" i="26"/>
  <c r="C179" i="26"/>
  <c r="C178" i="26"/>
  <c r="C177" i="26"/>
  <c r="C175" i="26"/>
  <c r="C170" i="26"/>
  <c r="C174" i="26"/>
  <c r="C173" i="26"/>
  <c r="C172" i="26"/>
  <c r="C167" i="26"/>
  <c r="C180" i="26"/>
  <c r="C171" i="26"/>
  <c r="C176" i="26"/>
  <c r="C169" i="26"/>
  <c r="C181" i="26"/>
  <c r="C168" i="26"/>
  <c r="C187" i="26"/>
  <c r="C186" i="26"/>
  <c r="C157" i="26"/>
  <c r="C161" i="26"/>
  <c r="C147" i="26"/>
  <c r="C149" i="26"/>
  <c r="C148" i="26"/>
  <c r="C150" i="26"/>
  <c r="C146" i="26"/>
  <c r="C152" i="26"/>
  <c r="C145" i="26"/>
  <c r="C153" i="26"/>
  <c r="C142" i="26"/>
  <c r="C139" i="26"/>
  <c r="C136" i="26"/>
  <c r="C159" i="26"/>
  <c r="C105" i="26"/>
  <c r="C130" i="26"/>
  <c r="C55" i="26"/>
  <c r="C86" i="26"/>
  <c r="C197" i="26"/>
  <c r="C198" i="26"/>
  <c r="C194" i="26"/>
  <c r="C85" i="26"/>
  <c r="C84" i="26"/>
  <c r="C83" i="26"/>
  <c r="C82" i="26"/>
  <c r="C81" i="26"/>
  <c r="C80" i="26"/>
  <c r="C79" i="26"/>
  <c r="C185" i="26"/>
  <c r="C184" i="26"/>
  <c r="C78" i="26"/>
  <c r="C77" i="26"/>
  <c r="C76" i="26"/>
  <c r="C75" i="26"/>
  <c r="C19" i="26"/>
  <c r="C220" i="26"/>
  <c r="C218" i="26"/>
  <c r="C217" i="26"/>
  <c r="C215" i="26"/>
  <c r="C213" i="26"/>
  <c r="C219" i="26"/>
  <c r="C120" i="26"/>
  <c r="C114" i="26"/>
  <c r="C135" i="26"/>
  <c r="C134" i="26"/>
  <c r="C132" i="26"/>
  <c r="C131" i="26"/>
  <c r="C129" i="26"/>
  <c r="C127" i="26"/>
  <c r="C126" i="26"/>
  <c r="C125" i="26"/>
  <c r="C124" i="26"/>
  <c r="C123" i="26"/>
  <c r="C122" i="26"/>
  <c r="C121" i="26"/>
  <c r="C119" i="26"/>
  <c r="C110" i="26"/>
  <c r="C133" i="26"/>
  <c r="C118" i="26"/>
  <c r="C117" i="26"/>
  <c r="C106" i="26"/>
  <c r="C115" i="26"/>
  <c r="C74" i="26"/>
  <c r="C54" i="26"/>
  <c r="C103" i="26"/>
  <c r="C102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2" i="26"/>
  <c r="C51" i="26"/>
  <c r="C50" i="26"/>
  <c r="C48" i="26"/>
  <c r="C46" i="26"/>
  <c r="C45" i="26"/>
  <c r="C20" i="26"/>
  <c r="C21" i="26"/>
  <c r="C24" i="26"/>
  <c r="C25" i="26"/>
  <c r="C18" i="26"/>
  <c r="C2" i="26"/>
  <c r="C7" i="26"/>
  <c r="C6" i="26"/>
  <c r="C17" i="26"/>
  <c r="C16" i="26"/>
  <c r="C15" i="26"/>
  <c r="C14" i="26"/>
  <c r="C13" i="26"/>
  <c r="C12" i="26"/>
  <c r="C24" i="24"/>
  <c r="C23" i="24"/>
  <c r="C59" i="24"/>
  <c r="C58" i="24"/>
  <c r="C57" i="24"/>
  <c r="C56" i="24"/>
  <c r="C55" i="24"/>
  <c r="C54" i="24"/>
  <c r="C53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22" i="24"/>
  <c r="C6" i="24"/>
  <c r="C21" i="24"/>
  <c r="C20" i="24"/>
  <c r="C19" i="24"/>
  <c r="C18" i="24"/>
  <c r="C52" i="24"/>
  <c r="C51" i="24"/>
  <c r="C50" i="24"/>
  <c r="C4" i="24"/>
  <c r="C16" i="24"/>
  <c r="C15" i="24"/>
  <c r="C14" i="24"/>
  <c r="C13" i="24"/>
  <c r="C11" i="24"/>
  <c r="C10" i="24"/>
  <c r="C9" i="24"/>
  <c r="C32" i="24"/>
  <c r="C31" i="24"/>
  <c r="C29" i="24"/>
  <c r="C28" i="24"/>
  <c r="C27" i="24"/>
  <c r="C8" i="24"/>
  <c r="C7" i="24"/>
  <c r="C3" i="24"/>
  <c r="C2" i="24"/>
  <c r="R116" i="23"/>
  <c r="C116" i="23"/>
  <c r="O85" i="23"/>
  <c r="O84" i="23"/>
  <c r="C85" i="23"/>
  <c r="R85" i="23"/>
  <c r="R103" i="23"/>
  <c r="C103" i="23"/>
  <c r="O86" i="23"/>
  <c r="R128" i="23"/>
  <c r="C128" i="23"/>
  <c r="R127" i="23"/>
  <c r="C127" i="23"/>
  <c r="R126" i="23"/>
  <c r="C126" i="23"/>
  <c r="R125" i="23"/>
  <c r="C125" i="23"/>
  <c r="R123" i="23"/>
  <c r="C123" i="23"/>
  <c r="R122" i="23"/>
  <c r="C122" i="23"/>
  <c r="R121" i="23"/>
  <c r="C121" i="23"/>
  <c r="R118" i="23"/>
  <c r="C118" i="23"/>
  <c r="R117" i="23"/>
  <c r="C117" i="23"/>
  <c r="R120" i="23"/>
  <c r="C120" i="23"/>
  <c r="R119" i="23"/>
  <c r="C119" i="23"/>
  <c r="R115" i="23"/>
  <c r="C115" i="23"/>
  <c r="R114" i="23"/>
  <c r="C114" i="23"/>
  <c r="R113" i="23"/>
  <c r="C113" i="23"/>
  <c r="R112" i="23"/>
  <c r="C112" i="23"/>
  <c r="R93" i="23"/>
  <c r="C93" i="23"/>
  <c r="R92" i="23"/>
  <c r="C92" i="23"/>
  <c r="R91" i="23"/>
  <c r="C91" i="23"/>
  <c r="R88" i="23"/>
  <c r="C88" i="23"/>
  <c r="R73" i="23"/>
  <c r="C73" i="23"/>
  <c r="R72" i="23"/>
  <c r="C72" i="23"/>
  <c r="R71" i="23"/>
  <c r="C71" i="23"/>
  <c r="R70" i="23"/>
  <c r="C70" i="23"/>
  <c r="R69" i="23"/>
  <c r="C69" i="23"/>
  <c r="R29" i="23"/>
  <c r="C29" i="23"/>
  <c r="R64" i="23"/>
  <c r="C64" i="23"/>
  <c r="R63" i="23"/>
  <c r="C63" i="23"/>
  <c r="R62" i="23"/>
  <c r="C62" i="23"/>
  <c r="R61" i="23"/>
  <c r="C61" i="23"/>
  <c r="R60" i="23"/>
  <c r="C60" i="23"/>
  <c r="R59" i="23"/>
  <c r="C59" i="23"/>
  <c r="R57" i="23"/>
  <c r="C57" i="23"/>
  <c r="R56" i="23"/>
  <c r="C56" i="23"/>
  <c r="R55" i="23"/>
  <c r="C55" i="23"/>
  <c r="R54" i="23"/>
  <c r="C54" i="23"/>
  <c r="R68" i="23"/>
  <c r="C68" i="23"/>
  <c r="R67" i="23"/>
  <c r="C67" i="23"/>
  <c r="R66" i="23"/>
  <c r="C66" i="23"/>
  <c r="R58" i="23"/>
  <c r="C58" i="23"/>
  <c r="R53" i="23"/>
  <c r="C53" i="23"/>
  <c r="R52" i="23"/>
  <c r="C52" i="23"/>
  <c r="R51" i="23"/>
  <c r="C51" i="23"/>
  <c r="R50" i="23"/>
  <c r="C50" i="23"/>
  <c r="R49" i="23"/>
  <c r="C49" i="23"/>
  <c r="R28" i="23"/>
  <c r="C28" i="23"/>
  <c r="R27" i="23"/>
  <c r="C27" i="23"/>
  <c r="R26" i="23"/>
  <c r="C26" i="23"/>
  <c r="R25" i="23"/>
  <c r="C25" i="23"/>
  <c r="R24" i="23"/>
  <c r="C24" i="23"/>
  <c r="R8" i="23"/>
  <c r="C8" i="23"/>
  <c r="R7" i="23"/>
  <c r="C7" i="23"/>
  <c r="R6" i="23"/>
  <c r="C6" i="23"/>
  <c r="R5" i="23"/>
  <c r="C5" i="23"/>
  <c r="R4" i="23"/>
  <c r="C4" i="23"/>
  <c r="R3" i="23"/>
  <c r="C3" i="23"/>
  <c r="R97" i="23"/>
  <c r="C97" i="23"/>
  <c r="R111" i="23"/>
  <c r="C111" i="23"/>
  <c r="R110" i="23"/>
  <c r="C110" i="23"/>
  <c r="R109" i="23"/>
  <c r="C109" i="23"/>
  <c r="R108" i="23"/>
  <c r="C108" i="23"/>
  <c r="R107" i="23"/>
  <c r="C107" i="23"/>
  <c r="R106" i="23"/>
  <c r="C106" i="23"/>
  <c r="R105" i="23"/>
  <c r="C105" i="23"/>
  <c r="R104" i="23"/>
  <c r="C104" i="23"/>
  <c r="R102" i="23"/>
  <c r="C102" i="23"/>
  <c r="R100" i="23"/>
  <c r="C100" i="23"/>
  <c r="R99" i="23"/>
  <c r="C99" i="23"/>
  <c r="R98" i="23"/>
  <c r="C98" i="23"/>
  <c r="R96" i="23"/>
  <c r="C96" i="23"/>
  <c r="R101" i="23"/>
  <c r="C101" i="23"/>
  <c r="R95" i="23"/>
  <c r="C95" i="23"/>
  <c r="R94" i="23"/>
  <c r="C94" i="23"/>
  <c r="R89" i="23"/>
  <c r="C89" i="23"/>
  <c r="R86" i="23"/>
  <c r="C86" i="23"/>
  <c r="R84" i="23"/>
  <c r="C84" i="23"/>
  <c r="R83" i="23"/>
  <c r="C83" i="23"/>
  <c r="R82" i="23"/>
  <c r="C82" i="23"/>
  <c r="R81" i="23"/>
  <c r="C81" i="23"/>
  <c r="R80" i="23"/>
  <c r="C80" i="23"/>
  <c r="R90" i="23"/>
  <c r="C90" i="23"/>
  <c r="R75" i="23"/>
  <c r="C75" i="23"/>
  <c r="R74" i="23"/>
  <c r="C74" i="23"/>
  <c r="R48" i="23"/>
  <c r="C48" i="23"/>
  <c r="R47" i="23"/>
  <c r="C47" i="23"/>
  <c r="R2" i="23"/>
  <c r="C2" i="23"/>
  <c r="R46" i="23"/>
  <c r="C46" i="23"/>
  <c r="R45" i="23"/>
  <c r="C45" i="23"/>
  <c r="R44" i="23"/>
  <c r="C44" i="23"/>
  <c r="R43" i="23"/>
  <c r="C43" i="23"/>
  <c r="R42" i="23"/>
  <c r="C42" i="23"/>
  <c r="R41" i="23"/>
  <c r="C41" i="23"/>
  <c r="R40" i="23"/>
  <c r="C40" i="23"/>
  <c r="R39" i="23"/>
  <c r="C39" i="23"/>
  <c r="R38" i="23"/>
  <c r="C38" i="23"/>
  <c r="R37" i="23"/>
  <c r="C37" i="23"/>
  <c r="R23" i="23"/>
  <c r="C23" i="23"/>
  <c r="R22" i="23"/>
  <c r="C22" i="23"/>
  <c r="R21" i="23"/>
  <c r="C21" i="23"/>
  <c r="R20" i="23"/>
  <c r="C20" i="23"/>
  <c r="R19" i="23"/>
  <c r="C19" i="23"/>
  <c r="R18" i="23"/>
  <c r="C18" i="23"/>
  <c r="R17" i="23"/>
  <c r="C17" i="23"/>
  <c r="R16" i="23"/>
  <c r="C16" i="23"/>
  <c r="R15" i="23"/>
  <c r="C15" i="23"/>
  <c r="R14" i="23"/>
  <c r="C14" i="23"/>
  <c r="R13" i="23"/>
  <c r="C13" i="23"/>
  <c r="R12" i="23"/>
  <c r="C12" i="23"/>
  <c r="R11" i="23"/>
  <c r="C11" i="23"/>
  <c r="R9" i="23"/>
  <c r="C9" i="23"/>
  <c r="R36" i="23"/>
  <c r="C36" i="23"/>
  <c r="R35" i="23"/>
  <c r="C35" i="23"/>
  <c r="R34" i="23"/>
  <c r="C34" i="23"/>
  <c r="R33" i="23"/>
  <c r="C33" i="23"/>
  <c r="R32" i="23"/>
  <c r="C32" i="23"/>
  <c r="R31" i="23"/>
  <c r="C31" i="23"/>
  <c r="R30" i="23"/>
  <c r="C30" i="23"/>
  <c r="R10" i="23"/>
  <c r="C10" i="23"/>
  <c r="C286" i="22"/>
  <c r="C196" i="22"/>
  <c r="C195" i="22"/>
  <c r="C194" i="22"/>
  <c r="C193" i="22"/>
  <c r="C151" i="22"/>
  <c r="C107" i="22"/>
  <c r="C192" i="22"/>
  <c r="C191" i="22"/>
  <c r="C190" i="22"/>
  <c r="C189" i="22"/>
  <c r="C188" i="22"/>
  <c r="C187" i="22"/>
  <c r="C185" i="22"/>
  <c r="C184" i="22"/>
  <c r="C183" i="22"/>
  <c r="C181" i="22"/>
  <c r="C152" i="22"/>
  <c r="C150" i="22"/>
  <c r="C149" i="22"/>
  <c r="C148" i="22"/>
  <c r="C147" i="22"/>
  <c r="C55" i="22"/>
  <c r="C281" i="22"/>
  <c r="C279" i="22"/>
  <c r="C248" i="22"/>
  <c r="C247" i="22"/>
  <c r="C292" i="22"/>
  <c r="C293" i="22"/>
  <c r="C283" i="22"/>
  <c r="C217" i="22"/>
  <c r="C145" i="22"/>
  <c r="C144" i="22"/>
  <c r="C143" i="22"/>
  <c r="C216" i="22"/>
  <c r="C215" i="22"/>
  <c r="C136" i="22"/>
  <c r="C135" i="22"/>
  <c r="C134" i="22"/>
  <c r="C133" i="22"/>
  <c r="C132" i="22"/>
  <c r="C131" i="22"/>
  <c r="C130" i="22"/>
  <c r="C129" i="22"/>
  <c r="C128" i="22"/>
  <c r="C9" i="22"/>
  <c r="C214" i="22"/>
  <c r="C213" i="22"/>
  <c r="C142" i="22"/>
  <c r="C175" i="22"/>
  <c r="C174" i="22"/>
  <c r="C180" i="22"/>
  <c r="C179" i="22"/>
  <c r="C178" i="22"/>
  <c r="C176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212" i="22"/>
  <c r="C278" i="22"/>
  <c r="C277" i="22"/>
  <c r="C276" i="22"/>
  <c r="C275" i="22"/>
  <c r="C274" i="22"/>
  <c r="C272" i="22"/>
  <c r="C271" i="22"/>
  <c r="C269" i="22"/>
  <c r="C268" i="22"/>
  <c r="C211" i="22"/>
  <c r="C125" i="22"/>
  <c r="C124" i="22"/>
  <c r="C123" i="22"/>
  <c r="C122" i="22"/>
  <c r="C121" i="22"/>
  <c r="C120" i="22"/>
  <c r="C119" i="22"/>
  <c r="C118" i="22"/>
  <c r="C113" i="22"/>
  <c r="C112" i="22"/>
  <c r="C111" i="22"/>
  <c r="C110" i="22"/>
  <c r="C285" i="22"/>
  <c r="C284" i="22"/>
  <c r="C54" i="22"/>
  <c r="C48" i="22"/>
  <c r="C46" i="22"/>
  <c r="C45" i="22"/>
  <c r="C44" i="22"/>
  <c r="C282" i="22"/>
  <c r="C280" i="22"/>
  <c r="C273" i="22"/>
  <c r="C267" i="22"/>
  <c r="C252" i="22"/>
  <c r="C249" i="22"/>
  <c r="C253" i="22"/>
  <c r="C109" i="22"/>
  <c r="C103" i="22"/>
  <c r="C108" i="22"/>
  <c r="C106" i="22"/>
  <c r="C105" i="22"/>
  <c r="C104" i="22"/>
  <c r="C102" i="22"/>
  <c r="C101" i="22"/>
  <c r="C100" i="22"/>
  <c r="C99" i="22"/>
  <c r="C246" i="22"/>
  <c r="C245" i="22"/>
  <c r="C244" i="22"/>
  <c r="C243" i="22"/>
  <c r="C242" i="22"/>
  <c r="C241" i="22"/>
  <c r="C240" i="22"/>
  <c r="C239" i="22"/>
  <c r="C238" i="22"/>
  <c r="C237" i="22"/>
  <c r="C236" i="22"/>
  <c r="C62" i="22"/>
  <c r="C59" i="22"/>
  <c r="C58" i="22"/>
  <c r="C60" i="22"/>
  <c r="C57" i="22"/>
  <c r="C56" i="22"/>
  <c r="C233" i="22"/>
  <c r="C68" i="22"/>
  <c r="C295" i="22"/>
  <c r="C229" i="22"/>
  <c r="C228" i="22"/>
  <c r="C224" i="22"/>
  <c r="C223" i="22"/>
  <c r="C222" i="22"/>
  <c r="C220" i="22"/>
  <c r="C219" i="22"/>
  <c r="C218" i="22"/>
  <c r="C262" i="22"/>
  <c r="C258" i="22"/>
  <c r="C257" i="22"/>
  <c r="C260" i="22"/>
  <c r="C259" i="22"/>
  <c r="C256" i="22"/>
  <c r="C254" i="22"/>
  <c r="C251" i="22"/>
  <c r="C250" i="22"/>
  <c r="C261" i="22"/>
  <c r="C17" i="22"/>
  <c r="C14" i="22"/>
  <c r="C8" i="22"/>
  <c r="C7" i="22"/>
  <c r="C52" i="22"/>
  <c r="C51" i="22"/>
  <c r="C50" i="22"/>
  <c r="C49" i="22"/>
  <c r="C39" i="22"/>
  <c r="C38" i="22"/>
  <c r="C37" i="22"/>
  <c r="C36" i="22"/>
  <c r="C35" i="22"/>
  <c r="C34" i="22"/>
  <c r="C33" i="22"/>
  <c r="C32" i="22"/>
  <c r="C30" i="22"/>
  <c r="C29" i="22"/>
  <c r="C27" i="22"/>
  <c r="C26" i="22"/>
  <c r="C25" i="22"/>
  <c r="C24" i="22"/>
  <c r="C23" i="22"/>
  <c r="C22" i="22"/>
  <c r="C21" i="22"/>
  <c r="C20" i="22"/>
  <c r="C16" i="22"/>
  <c r="C15" i="22"/>
  <c r="C13" i="22"/>
  <c r="C12" i="22"/>
  <c r="C11" i="22"/>
  <c r="C10" i="22"/>
  <c r="C6" i="22"/>
  <c r="C5" i="22"/>
  <c r="C2" i="22"/>
  <c r="C4" i="22"/>
  <c r="C3" i="22"/>
  <c r="C61" i="22"/>
  <c r="C291" i="22"/>
  <c r="C210" i="22"/>
  <c r="C208" i="22"/>
  <c r="C159" i="22"/>
  <c r="C158" i="22"/>
  <c r="C155" i="22"/>
  <c r="C154" i="22"/>
  <c r="C43" i="22"/>
  <c r="C41" i="22"/>
  <c r="C40" i="22"/>
  <c r="C207" i="22"/>
  <c r="C206" i="22"/>
  <c r="C205" i="22"/>
  <c r="C204" i="22"/>
  <c r="C203" i="22"/>
  <c r="C202" i="22"/>
  <c r="C201" i="22"/>
  <c r="C200" i="22"/>
  <c r="C199" i="22"/>
  <c r="C140" i="22"/>
  <c r="C198" i="22"/>
  <c r="C197" i="22"/>
  <c r="C137" i="22"/>
  <c r="C4" i="21"/>
  <c r="C3" i="21"/>
  <c r="C2" i="21"/>
  <c r="C15" i="21"/>
  <c r="C14" i="21"/>
  <c r="C13" i="21"/>
  <c r="C10" i="21"/>
  <c r="C8" i="21"/>
  <c r="C6" i="21"/>
  <c r="C5" i="21"/>
  <c r="R21" i="20"/>
  <c r="R28" i="20"/>
  <c r="C21" i="20"/>
  <c r="C28" i="20"/>
  <c r="R23" i="20"/>
  <c r="C23" i="20"/>
  <c r="R22" i="20"/>
  <c r="C22" i="20"/>
  <c r="R14" i="20"/>
  <c r="C14" i="20"/>
  <c r="R9" i="20"/>
  <c r="C9" i="20"/>
  <c r="R12" i="20"/>
  <c r="C12" i="20"/>
  <c r="R6" i="20"/>
  <c r="C6" i="20"/>
  <c r="R16" i="20"/>
  <c r="C16" i="20"/>
  <c r="R20" i="20"/>
  <c r="C20" i="20"/>
  <c r="R2" i="20"/>
  <c r="C2" i="20"/>
  <c r="R11" i="20"/>
  <c r="C11" i="20"/>
  <c r="R8" i="20"/>
  <c r="C8" i="20"/>
  <c r="R7" i="20"/>
  <c r="C7" i="20"/>
  <c r="R10" i="20"/>
  <c r="C10" i="20"/>
  <c r="R13" i="20"/>
  <c r="C13" i="20"/>
  <c r="R27" i="20"/>
  <c r="C27" i="20"/>
  <c r="R24" i="20"/>
  <c r="C24" i="20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7" i="19"/>
  <c r="C6" i="19"/>
  <c r="C5" i="19"/>
  <c r="C4" i="19"/>
  <c r="C65" i="17"/>
  <c r="C34" i="17"/>
  <c r="C22" i="17"/>
  <c r="C15" i="17"/>
  <c r="C16" i="17"/>
  <c r="C17" i="17"/>
  <c r="C18" i="17"/>
  <c r="C20" i="17"/>
  <c r="C21" i="17"/>
  <c r="C37" i="17"/>
  <c r="C35" i="17"/>
  <c r="C36" i="17"/>
  <c r="C64" i="17"/>
  <c r="C63" i="17"/>
  <c r="C62" i="17"/>
  <c r="C8" i="17"/>
  <c r="C7" i="17"/>
  <c r="C50" i="17"/>
  <c r="C46" i="17"/>
  <c r="C38" i="17"/>
  <c r="C49" i="17"/>
  <c r="C48" i="17"/>
  <c r="C47" i="17"/>
  <c r="C45" i="17"/>
  <c r="C44" i="17"/>
  <c r="C43" i="17"/>
  <c r="C42" i="17"/>
  <c r="C41" i="17"/>
  <c r="C40" i="17"/>
  <c r="C39" i="17"/>
  <c r="C61" i="17"/>
  <c r="C60" i="17"/>
  <c r="C59" i="17"/>
  <c r="C58" i="17"/>
  <c r="C56" i="17"/>
  <c r="C55" i="17"/>
  <c r="C54" i="17"/>
  <c r="C33" i="17"/>
  <c r="C27" i="17"/>
  <c r="C26" i="17"/>
  <c r="C25" i="17"/>
  <c r="C24" i="17"/>
  <c r="C32" i="17"/>
  <c r="C31" i="17"/>
  <c r="C30" i="17"/>
  <c r="C29" i="17"/>
  <c r="C28" i="17"/>
  <c r="C2" i="15"/>
  <c r="C13" i="2"/>
  <c r="C14" i="2"/>
  <c r="C3" i="2"/>
  <c r="C5" i="2"/>
  <c r="C17" i="2"/>
  <c r="C18" i="2"/>
  <c r="C6" i="2"/>
  <c r="C7" i="2"/>
  <c r="C8" i="2"/>
  <c r="C9" i="2"/>
  <c r="C2" i="2"/>
  <c r="R4" i="15"/>
  <c r="R3" i="15"/>
  <c r="R2" i="15"/>
  <c r="N126" i="23" l="1"/>
  <c r="AB126" i="23"/>
  <c r="F128" i="23"/>
  <c r="O145" i="26"/>
  <c r="AB145" i="26"/>
  <c r="F147" i="26"/>
  <c r="L147" i="26" s="1"/>
  <c r="N147" i="26" s="1"/>
  <c r="F148" i="26"/>
  <c r="L146" i="26"/>
  <c r="N146" i="26" s="1"/>
  <c r="AB31" i="34"/>
  <c r="AB32" i="34"/>
  <c r="O35" i="26"/>
  <c r="AB35" i="26"/>
  <c r="O7" i="26"/>
  <c r="AB7" i="26"/>
  <c r="O15" i="26"/>
  <c r="AB15" i="26"/>
  <c r="M31" i="34"/>
  <c r="M32" i="34"/>
  <c r="AB28" i="30"/>
  <c r="O28" i="30"/>
  <c r="F32" i="30"/>
  <c r="L32" i="30" s="1"/>
  <c r="L30" i="30"/>
  <c r="F33" i="30"/>
  <c r="L31" i="30"/>
  <c r="O8" i="30"/>
  <c r="AB8" i="30"/>
  <c r="O19" i="30"/>
  <c r="AB19" i="30"/>
  <c r="L42" i="41"/>
  <c r="N42" i="41" s="1"/>
  <c r="O42" i="41" s="1"/>
  <c r="F43" i="41"/>
  <c r="L12" i="41"/>
  <c r="N12" i="41" s="1"/>
  <c r="O12" i="41" s="1"/>
  <c r="F13" i="41"/>
  <c r="L34" i="41"/>
  <c r="N34" i="41" s="1"/>
  <c r="O34" i="41" s="1"/>
  <c r="F35" i="41"/>
  <c r="F37" i="26"/>
  <c r="L37" i="26" s="1"/>
  <c r="N37" i="26" s="1"/>
  <c r="L36" i="26"/>
  <c r="N36" i="26" s="1"/>
  <c r="F17" i="26"/>
  <c r="L16" i="26"/>
  <c r="N16" i="26" s="1"/>
  <c r="O3" i="23"/>
  <c r="O8" i="17"/>
  <c r="O10" i="17"/>
  <c r="O20" i="17"/>
  <c r="O23" i="17"/>
  <c r="O22" i="17"/>
  <c r="O17" i="29"/>
  <c r="O16" i="29"/>
  <c r="O24" i="29"/>
  <c r="O25" i="29"/>
  <c r="O26" i="29"/>
  <c r="O5" i="29"/>
  <c r="O18" i="29"/>
  <c r="O9" i="29"/>
  <c r="O10" i="29"/>
  <c r="O11" i="29"/>
  <c r="O20" i="29"/>
  <c r="O3" i="29"/>
  <c r="O38" i="30"/>
  <c r="O6" i="30"/>
  <c r="O38" i="23"/>
  <c r="O116" i="23"/>
  <c r="O118" i="23"/>
  <c r="O63" i="17"/>
  <c r="O3" i="21"/>
  <c r="O2" i="21"/>
  <c r="O37" i="17"/>
  <c r="O36" i="17"/>
  <c r="O35" i="17"/>
  <c r="O40" i="17"/>
  <c r="O41" i="17"/>
  <c r="O45" i="23"/>
  <c r="O44" i="23"/>
  <c r="O16" i="23"/>
  <c r="O15" i="23"/>
  <c r="O14" i="23"/>
  <c r="O13" i="23"/>
  <c r="O12" i="23"/>
  <c r="O20" i="23"/>
  <c r="O19" i="23"/>
  <c r="O18" i="23"/>
  <c r="O24" i="23"/>
  <c r="O23" i="23"/>
  <c r="O22" i="23"/>
  <c r="O27" i="23"/>
  <c r="O26" i="23"/>
  <c r="O101" i="23"/>
  <c r="O100" i="23"/>
  <c r="O99" i="23"/>
  <c r="O98" i="23"/>
  <c r="O97" i="23"/>
  <c r="O96" i="23"/>
  <c r="O95" i="23"/>
  <c r="O111" i="23"/>
  <c r="O110" i="23"/>
  <c r="O109" i="23"/>
  <c r="O108" i="23"/>
  <c r="O107" i="23"/>
  <c r="O106" i="23"/>
  <c r="O105" i="23"/>
  <c r="O104" i="23"/>
  <c r="O103" i="23"/>
  <c r="O126" i="23"/>
  <c r="O125" i="23"/>
  <c r="O123" i="23"/>
  <c r="O122" i="23"/>
  <c r="O121" i="23"/>
  <c r="O120" i="23"/>
  <c r="O64" i="17"/>
  <c r="O39" i="17"/>
  <c r="O47" i="17"/>
  <c r="O45" i="30"/>
  <c r="O47" i="30"/>
  <c r="O5" i="21"/>
  <c r="N127" i="23" l="1"/>
  <c r="O127" i="23" s="1"/>
  <c r="AB127" i="23"/>
  <c r="N128" i="23"/>
  <c r="O128" i="23" s="1"/>
  <c r="AB128" i="23"/>
  <c r="O146" i="26"/>
  <c r="AB146" i="26"/>
  <c r="F149" i="26"/>
  <c r="L149" i="26" s="1"/>
  <c r="N149" i="26" s="1"/>
  <c r="L148" i="26"/>
  <c r="N148" i="26" s="1"/>
  <c r="O147" i="26"/>
  <c r="AB147" i="26"/>
  <c r="AB34" i="34"/>
  <c r="AB53" i="34"/>
  <c r="AB56" i="34"/>
  <c r="O16" i="26"/>
  <c r="AB16" i="26"/>
  <c r="O36" i="26"/>
  <c r="AB36" i="26"/>
  <c r="O37" i="26"/>
  <c r="AB37" i="26"/>
  <c r="AB31" i="30"/>
  <c r="O31" i="30"/>
  <c r="F34" i="30"/>
  <c r="L34" i="30" s="1"/>
  <c r="L33" i="30"/>
  <c r="AB30" i="30"/>
  <c r="O30" i="30"/>
  <c r="AB32" i="30"/>
  <c r="O32" i="30"/>
  <c r="L35" i="41"/>
  <c r="N35" i="41" s="1"/>
  <c r="O35" i="41" s="1"/>
  <c r="F36" i="41"/>
  <c r="L13" i="41"/>
  <c r="N13" i="41" s="1"/>
  <c r="O13" i="41" s="1"/>
  <c r="F14" i="41"/>
  <c r="L14" i="41" s="1"/>
  <c r="N14" i="41" s="1"/>
  <c r="O14" i="41" s="1"/>
  <c r="L43" i="41"/>
  <c r="N43" i="41" s="1"/>
  <c r="O43" i="41" s="1"/>
  <c r="F44" i="41"/>
  <c r="L44" i="41" s="1"/>
  <c r="N44" i="41" s="1"/>
  <c r="O44" i="41" s="1"/>
  <c r="M53" i="34"/>
  <c r="M34" i="34"/>
  <c r="M56" i="34"/>
  <c r="F18" i="26"/>
  <c r="L17" i="26"/>
  <c r="N17" i="26" s="1"/>
  <c r="O4" i="23"/>
  <c r="O25" i="17"/>
  <c r="O28" i="23"/>
  <c r="O43" i="17"/>
  <c r="O42" i="17"/>
  <c r="O48" i="30"/>
  <c r="O46" i="30"/>
  <c r="O65" i="17"/>
  <c r="O148" i="26" l="1"/>
  <c r="AB148" i="26"/>
  <c r="O149" i="26"/>
  <c r="AB149" i="26"/>
  <c r="AB17" i="26"/>
  <c r="AB33" i="30"/>
  <c r="O33" i="30"/>
  <c r="AB34" i="30"/>
  <c r="O34" i="30"/>
  <c r="O17" i="26"/>
  <c r="L36" i="41"/>
  <c r="N36" i="41" s="1"/>
  <c r="O36" i="41" s="1"/>
  <c r="F37" i="41"/>
  <c r="L37" i="41" s="1"/>
  <c r="N37" i="41" s="1"/>
  <c r="O37" i="41" s="1"/>
  <c r="F19" i="26"/>
  <c r="L19" i="26" s="1"/>
  <c r="N19" i="26" s="1"/>
  <c r="L18" i="26"/>
  <c r="N18" i="26" s="1"/>
  <c r="O5" i="23"/>
  <c r="O26" i="17"/>
  <c r="O11" i="21"/>
  <c r="O48" i="17"/>
  <c r="F3" i="26" l="1"/>
  <c r="O18" i="26"/>
  <c r="AB18" i="26"/>
  <c r="O19" i="26"/>
  <c r="AB19" i="26"/>
  <c r="O6" i="23"/>
  <c r="O27" i="17"/>
  <c r="O14" i="21"/>
  <c r="O15" i="21"/>
  <c r="O4" i="21"/>
  <c r="O49" i="17"/>
  <c r="O45" i="17"/>
  <c r="O44" i="17"/>
  <c r="F9" i="26" l="1"/>
  <c r="L3" i="26"/>
  <c r="N3" i="26" s="1"/>
  <c r="O7" i="23"/>
  <c r="O28" i="17"/>
  <c r="O7" i="35"/>
  <c r="O14" i="35"/>
  <c r="O6" i="35"/>
  <c r="O12" i="35"/>
  <c r="O13" i="35"/>
  <c r="O15" i="35"/>
  <c r="L9" i="26" l="1"/>
  <c r="N9" i="26" s="1"/>
  <c r="O9" i="39" s="1"/>
  <c r="F10" i="26"/>
  <c r="AB3" i="26"/>
  <c r="O3" i="39"/>
  <c r="AB9" i="26"/>
  <c r="O50" i="17"/>
  <c r="O29" i="17"/>
  <c r="O5" i="35"/>
  <c r="O4" i="35"/>
  <c r="O3" i="35"/>
  <c r="O2" i="35"/>
  <c r="O8" i="35" l="1"/>
  <c r="F11" i="26"/>
  <c r="L11" i="26" s="1"/>
  <c r="N11" i="26" s="1"/>
  <c r="O11" i="35" s="1"/>
  <c r="L10" i="26"/>
  <c r="N10" i="26" s="1"/>
  <c r="O10" i="39" s="1"/>
  <c r="O9" i="26"/>
  <c r="O3" i="26"/>
  <c r="O30" i="17"/>
  <c r="O54" i="17"/>
  <c r="AB10" i="26" l="1"/>
  <c r="AB11" i="26"/>
  <c r="O55" i="17"/>
  <c r="O31" i="17"/>
  <c r="O11" i="26" l="1"/>
  <c r="O10" i="35"/>
  <c r="O10" i="26"/>
  <c r="O9" i="35"/>
  <c r="O33" i="17"/>
  <c r="O32" i="17"/>
  <c r="O56" i="17"/>
  <c r="O8" i="23" l="1"/>
  <c r="O57" i="17"/>
  <c r="O58" i="17" l="1"/>
  <c r="O59" i="17" l="1"/>
  <c r="O61" i="17" l="1"/>
  <c r="O60" i="17"/>
  <c r="F168" i="26" l="1"/>
  <c r="F169" i="26"/>
  <c r="F170" i="26"/>
  <c r="F171" i="26"/>
  <c r="F172" i="26"/>
  <c r="F173" i="26"/>
  <c r="F174" i="26"/>
  <c r="L174" i="26"/>
  <c r="N174" i="26" s="1"/>
  <c r="L173" i="26"/>
  <c r="N173" i="26" s="1"/>
  <c r="L171" i="26"/>
  <c r="N171" i="26" s="1"/>
  <c r="L168" i="26"/>
  <c r="N168" i="26" s="1"/>
  <c r="L172" i="26"/>
  <c r="N172" i="26" s="1"/>
  <c r="L170" i="26"/>
  <c r="N170" i="26" s="1"/>
  <c r="L169" i="26"/>
  <c r="N169" i="26" s="1"/>
  <c r="O169" i="26" l="1"/>
  <c r="AB169" i="26"/>
  <c r="O170" i="26"/>
  <c r="AB170" i="26"/>
  <c r="O172" i="26"/>
  <c r="AB172" i="26"/>
  <c r="O168" i="26"/>
  <c r="AB168" i="26"/>
  <c r="O171" i="26"/>
  <c r="AB171" i="26"/>
  <c r="O173" i="26"/>
  <c r="AB173" i="26"/>
  <c r="O174" i="26"/>
  <c r="AB174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E92FB5-556A-4E2A-9C16-D954D4E9D044}" keepAlive="1" name="Consulta - ARTICULOS PRECIOS (1) xlsx" description="Conexión a la consulta 'ARTICULOS PRECIOS (1) xlsx' en el libro." type="5" refreshedVersion="8" background="1" refreshOnLoad="1" saveData="1">
    <dbPr connection="Provider=Microsoft.Mashup.OleDb.1;Data Source=$Workbook$;Location=&quot;ARTICULOS PRECIOS (1) xlsx&quot;;Extended Properties=&quot;&quot;" command="SELECT * FROM [ARTICULOS PRECIOS (1) xlsx]"/>
  </connection>
  <connection id="2" xr16:uid="{4E477346-B150-45C9-8929-5C67EEA9F70D}" keepAlive="1" name="Consulta - Table001 (Page 1)" description="Conexión a la consulta 'Table001 (Page 1)' en el libro." type="5" refreshedVersion="8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<sst xmlns="http://schemas.openxmlformats.org/spreadsheetml/2006/main" count="25627" uniqueCount="12640">
  <si>
    <t>PROVEEDORES</t>
  </si>
  <si>
    <t>RUBROS</t>
  </si>
  <si>
    <t>CATEGORÍAS</t>
  </si>
  <si>
    <t>16 OUNCES +58 CCS</t>
  </si>
  <si>
    <t>ALMACEN</t>
  </si>
  <si>
    <t>AGUAS Y SABORIZADAS</t>
  </si>
  <si>
    <t>BAI LEVITE</t>
  </si>
  <si>
    <t>BAZAR</t>
  </si>
  <si>
    <t>ALFAJORES</t>
  </si>
  <si>
    <t>BANYLAC</t>
  </si>
  <si>
    <t>BEBIDAS</t>
  </si>
  <si>
    <t>AMARGOS</t>
  </si>
  <si>
    <t>DICOSPA</t>
  </si>
  <si>
    <t>BODEGA</t>
  </si>
  <si>
    <t>DOBLE COLA</t>
  </si>
  <si>
    <t>CIGARRILLOS</t>
  </si>
  <si>
    <t>CAPILARES</t>
  </si>
  <si>
    <t>GOLOMAX</t>
  </si>
  <si>
    <t>FIAMBRERIA</t>
  </si>
  <si>
    <t>CARAMELOS</t>
  </si>
  <si>
    <t>GRANJA MAYORISTA</t>
  </si>
  <si>
    <t>FRESCOS</t>
  </si>
  <si>
    <t>CERVEZAS</t>
  </si>
  <si>
    <t>HC-LASVEGAS</t>
  </si>
  <si>
    <t>INTERNOS</t>
  </si>
  <si>
    <t>CHICLES</t>
  </si>
  <si>
    <t>INTERNO</t>
  </si>
  <si>
    <t>KIOSCO</t>
  </si>
  <si>
    <t>CHOCOLATES</t>
  </si>
  <si>
    <t>LA PAULINA</t>
  </si>
  <si>
    <t>PANADERIA</t>
  </si>
  <si>
    <t>CHUPETINES</t>
  </si>
  <si>
    <t>LADIAR-CARLA</t>
  </si>
  <si>
    <t>PERFUMERIA</t>
  </si>
  <si>
    <t>COCKTELERIA</t>
  </si>
  <si>
    <t>MAYORISTA</t>
  </si>
  <si>
    <t>PROMOCIONES</t>
  </si>
  <si>
    <t>COMBOS Y PROMOCIONES</t>
  </si>
  <si>
    <t>MONDELEZ</t>
  </si>
  <si>
    <t>VARIOS</t>
  </si>
  <si>
    <t>CONDIMENTOS</t>
  </si>
  <si>
    <t>NORNES</t>
  </si>
  <si>
    <t>VENEZOLANO</t>
  </si>
  <si>
    <t>CONGELADOS</t>
  </si>
  <si>
    <t>OPERADORAS CELULARES</t>
  </si>
  <si>
    <t>CUIDADO PERSONAL</t>
  </si>
  <si>
    <t>OSLE</t>
  </si>
  <si>
    <t>DESCARTABLES</t>
  </si>
  <si>
    <t>ELECTRONICOS</t>
  </si>
  <si>
    <t>PAPELERA WALTER</t>
  </si>
  <si>
    <t>EMPACADO</t>
  </si>
  <si>
    <t>POP SALADO</t>
  </si>
  <si>
    <t>ENDULZANTES</t>
  </si>
  <si>
    <t>PROMOS BURGUER</t>
  </si>
  <si>
    <t>ENERGIZANTES</t>
  </si>
  <si>
    <t>QUENTO</t>
  </si>
  <si>
    <t>ENLATADOS Y CONSERVAS</t>
  </si>
  <si>
    <t>SPEED</t>
  </si>
  <si>
    <t>FIAMBRES</t>
  </si>
  <si>
    <t>TEQUEROCK</t>
  </si>
  <si>
    <t>GALLETAS Y BIZCOCHOS</t>
  </si>
  <si>
    <t>TOVAREÑO-VENEBATOS</t>
  </si>
  <si>
    <t>GASEOSAS</t>
  </si>
  <si>
    <t>TRUJILLO</t>
  </si>
  <si>
    <t>GOMITAS Y MALVAVISCOS</t>
  </si>
  <si>
    <t>GRANOS, CEREALES Y SEMILLAS</t>
  </si>
  <si>
    <t>YAMANIL</t>
  </si>
  <si>
    <t>GRAVADOS</t>
  </si>
  <si>
    <t>AGUANORT</t>
  </si>
  <si>
    <t>HARINAS, PASTAS Y ARROZ</t>
  </si>
  <si>
    <t>LADIAR-DAIANA</t>
  </si>
  <si>
    <t>HIGIENE FEMENINA</t>
  </si>
  <si>
    <t>HIGIENE PERSONAL</t>
  </si>
  <si>
    <t>HOGAR</t>
  </si>
  <si>
    <t>HUEVOS</t>
  </si>
  <si>
    <t>INFUSIONES</t>
  </si>
  <si>
    <t>JUGOS</t>
  </si>
  <si>
    <t>JUGOS EN POLVO</t>
  </si>
  <si>
    <t>JUGUETES</t>
  </si>
  <si>
    <t>LACTEOS</t>
  </si>
  <si>
    <t>LAVADO</t>
  </si>
  <si>
    <t>LEVADURA</t>
  </si>
  <si>
    <t>LIBRERIA</t>
  </si>
  <si>
    <t>LICORES Y APERITIVOS</t>
  </si>
  <si>
    <t>LIMPIEZA</t>
  </si>
  <si>
    <t>MISCELANEOS</t>
  </si>
  <si>
    <t>NAVIDAD</t>
  </si>
  <si>
    <t>NO GRAVADOS</t>
  </si>
  <si>
    <t>OBLEAS, BARRAS Y TURRONES</t>
  </si>
  <si>
    <t>PANES</t>
  </si>
  <si>
    <t>PASTAS</t>
  </si>
  <si>
    <t>PASTAS FRESCAS</t>
  </si>
  <si>
    <t>PASTILLAS</t>
  </si>
  <si>
    <t>PESABLE</t>
  </si>
  <si>
    <t>PETACAS</t>
  </si>
  <si>
    <t>POSTRES</t>
  </si>
  <si>
    <t>PRECOCIDOS</t>
  </si>
  <si>
    <t>QUESOS</t>
  </si>
  <si>
    <t>REPOSTERIA</t>
  </si>
  <si>
    <t>RON Y WHISKY</t>
  </si>
  <si>
    <t>SALSAS Y ADEREZOS</t>
  </si>
  <si>
    <t>SIDRAS Y ESPUMANTES</t>
  </si>
  <si>
    <t>SNACKS</t>
  </si>
  <si>
    <t>TABACOS</t>
  </si>
  <si>
    <t>VINOS</t>
  </si>
  <si>
    <t>HELADOS</t>
  </si>
  <si>
    <t>BEBES</t>
  </si>
  <si>
    <t xml:space="preserve">CÓDIGO </t>
  </si>
  <si>
    <t xml:space="preserve">NOMBRE </t>
  </si>
  <si>
    <t xml:space="preserve">PRECIO </t>
  </si>
  <si>
    <t xml:space="preserve">MALVAVISCOS </t>
  </si>
  <si>
    <t>Malvaviscos BUFFYS Choco Chips Sabor Banana x125g.</t>
  </si>
  <si>
    <t>Malvaviscos BUFFYS Choco Chips Sabor Chocolate x125g.</t>
  </si>
  <si>
    <t>Malvaviscos BUFFYS Choco Chips Sabor Frutilla x125g.</t>
  </si>
  <si>
    <t>Malvaviscos BUFFYS Choco Chips Sabor Vainilla x125g.</t>
  </si>
  <si>
    <t>Malvaviscos BUFFYS Corazón Fresa x32u. x20g.</t>
  </si>
  <si>
    <t>Malvaviscos BUFFYS Relleno De Fresa x24u. x12g.</t>
  </si>
  <si>
    <t>Malvaviscos BUFFYS Stick-Mallow Fresa x32u. x12g.</t>
  </si>
  <si>
    <t>Malvaviscos BUFFYS Stick-Mallow Frutal x32u. x12g.</t>
  </si>
  <si>
    <t>Malvaviscos BUFFYS Twister Frutal x32u. x20g.</t>
  </si>
  <si>
    <t>Malvaviscos BUFFYS Corazón de Fresa x200g.</t>
  </si>
  <si>
    <t>Malvaviscos BUFFYS Formas Frutales x200g.</t>
  </si>
  <si>
    <t>Malvaviscos BUFFYS Twister Fresa x200g.</t>
  </si>
  <si>
    <t>Malvaviscos BUFFYS Twister Frutal x200g.</t>
  </si>
  <si>
    <t>Malvaviscos BUFFYS Twister Frutal x450g.</t>
  </si>
  <si>
    <t>Marshmallow GONGYS Nubecita x200g.</t>
  </si>
  <si>
    <t>Marshmallow GONGYS Palitos x200g.</t>
  </si>
  <si>
    <t>Marshmallow GONGYS Frutilla x28g.</t>
  </si>
  <si>
    <t>Marshmallow GONGYS Trenza x28g.</t>
  </si>
  <si>
    <t xml:space="preserve">POSTRES A BASE DE MANI </t>
  </si>
  <si>
    <t>Barra de Maní LHERITIER con Crocante de Arroz x30g.</t>
  </si>
  <si>
    <t>Postre De Maní LHERITIER x100g.</t>
  </si>
  <si>
    <t xml:space="preserve">CHICLES </t>
  </si>
  <si>
    <t>Chicle BELDENT 3S Menta x24u.</t>
  </si>
  <si>
    <t>Chicle BELDENT 3S Menta Fuerte x24u.</t>
  </si>
  <si>
    <t>Chicle BELDENT Poseidon Frutilla x20u.</t>
  </si>
  <si>
    <t>Chicle BELDENT Poseidon Mandarina x20u.</t>
  </si>
  <si>
    <t>Chicle BELDENT Poseidon Menta x20u.</t>
  </si>
  <si>
    <t>Chicle BELDENT Poseidon Mentol x20u.</t>
  </si>
  <si>
    <t>Chicle BELDENT Poseidon Menta Fuerte x20u.</t>
  </si>
  <si>
    <t>Chicle BELDENT Poseidon Sandia x20u.</t>
  </si>
  <si>
    <t>Chicle BLUPER Aro De Basket Display x6u.</t>
  </si>
  <si>
    <t>Chicle BLUPPER Bolita Bolsa x400g.</t>
  </si>
  <si>
    <t>Chicle BLUPER Bolón Mediano Frasco x1kg.</t>
  </si>
  <si>
    <t>Chicle BLUPER Bolón Mediano Bolsa x400g.</t>
  </si>
  <si>
    <t>Chicle BLUPER Calabaza Halloween x400g.</t>
  </si>
  <si>
    <t>Chicles BLUPER Cuadradito Tira x6u. x30g.</t>
  </si>
  <si>
    <t>Chicle BLUPER Huevitos Dino x30u.</t>
  </si>
  <si>
    <t>Chicle BLUPER Frutas Medianas Bolsa x400g.</t>
  </si>
  <si>
    <t>Chicle BLUPER Huevito Mediano x400g.</t>
  </si>
  <si>
    <t>Chicle BLUPER Maxi Bolón Frasco x1kg.</t>
  </si>
  <si>
    <t>Chicle BLUPER Maxi Bolón Bolsa x400g.</t>
  </si>
  <si>
    <t>Chicle BLUPER Maxi Frutal Frasco x1kg.</t>
  </si>
  <si>
    <t>Chicle BLUPER Maxi Frutas Bolsa x400g.</t>
  </si>
  <si>
    <t>Chicle BLUPER Mini Bolita x1kg.</t>
  </si>
  <si>
    <t>Chicle BLUPPER Sandia Mediana Bolsa x400g.</t>
  </si>
  <si>
    <t>Chicle BLUPER Sandia Mediano Frasco x1kg.</t>
  </si>
  <si>
    <t>Chicle BLUPER Tenis Bolsa x400g.</t>
  </si>
  <si>
    <t>Chicle BLUPER Tiza Bolsa x400g.</t>
  </si>
  <si>
    <t>Chicle BLUPER Perlas Del Unicornio x30u.</t>
  </si>
  <si>
    <t>Chicle TOP LINE Seven Turbo Mint Caja x125g.</t>
  </si>
  <si>
    <t>Chicle Globo BELDENT Poseidon x20u.</t>
  </si>
  <si>
    <t>Chicle Globo OPEN CANDY Tennis Open x30u.</t>
  </si>
  <si>
    <t>Chicle PICO DULCE Con Tatoo Menta x80u.</t>
  </si>
  <si>
    <t>Chicle PICO DULCE Con Tatoo Tutti Frutti x80u.</t>
  </si>
  <si>
    <t>Chicle POP Banana x100u.</t>
  </si>
  <si>
    <t>Chicle POP Menta x100u.</t>
  </si>
  <si>
    <t>Chicle POP Tutti Fruti x100u.</t>
  </si>
  <si>
    <t>Chicle POP Uva x100u.</t>
  </si>
  <si>
    <t>Chicle POOSH Frutilla x250g.</t>
  </si>
  <si>
    <t>Chicle POOSH Frutis x202g.</t>
  </si>
  <si>
    <t>Chicle POOSH Frutis x500g.</t>
  </si>
  <si>
    <t>Chicle POOSH Tutti Frutti x250g.</t>
  </si>
  <si>
    <t>Chicle SAPITO Tutti Frutti x140g.</t>
  </si>
  <si>
    <t>Chicle TOP LINE Seven Turbo Mint Pote x50g.</t>
  </si>
  <si>
    <t>Chicles AGOGO Original Pequeño x300u.</t>
  </si>
  <si>
    <t>Chicles AGOGO Original Gigante x50u.</t>
  </si>
  <si>
    <t>Chicles ALKA Fruta x20u.</t>
  </si>
  <si>
    <t>Chicles ALKA Menta x20u.</t>
  </si>
  <si>
    <t>Chicles BELDENT INFINIT Menta x14u.</t>
  </si>
  <si>
    <t>Chicles BELDENT INFINIT Blue Berry x14u.</t>
  </si>
  <si>
    <t>Chicles BELDENT INFINIT Citrus x14u.</t>
  </si>
  <si>
    <t>Chicles BELDENT INFINIT Spearmint x12u.</t>
  </si>
  <si>
    <t>Chicles BELDENT INFINIT x7u. Blue Berry x15u.</t>
  </si>
  <si>
    <t>Chicles BELDENT INFINIT x7 Citrus x15u.</t>
  </si>
  <si>
    <t>Chicles BELDENT INFINIT x7 Menta x15u.</t>
  </si>
  <si>
    <t>Chicles BELDENT INFINIT x7 Spearmint x15u.</t>
  </si>
  <si>
    <t>Chicles BUBBALOO Frutilla x60u.</t>
  </si>
  <si>
    <t>Chicles BUBBALOO Menta x60u.</t>
  </si>
  <si>
    <t>Chicles BUBBALOO Fruta x60u.</t>
  </si>
  <si>
    <t>Chicles BUBBALOO Uva x60u.</t>
  </si>
  <si>
    <t>Chicles BUBBLE ROLL Surtidos x8u.</t>
  </si>
  <si>
    <t>Chicles BUBBLE ROLL Tutti Frutti x8u.</t>
  </si>
  <si>
    <t>Chicles FIERITA Mini Recargado Frutilla x12u. x30g.</t>
  </si>
  <si>
    <t>Chicles FIERITA Mini Recargado Menta x12u. x30g.</t>
  </si>
  <si>
    <t>Chicles FIERITA Mini Recargado Tutti Frutti x12u. x30g.</t>
  </si>
  <si>
    <t>Chicles FIERITA Recargado Banana x50u.</t>
  </si>
  <si>
    <t>Chicles FIERITA Recargado Cola x50u.</t>
  </si>
  <si>
    <t>Chicles FIERITA Recargado Frutilla x50u.</t>
  </si>
  <si>
    <t>Chicles FIERITA Recargado Menta x50u.</t>
  </si>
  <si>
    <t>Chicles FIERITA Recargado Mundial x50u.</t>
  </si>
  <si>
    <t>Chicles FIERITA Banana x100u.</t>
  </si>
  <si>
    <t>Chicles FIERITA Frutilla x100u.</t>
  </si>
  <si>
    <t>Chicles FIERITA Menta x100u.</t>
  </si>
  <si>
    <t>Chicles FIERITA Tutti Frutti x100u.</t>
  </si>
  <si>
    <t>Chicles FLICS Fruta x14u.</t>
  </si>
  <si>
    <t>Chicles FLICS Menta x14u.</t>
  </si>
  <si>
    <t>Chicles Gumballs OPEN CANDY Surtido x18u.</t>
  </si>
  <si>
    <t>Chicles Gumballs OPEN CANDY Surtido x24u.</t>
  </si>
  <si>
    <t>Chicles TOP LINE SEVEN Fun x16u.</t>
  </si>
  <si>
    <t>Chicles TOP LINE SEVEN Strong x16u.</t>
  </si>
  <si>
    <t>Chicles TOP LINE SEVEN Blowing Mandarina x16u.</t>
  </si>
  <si>
    <t>Chicles TOP LINE SEVEN Freezing Menthol x16u.</t>
  </si>
  <si>
    <t>Chicles TOP LINE SEVEN Vibrant Strawberry x16u.</t>
  </si>
  <si>
    <t>Chicles TOP LINE SEVEN Violet Cherry x16u.</t>
  </si>
  <si>
    <t>Chicles TOP LINE SEVEN X-Plosive Mint x16u.</t>
  </si>
  <si>
    <t>Chicles TOP LINE Sandia x20u.</t>
  </si>
  <si>
    <t>Chicles TOP LINE Fruta x4u. x20u.</t>
  </si>
  <si>
    <t>Chicles TOP LINE Menta x4u. x20u.</t>
  </si>
  <si>
    <t>Chicles TOP LINE Strong x4u. x20u.</t>
  </si>
  <si>
    <t>LA GALLINA COQUITA x8u.(12)</t>
  </si>
  <si>
    <t>Maxi Dispenser BLUPER Super Frasco x2kg.</t>
  </si>
  <si>
    <t>Mini Dispenser BLUPER Juguete Con Golosinas x6u.</t>
  </si>
  <si>
    <t>PINCEL BLUPER PINTA LENGUA X6U. (12)</t>
  </si>
  <si>
    <t xml:space="preserve">VARIOS GOLOSINAS </t>
  </si>
  <si>
    <t>Chupetín POP Minions x24u. (12)</t>
  </si>
  <si>
    <t>Chupetín Spring POP Jurassic World x25u.</t>
  </si>
  <si>
    <t>Chupetín Spring POP Minions x25u. (18)</t>
  </si>
  <si>
    <t>Exhibidor Multiproducto x60u.</t>
  </si>
  <si>
    <t>Huevo Big ODOROKI xu.</t>
  </si>
  <si>
    <t>Huevo Mini ODOROKI xu.</t>
  </si>
  <si>
    <t>Mini Pops ODOROKI x16u.</t>
  </si>
  <si>
    <t>Cartuchera PICO DULCE x10u.</t>
  </si>
  <si>
    <t>Tiki Box ODOROKI xu.</t>
  </si>
  <si>
    <t>Tubo SWEET BALLOON Animales y Corazones Con Globo Surtido x12u.</t>
  </si>
  <si>
    <t>Tubo SWEET BALLOON Infantil Con Globo Surtido x12u.</t>
  </si>
  <si>
    <t>Tubo SWEET BALLOON Con Globo Surtido x12u.</t>
  </si>
  <si>
    <t xml:space="preserve">PASTILLAS </t>
  </si>
  <si>
    <t>Pastilla ALKAx12u.Cherry</t>
  </si>
  <si>
    <t>Pastilla ALKA x12u.Menta</t>
  </si>
  <si>
    <t>Pastilla ALKA Strong x12u.</t>
  </si>
  <si>
    <t>Pastillas BLUPER Botoncitos Bolsa x400g.</t>
  </si>
  <si>
    <t>Pastillas BLUPER Caritas Bolsa x400g.</t>
  </si>
  <si>
    <t>Pastillas BULL DOG Ácidas MIX Mandarina/Uva x12u.</t>
  </si>
  <si>
    <t>Pastillas BULL DOG Ácidas MIX Tutti Frutti/Limón x12u.</t>
  </si>
  <si>
    <t>Pastillas BULL DOG Ácidas MIX sandía/Manzana x12u.</t>
  </si>
  <si>
    <t>Pastillas BULL DOG Ácidas Mandarina x12u.</t>
  </si>
  <si>
    <t>Pastillas BULL DOG Ácidas Manzana x12u.</t>
  </si>
  <si>
    <t>Pastillas BULL DOG Ácidas Sandía x12u.</t>
  </si>
  <si>
    <t>Pastillas BULL DOG Ácidas Tutti Frutti x12u.</t>
  </si>
  <si>
    <t>Pastillas BULL DOG Ácidas Uva x12u.</t>
  </si>
  <si>
    <t>Pastillas CHICK´N´CHAT MIX xu.</t>
  </si>
  <si>
    <t>Pastillas D.R.F. Anís x12u.</t>
  </si>
  <si>
    <t>Pastillas D.R.F. Intense Citrus x12u.</t>
  </si>
  <si>
    <t>Pastillas D.R.F. Intense Frutos x12u.</t>
  </si>
  <si>
    <t>Pastillas D.R.F. Limón x12u.</t>
  </si>
  <si>
    <t>Pastillas D.R.F. Menta x12u.</t>
  </si>
  <si>
    <t>Pastillas D.R.F. Mentol x12u.</t>
  </si>
  <si>
    <t>Pastillas D.R.F. Naranja x12u.</t>
  </si>
  <si>
    <t>Pastillas D.R.F. Surtidos x24u.</t>
  </si>
  <si>
    <t>Pastillas DORIN'S Frutilla x12u.</t>
  </si>
  <si>
    <t>Pastillas DORIN'S Frutal x12u.</t>
  </si>
  <si>
    <t>Pastillas DORIN'S Frutal x20u.</t>
  </si>
  <si>
    <t>Pastillas DORIN'S Frutos Del Bosque x12u.</t>
  </si>
  <si>
    <t>Pastillas DORIN'S Mango y Anana x12u.</t>
  </si>
  <si>
    <t>Pastillas DORIN'S Maracuyá Y Arándanos x12u.</t>
  </si>
  <si>
    <t>Pastillas DORIN'S Menta x12u.</t>
  </si>
  <si>
    <t>Pastillas DORIN'S Mix x20u.</t>
  </si>
  <si>
    <t>Pastillas DORIN'S Manzana y Sandia x12u.</t>
  </si>
  <si>
    <t>Pastillas DORIN'S Uva y Frambuesa x12u.</t>
  </si>
  <si>
    <t>Pastillas DROPSY con Sorpresa Sobre x25g.</t>
  </si>
  <si>
    <t>Pastillas HALLS Free Cherry x12u.</t>
  </si>
  <si>
    <t>Pastillas HALLS Free Menta x12u.</t>
  </si>
  <si>
    <t>Pastillas HALLS Menta Lyptus Go x12u.</t>
  </si>
  <si>
    <t>Pastillas HALLS VITA-C Frutilla x12u.</t>
  </si>
  <si>
    <t>Pastillas HALLS VITA-C Naranja x12u.</t>
  </si>
  <si>
    <t>Pastillas HALLS Cherry Lyptus x12u.</t>
  </si>
  <si>
    <t>Pastillas HALLS Menta Lyptus x12u.</t>
  </si>
  <si>
    <t>Pastillas HALLS Mentho Lyptus x12u.</t>
  </si>
  <si>
    <t>Pastillas HALLS Stani Miel con Limón x12u.</t>
  </si>
  <si>
    <t>Pastillas HALLS Stani Miel con Menta x12u.</t>
  </si>
  <si>
    <t>Pastillas HALLS Strong Lyptus x12u.</t>
  </si>
  <si>
    <t>Pastilla LA YAPA x36u.</t>
  </si>
  <si>
    <t>Pastilla LUCKY Frutal x190g.</t>
  </si>
  <si>
    <t>Pastilla LUCKY Granel Frutos del Bosque x500g.</t>
  </si>
  <si>
    <t>Pastilla LUCKY Granel Frutilla x500g.</t>
  </si>
  <si>
    <t>Pastilla LUCKY Granel Frutal x500g.</t>
  </si>
  <si>
    <t>Pastilla LUCKY Granel Multifruta x500g.</t>
  </si>
  <si>
    <t>Pastilla LUCKY Granel Surtido x500g.</t>
  </si>
  <si>
    <t>Pastilla LUCKY Granel Tutti Frutti x500g.</t>
  </si>
  <si>
    <t>Pastilla LUCKY Frutilla x200g.</t>
  </si>
  <si>
    <t>Pastilla LUCKY Frutal x200g.</t>
  </si>
  <si>
    <t>Pastilla LUCKY Frutos del Bosque x200g.</t>
  </si>
  <si>
    <t>Pastilla LUCKY Multifruta x200g.</t>
  </si>
  <si>
    <t>Pastilla LUCKY Tutti Frutti x200g.</t>
  </si>
  <si>
    <t>Pastilla LUCKY Surtido x385g.</t>
  </si>
  <si>
    <t>Pastilla LUCKY Surtido x190g.</t>
  </si>
  <si>
    <t>Pastilla LUCKY Tutti Frutti x190g.</t>
  </si>
  <si>
    <t>Pastillas MENTHOPLUS Ácidos Cereza x12u.</t>
  </si>
  <si>
    <t>Pastillas MENTHOPLUS Ácidos Manzana x12u.</t>
  </si>
  <si>
    <t>Pastillas MENTHOPLUS Ácidos Naranja x12u.</t>
  </si>
  <si>
    <t>Pastillas MENTHOPLUS CreaMIX Frutilla x12u.</t>
  </si>
  <si>
    <t>Pastillas MENTHOPLUS sin Azúcar Durazno Zero x12u.</t>
  </si>
  <si>
    <t>Pastillas MENTHOPLUS sin Azúcar Mentol Zero x12u.</t>
  </si>
  <si>
    <t>Pastillas MENTHOPLUS sin Azúcar Strong Zero x12u.</t>
  </si>
  <si>
    <t>Pastillas MENTHOPLUS Café Latte x100g.</t>
  </si>
  <si>
    <t>Pastillas MENTHOPLUS Cereza x100g.</t>
  </si>
  <si>
    <t>Pastillas MENTHOPLUS Cool Mint x30g.</t>
  </si>
  <si>
    <t>Pastillas MENTHOPLUS Mix Berries x30g.</t>
  </si>
  <si>
    <t>Caramelo MENTHOPLUS x12u.Limon</t>
  </si>
  <si>
    <t>Pastillas MENTHOPLUS Café Latte x12u.</t>
  </si>
  <si>
    <t>Pastillas MENTHOPLUS Cereza x12u.</t>
  </si>
  <si>
    <t>Pastillas MENTHOPLUS Miel x12u.</t>
  </si>
  <si>
    <t>Pastillas MENTHOPLUS Menta x12u.</t>
  </si>
  <si>
    <t>Pastillas MENTHOPLUS Mentol x12u.</t>
  </si>
  <si>
    <t>Pastillas MENTHOPLUS Strong x12u.</t>
  </si>
  <si>
    <t>Pastillas MENTITAS Kids Banana x12u.</t>
  </si>
  <si>
    <t>Pastillas MENTITAS Kids Dulce de Leche x12u.</t>
  </si>
  <si>
    <t>Pastillas MENTITAS Kids Tutti Frutti x12u.</t>
  </si>
  <si>
    <t>Pastillas MENTITAS LaCasa Cherry x12u.</t>
  </si>
  <si>
    <t>Pastillas MENTITAS LaCasa Dulce de Leche x12u.</t>
  </si>
  <si>
    <t>Pastillas MENTITAS LaCasa Frutal x12u.</t>
  </si>
  <si>
    <t>Pastillas MENTITAS LaCasa Menta x12u.</t>
  </si>
  <si>
    <t>Pastillas MENTITAS LaCasa Sandia x12u.</t>
  </si>
  <si>
    <t>Pastillas Punchy Monkey x8u.</t>
  </si>
  <si>
    <t>Pastillas REFRESCO Frutilla x12u.</t>
  </si>
  <si>
    <t>Pastillas REFRESCO Mentol x12u.</t>
  </si>
  <si>
    <t>Pastillas REFRESCO Naranja x12u.</t>
  </si>
  <si>
    <t>Pastillas REFRESCO Tuti Frutti x12u.</t>
  </si>
  <si>
    <t>Pastillas TIC TAC Frutilla x12u.</t>
  </si>
  <si>
    <t>Pastillas TIC TAC Menta Fuerte x12u.</t>
  </si>
  <si>
    <t>Pastillas TIC TAC Menta x12u.</t>
  </si>
  <si>
    <t>Pastillas TIC TAC MIX de Fruta x12u.</t>
  </si>
  <si>
    <t>Pastillas TIC TAC Naranja x12u.</t>
  </si>
  <si>
    <t>Pastilla Wacky Monkey x8u.</t>
  </si>
  <si>
    <t>Pastillas WATER POP Display x8u.</t>
  </si>
  <si>
    <t>Pastillas YIPI x30g. x12u.</t>
  </si>
  <si>
    <t xml:space="preserve">OBLEAS - TURRONES - CUBANITOS - BAÑADOS </t>
  </si>
  <si>
    <t>Bizcochuelo PICNIC x38g.</t>
  </si>
  <si>
    <t>Cubanito ARCHOK Sabor Avellana Sin Baño x12u.</t>
  </si>
  <si>
    <t>Cubanito ARCHOK Sabor Avellana x12u.</t>
  </si>
  <si>
    <t>Cubanito ARCHOK Sabor Limón Sin Baño x12u.</t>
  </si>
  <si>
    <t>Cubanito ARCHOK Sabor Limón x12u.</t>
  </si>
  <si>
    <t>Cubanito ARCHOK Sabor Maní Sin Baño x12u.</t>
  </si>
  <si>
    <t>Cubanito ARCHOK Sabor Maní x12u.</t>
  </si>
  <si>
    <t>Cubanitos OBLITA Chocolate x48u.</t>
  </si>
  <si>
    <t>Cubanitos OBLITA Chocolate Blanco x48u.</t>
  </si>
  <si>
    <t>Cubanitos OBLITA Dulce de Leche x48u.</t>
  </si>
  <si>
    <t>Cubanitos OBLITA Frutilla x48u.</t>
  </si>
  <si>
    <t>Cubanitos OBLITA Limón x48u.</t>
  </si>
  <si>
    <t>Cubanitos OBLITA Marroc x48u.</t>
  </si>
  <si>
    <t>Cubanitos OBLITA Nougat x48u.</t>
  </si>
  <si>
    <t>Cubanitos ARBANIT Rellenos Con Pasta De Avellanas Caja x12u. x28g.</t>
  </si>
  <si>
    <t>Cubanitos ARBANIT Rellenos Con Pasta De Cacao Caja x12u. x28g.</t>
  </si>
  <si>
    <t>Cubanitos ARBANIT Rellenos Con Pasta De Café Caja x12u. x28g.</t>
  </si>
  <si>
    <t>Cubanitos ARBANIT Rellenos Con Pasta De Dulce De Leche Caja x12u. x28g.</t>
  </si>
  <si>
    <t>Cubanitos ARBANIT Rellenos Con Pasta De Frutilla Caja x12u. x28g.</t>
  </si>
  <si>
    <t>Cubanitos ARBANIT Rellenos Con Pasta De Limón Caja x12u. x28g.</t>
  </si>
  <si>
    <t>Cubanitos ARBANIT Rellenos Con Pasta De Maní Caja x12u. x28g.</t>
  </si>
  <si>
    <t>Cubanitos ARBANIT Rellenos Con Pasta De Marroc Caja x12u. x28g.</t>
  </si>
  <si>
    <t>Mini Torta RAPSODIA x80g.</t>
  </si>
  <si>
    <t>Oblea 9 DE ORO Vainilla Rellena de Chocolate x140g.</t>
  </si>
  <si>
    <t>Oblea ARCOR Chocolate x20g.</t>
  </si>
  <si>
    <t>Oblea Arroz CHOCO BAR Blanca xu.</t>
  </si>
  <si>
    <t>Oblea Arroz CHOCO BAR Negra xu.</t>
  </si>
  <si>
    <t>Oblea GALLO de Arroz Choco Nuss xu.</t>
  </si>
  <si>
    <t>Oblea Arroz GALLO SNACKS xu.</t>
  </si>
  <si>
    <t>Oblea de Arroz GALLO Bolsa x6u. x20g.</t>
  </si>
  <si>
    <t>Oblea Arroz GALLO Yogu Bar Blanca xu.</t>
  </si>
  <si>
    <t>Oblea con Bañado EXPRESS Rellena con Crema de Avellana x24u.x35g.</t>
  </si>
  <si>
    <t>Oblea BLOKE Sabor Chocolate x75g.</t>
  </si>
  <si>
    <t>Oblea BLOKE Sabor Frutilla x75g.</t>
  </si>
  <si>
    <t>Oblea BLOKE Limón Bañadas En Chocolate x20g.</t>
  </si>
  <si>
    <t>Oblea BLOKE Sabor Vainilla x75g.</t>
  </si>
  <si>
    <t>Oblea BON O BON Blanca xu.</t>
  </si>
  <si>
    <t>Oblea BON O BON Negra xu.</t>
  </si>
  <si>
    <t>Oblea BON O BON XL Negra xu.</t>
  </si>
  <si>
    <t>Oblea CROCBAR Blanco x29g. x44u.</t>
  </si>
  <si>
    <t>Oblea GOFLET Dark Rellena con Crema de Avellana x24u.x18g.</t>
  </si>
  <si>
    <t>Oblea GOFLET White Rellena con Crema de Avellana x24u.x18g.</t>
  </si>
  <si>
    <t>Oblea HAMLETON x16u. x28g.</t>
  </si>
  <si>
    <t>Oblea NESQUIK con Leche x23g.</t>
  </si>
  <si>
    <t>Oblea OBLITA Mix Frutal x50g.</t>
  </si>
  <si>
    <t>Oblea OBLITA Chocolate x100g.</t>
  </si>
  <si>
    <t>Oblea OBLITA Dulce De Leche x100g.</t>
  </si>
  <si>
    <t>Oblea OBLITA Frutilla x100g.</t>
  </si>
  <si>
    <t>Oblea OBLITA Limón x100g.</t>
  </si>
  <si>
    <t>Oblea OBLITA Mix Frutal x100g.</t>
  </si>
  <si>
    <t>Oblea OBLITA Noir x100g.</t>
  </si>
  <si>
    <t>Oblea OBLITA Vainilla x100g.</t>
  </si>
  <si>
    <t>Oblea OBLITA Chocolate x50g.</t>
  </si>
  <si>
    <t>Oblea OBLITA Frutilla x50g.</t>
  </si>
  <si>
    <t>Oblea OBLITA Limón x50g.</t>
  </si>
  <si>
    <t>Oblea OBLITA Noir x50g.</t>
  </si>
  <si>
    <t>Oblea OBLITA Vainilla x50g.</t>
  </si>
  <si>
    <t>Oblea SWISS ROLL Sabor Vainilla con Baño de Chocolate x30g.</t>
  </si>
  <si>
    <t>Obleas 9 DE ORO Chocolate Con Naranja x100g.</t>
  </si>
  <si>
    <t>Obleas 9 DE ORO Frutilla y Vainilla con Naranja x100g.</t>
  </si>
  <si>
    <t>Oblea 9 DE ORO Triples Bañadas x20u.x20g.</t>
  </si>
  <si>
    <t>Obleas 9 DE ORO Vainilla Con Naranja x50g.</t>
  </si>
  <si>
    <t>Obleas KOKIS Todo Chocolate Bañada x100g.</t>
  </si>
  <si>
    <t>Obleas NUGATON Blanca xu.</t>
  </si>
  <si>
    <t>Obleas NUGATON Black xu.</t>
  </si>
  <si>
    <t>Obleas NUGATON Chocolate xu.</t>
  </si>
  <si>
    <t>Obleas Opera Chocolate x68g.</t>
  </si>
  <si>
    <t>Obleas OPera x220g.</t>
  </si>
  <si>
    <t>Obleas OPera x55g.</t>
  </si>
  <si>
    <t>Obleas OPera x92g.</t>
  </si>
  <si>
    <t>Obleas RECITAL Chantilli x100g.</t>
  </si>
  <si>
    <t>Obleas RECITAL Chocolate x100g.</t>
  </si>
  <si>
    <t>Obleas RECITAL Frutilla x100g.</t>
  </si>
  <si>
    <t>Obleas RECITAL Limón x100g.</t>
  </si>
  <si>
    <t>Obleas RECITAL Vainilla x100g.</t>
  </si>
  <si>
    <t>Cubanitos URQUIZA Bañados x60g.</t>
  </si>
  <si>
    <t>Torta GENIO Blanco Relleno de Dulce de Leche x70g.</t>
  </si>
  <si>
    <t>Torta GENIO Negro Relleno de Dulce de Leche x70g.</t>
  </si>
  <si>
    <t>Torta SMACK Rellena Dulce de Leche x70g.</t>
  </si>
  <si>
    <t>Turron ARCOR Chocolate x50u. x25g.</t>
  </si>
  <si>
    <t>Turrón ARCOR Fibra x50u.</t>
  </si>
  <si>
    <t>TURRON ARCOR VITAMINA x50u</t>
  </si>
  <si>
    <t>Turrón ARCOR x50u.</t>
  </si>
  <si>
    <t>Turron FULBITO x25g. x50u.</t>
  </si>
  <si>
    <t>Turrón MISKY x50u.</t>
  </si>
  <si>
    <t>Turron NAMUR Mani x25g.x50u</t>
  </si>
  <si>
    <t>Turrón NEVARES x25g. x50u.</t>
  </si>
  <si>
    <t xml:space="preserve">CARAMELOS </t>
  </si>
  <si>
    <t>Bolones MARENGO Anís Bolsa x50u.</t>
  </si>
  <si>
    <t>Bolones MARENGO ''DurLeche'' Dulce De Leche Bolsa x50u.</t>
  </si>
  <si>
    <t>Bolones MARENGO Frutilla Azucarada Bolsa x50u.</t>
  </si>
  <si>
    <t>Bolones MARENGO Relleno Surtido Bolsa x50u.</t>
  </si>
  <si>
    <t>Calavera HALLOWEN Rellena de Caramelos Frutales x396g.</t>
  </si>
  <si>
    <t>Caramelos 1/2 HORA x800g.</t>
  </si>
  <si>
    <t>Caramelos ALKA Cherry x200g.</t>
  </si>
  <si>
    <t>Caramelos ALKA Ácidos Surtidos x800g.</t>
  </si>
  <si>
    <t>Caramelos ALKA Cherry x800g.</t>
  </si>
  <si>
    <t>Caramelos ALKA Cremoso Frutilla/Frambuesa x800g.</t>
  </si>
  <si>
    <t>Caramelos ALKA Menta x800g.</t>
  </si>
  <si>
    <t>Caramelos ALKA Strong x800g.</t>
  </si>
  <si>
    <t>Caramelos Arcor Gajitos x150g.</t>
  </si>
  <si>
    <t>Caramelos Arcor Gajitos x485g.</t>
  </si>
  <si>
    <t>Caramelos Masticables ARCOR Hechizos De Amor x800g. Surtido</t>
  </si>
  <si>
    <t>Caramelos Arcor Menta Chocolate x150g.</t>
  </si>
  <si>
    <t>Caramelos Arcor Menta Chocolate x810g.</t>
  </si>
  <si>
    <t>Caramelos Arcor Miel con Menta x405g.</t>
  </si>
  <si>
    <t>Caramelo ARCOR Milk x320g.</t>
  </si>
  <si>
    <t>Caramelos ARCOR Cherry x800g.</t>
  </si>
  <si>
    <t>Caramelos Arcor Rellenos Frutales x150g.</t>
  </si>
  <si>
    <t>Caramelos Arcor Relleno de Miel x140g.</t>
  </si>
  <si>
    <t>Caramelos Arcor Relleno de Miel x810g.</t>
  </si>
  <si>
    <t>Caramelos ARCOR Surtidos x242g.</t>
  </si>
  <si>
    <t>Caramelos BC Surtidos x420u.</t>
  </si>
  <si>
    <t>Caramelo Blando SAQUITOS Dulce De Leche x100g.</t>
  </si>
  <si>
    <t>Caramelo BLOODY MONSTERS Surtido x8u. x30g.</t>
  </si>
  <si>
    <t>Caramelos Bocadito HOLANDA x50u.</t>
  </si>
  <si>
    <t>Caramelos BUTTER TOFFEES Manzana x810g.</t>
  </si>
  <si>
    <t>Caramelos BUTTER TOFFEES Dulce De Leche x810g.</t>
  </si>
  <si>
    <t>Caramelos BUTTER TOFFEES Chocolate x140g.</t>
  </si>
  <si>
    <t>Caramelos BUTTER TOFFEES Leche x150g.</t>
  </si>
  <si>
    <t>Caramelos BUTTER TOFFEES Avellanas x646g.</t>
  </si>
  <si>
    <t>Caramelos BUTTER TOFFEES Cream x810g.</t>
  </si>
  <si>
    <t>Caramelos BUTTER TOFFEES Águila x959g.</t>
  </si>
  <si>
    <t>Caramelos BUTTER TOFFEES Bon o Bon x959g.</t>
  </si>
  <si>
    <t>Caramelos BUTTER TOFFEES Café x959g.</t>
  </si>
  <si>
    <t>Caramelos BUTTER TOFFEES Chocolate x822g.</t>
  </si>
  <si>
    <t>Caramelos BUTTER TOFFEES Chocolate Blanco x822g.</t>
  </si>
  <si>
    <t>Caramelos BUTTER TOFFEES Dulce de Leche x959g.</t>
  </si>
  <si>
    <t>Caramelos BUTTER TOFFEES Menta x959g.</t>
  </si>
  <si>
    <t>Caramelos BUTTER TOFFEES Leche x959g.</t>
  </si>
  <si>
    <t>Caramelos CREMINO Arcor Surtido x940g.</t>
  </si>
  <si>
    <t>Caramelos CRISTAL MIX x810g.</t>
  </si>
  <si>
    <t>Caramelos DULCILAC x120u.</t>
  </si>
  <si>
    <t>Caramelo Duro LHERITIER Sabor Cherry - Mentol Bolsa x200u.</t>
  </si>
  <si>
    <t>Caramelo Duro LHERITIER Sabor Frutales Acidos Bolsa x200u.</t>
  </si>
  <si>
    <t>Caramelo Duro PICO DULCE Sabor Frutal Bolsa x200u.</t>
  </si>
  <si>
    <t>Caramelos PICO DULCE Duro Bolsa x90u.</t>
  </si>
  <si>
    <t>Caramelos Duros SAQUITOS Fruta x100g.</t>
  </si>
  <si>
    <t>Caramelo Duro SAQUITOS Mega Ácidos x100g.</t>
  </si>
  <si>
    <t>Caramelo Duro SAQUITOS Surtido Superior x100g.</t>
  </si>
  <si>
    <t>Caramelo Duro SAQUITOS Transparente Menta x100g.</t>
  </si>
  <si>
    <t>Caramelos FLYNN PAFF Confitados x50g.</t>
  </si>
  <si>
    <t>Caramelos FLYNN PAFF Confitados Ácido Extremo x50g.</t>
  </si>
  <si>
    <t>Caramelos FLYNN PAFF Confitados Yogur x50g.</t>
  </si>
  <si>
    <t>Caramelos FLYNN PAFF XXL Limonada Berry x24u.</t>
  </si>
  <si>
    <t>Caramelos FLYNN PAFF XXL Tutti Frutti x24u.</t>
  </si>
  <si>
    <t>Caramelos FLYNN PAFF Yogur Durazno y Vainilla x70u.</t>
  </si>
  <si>
    <t>Caramelos FLYNN PAFF Yogur Frutilla y Banana x70u.</t>
  </si>
  <si>
    <t>Caramelos FLYNN PAFF Ananá Tropical x70u.</t>
  </si>
  <si>
    <t>Caramelos FLYNN PAFF Banana x70u.</t>
  </si>
  <si>
    <t>Caramelos FLYNN PAFF Frutilla y Vainilla x70u.</t>
  </si>
  <si>
    <t>Caramelos FLYNN PAFF Frutilla x70u.</t>
  </si>
  <si>
    <t>Caramelos FLYNN PAFF Limonada Berry x70u.</t>
  </si>
  <si>
    <t>Caramelos FLYNN PAFF Limonada Melon x70u.</t>
  </si>
  <si>
    <t>Caramelos FLYNN PAFF Manzana x70u.</t>
  </si>
  <si>
    <t>Caramelos FLYNN PAFF Pinta Lengua x70u.</t>
  </si>
  <si>
    <t>Caramelos FLYNN PAFF Tutti Frutti x70u.</t>
  </si>
  <si>
    <t>Caramelos FLYNN PAFF Uva x70u.</t>
  </si>
  <si>
    <t>Caramelos Fresh CRISTAL x405g.</t>
  </si>
  <si>
    <t>Caramelos Frutales ARCOR Pote x100g.</t>
  </si>
  <si>
    <t>Caramelos LENGÜETAZO Tutti Frutti x32u.</t>
  </si>
  <si>
    <t>Caramelos LIPO Anís x907g.</t>
  </si>
  <si>
    <t>Caramelos LIPO Ce-Leche x150g.</t>
  </si>
  <si>
    <t>Caramelos LIPO Ce-Leche x907g.</t>
  </si>
  <si>
    <t>Caramelos LIPO Sport x150g.</t>
  </si>
  <si>
    <t>Caramelos LIPO Sport x907g.</t>
  </si>
  <si>
    <t>Caramelos LIPO Gajos x1k.</t>
  </si>
  <si>
    <t>Caramelos LIPO Menta Con Chocolate x907g.</t>
  </si>
  <si>
    <t>Caramelos LIPO Menta x907g.</t>
  </si>
  <si>
    <t>Caramelos LIPO Miel x800g.</t>
  </si>
  <si>
    <t>Caramelos LIPO Súper Ácidos x907g.</t>
  </si>
  <si>
    <t>Caramelos LOTSA FIZZ Halloween x494g.</t>
  </si>
  <si>
    <t>Caramelos LOTZA FIZZ x48u.</t>
  </si>
  <si>
    <t>Caramelo MAG JR. Exprimido Liquido Tutti Frutti x8u.</t>
  </si>
  <si>
    <t>Caramelos Masticable Arcor Rellenos Frutales x120g.</t>
  </si>
  <si>
    <t>Caramelo Masticable BUTTER TOFFEES Pote x300g.</t>
  </si>
  <si>
    <t>Caramelos Masticables CIRCUS Frutal x300g.</t>
  </si>
  <si>
    <t>Caramelos Masticables Fruta Arcor x800g.</t>
  </si>
  <si>
    <t>Caramelos Masticables GRANJERO Yogurth/Frutal x100u.</t>
  </si>
  <si>
    <t>Caramelos Masticable ARCOR Halloween Hueso x450g.</t>
  </si>
  <si>
    <t>Caramelo Masticable Halloween ARCORx396g</t>
  </si>
  <si>
    <t>Caramelo Masticable Lheritier</t>
  </si>
  <si>
    <t>CAR.MAST.MISKY HALLOWEEN.x800g</t>
  </si>
  <si>
    <t>Caramelos Masticables MISKY Surtido x800g.</t>
  </si>
  <si>
    <t>Caramelos Masticables PICO DULCE Animals Cremy Bolsa x500g.</t>
  </si>
  <si>
    <t>Caramelos Masticables PICO DULCE Bit Bolsa x480g.</t>
  </si>
  <si>
    <t>Caramelos Masticables PICO DULCE Bit Sabor Frutilla Bolsa x408g.</t>
  </si>
  <si>
    <t>Caramelos Masticables PICO DULCE Bit Sabor Uva Bolsa x408g.</t>
  </si>
  <si>
    <t>Caramelo Masticable PICO DULCE Tubicolor x500g.</t>
  </si>
  <si>
    <t>Caramelos Masticables PICO DULCE Bolsa x500g.</t>
  </si>
  <si>
    <t>Caramelo Masticable MISKY Ricomas Surtido x280g</t>
  </si>
  <si>
    <t>Caramelo Masticable SAPITO Sabor Manzana x24u.</t>
  </si>
  <si>
    <t>CAR.MAST.SUGUS MAX SUR.HALLOWEENx750g</t>
  </si>
  <si>
    <t>Caramelo Masticable SUGUS nuevos sabores x700g.</t>
  </si>
  <si>
    <t>Caramelos Masticables SUGUS x150g.</t>
  </si>
  <si>
    <t>Caramelos Masticables SUGUS x700g.</t>
  </si>
  <si>
    <t>Caramelo Masticable TAPONAZO Frutal Bolsa x100u.</t>
  </si>
  <si>
    <t>Caramelo Masticable TAPONAZO Yogurt Bolsa x100u.</t>
  </si>
  <si>
    <t>Caramelos Masticables XTREME Berry x25g. x12u.</t>
  </si>
  <si>
    <t>Caramelos Masticables XTREME Rainbow x25g. x12u.</t>
  </si>
  <si>
    <t>Caramelo Masticable XTREME Tropical x25g.</t>
  </si>
  <si>
    <t>Caramelo Masticable ARCOR Yoghurt x396g.</t>
  </si>
  <si>
    <t>Caramelos Masticables ZOO Salvaje x498g. x151u.</t>
  </si>
  <si>
    <t>Caramelos Masticables ZOO Yogur x498g. x151u.</t>
  </si>
  <si>
    <t>Caramelo Menta CRISTAL x150g.</t>
  </si>
  <si>
    <t>Caramelo Menta CRISTAL x935g.</t>
  </si>
  <si>
    <t>Caramelos MENTOS Confitados Frutilla x12u.</t>
  </si>
  <si>
    <t>Caramelos MENTOS Confitados Fruta x12u.</t>
  </si>
  <si>
    <t>Caramelos MENTOS Confitados Magic x12u.</t>
  </si>
  <si>
    <t>Caramelos MENTOS Confitados Menta x12u.</t>
  </si>
  <si>
    <t>Caramelos MENTOS Confitados Tutti Frutti x12u.</t>
  </si>
  <si>
    <t>Caramelos MISKY Cherry x405g.</t>
  </si>
  <si>
    <t>Caramelos MISKY Rellenos Frutales x810g. (6)</t>
  </si>
  <si>
    <t>Caramelos MISKY Mega Surtidos x2700g.</t>
  </si>
  <si>
    <t>Caramelos MISKY Menta Transparente x810g.</t>
  </si>
  <si>
    <t>Caramelo MISKY Reacidos Surtidos x826g.</t>
  </si>
  <si>
    <t>Caramelos Rellenos MISKY de Miel Medallones x675g.</t>
  </si>
  <si>
    <t>Caramelos MISKY Toffees Chocolate Bolsa x480g.</t>
  </si>
  <si>
    <t>Caramelos MISKY Toffees Leche Bolsa x480g.</t>
  </si>
  <si>
    <t>Caramelos MISKY Toffees Chocolate x750g.</t>
  </si>
  <si>
    <t>Caramelos MISKY Toffees Leche x750g.</t>
  </si>
  <si>
    <t>Caramelos MOGUL Extreme Palotes de Blueberrys x70u.</t>
  </si>
  <si>
    <t>Caramelos MOGUL Extreme Palotes de Sandia x70u.</t>
  </si>
  <si>
    <t>Caramelos MOGUL Extreme Palotes de Tutti x70u.</t>
  </si>
  <si>
    <t>Caramelos MOGUL Masticables x700g.</t>
  </si>
  <si>
    <t>Caramelos PALITOS DE LA SELVA Bolsax150gr</t>
  </si>
  <si>
    <t>Caramelos PALITOS DE LA SELVA x600g.</t>
  </si>
  <si>
    <t>Caramelos FrutaL Rodajas Ácidas Arcor x930g.</t>
  </si>
  <si>
    <t>Caramelos FrutaL Rodajas Crazy Arcor x465g.</t>
  </si>
  <si>
    <t>Caramelos FrutaL Saquitos Rellenos Arcor x810g.</t>
  </si>
  <si>
    <t>Caramelos SUGUS Confitados Halloween xu.</t>
  </si>
  <si>
    <t>Caramelos SUGUS Confitados xu.</t>
  </si>
  <si>
    <t>Caramelos SUGUS Max Ananá x12u.</t>
  </si>
  <si>
    <t>Caramelos SUGUS MAX Frutilla x12u.</t>
  </si>
  <si>
    <t>Caramelos SUGUS MAX Pinta Lengua x70u.</t>
  </si>
  <si>
    <t>Caramelos SUGUS Max Ananá x70u.</t>
  </si>
  <si>
    <t>Caramelos SUGUS MAX Frutilla x70u.</t>
  </si>
  <si>
    <t>Caramelos SUGUS Max Sandia x70u.</t>
  </si>
  <si>
    <t>Caramelos SUGUS MAX Tutti Frutti x70u.</t>
  </si>
  <si>
    <t>Caramelo Transparente MARENGO Cherry Bolsa x100u.</t>
  </si>
  <si>
    <t>Caramelo Transparente MARENGO Eucaliptus Bolsa x100u.</t>
  </si>
  <si>
    <t>Caramelo Transparente MARENGO Menta Bolsa x100u.</t>
  </si>
  <si>
    <t>Caramelo Transparente MARENGO Miel Bolsa x100u.</t>
  </si>
  <si>
    <t>Caramelos FrutaL Viena Arcor x470g.</t>
  </si>
  <si>
    <t>Caty House FUN x8u.</t>
  </si>
  <si>
    <t>CATZ POP Sabor Tutti Frutti x6u.</t>
  </si>
  <si>
    <t>Chupetín BOLA LOCA Tutti Frutti x24u.</t>
  </si>
  <si>
    <t>Chupetín BOLA LOCA Uva x24u.</t>
  </si>
  <si>
    <t>Caramelo Cinta BULL DOG Regaliz Fresa x60u.</t>
  </si>
  <si>
    <t>Gajos ACIDOS MARENGO Bolsa x112u.</t>
  </si>
  <si>
    <t>Lion POP x8u.</t>
  </si>
  <si>
    <t>Ostritas Acidas MARENGO Bolsa x112u.</t>
  </si>
  <si>
    <t>Caramelos Ostritas Tricolor MARENGO Bolsa x100u.</t>
  </si>
  <si>
    <t>Puppy House FUN x8u.</t>
  </si>
  <si>
    <t>Caramelos Saquitos MARENGO Surtido Frutal Bolsa x70u.</t>
  </si>
  <si>
    <t>Caramelos Saquitos MARENGO Surtido Superior Bolsa x70u.</t>
  </si>
  <si>
    <t>Shark POP x8u.</t>
  </si>
  <si>
    <t>Tiras Acidas CITRIC UP x112u.</t>
  </si>
  <si>
    <t>Tiras Acidas MARENGO Halloween x112u.</t>
  </si>
  <si>
    <t xml:space="preserve">CHUPETINES </t>
  </si>
  <si>
    <t>Chupetin PUSH POP Minions x36u.</t>
  </si>
  <si>
    <t>Chupetín AIR POP Display x9u.</t>
  </si>
  <si>
    <t>Chupetín BOLA LOCA Max con Chicle Cereza/Manzana x24u.</t>
  </si>
  <si>
    <t>Chupetín BABY DOLL Lheritier x18u.</t>
  </si>
  <si>
    <t>Chupetin BABY DOLL Sorpresa x12u. x3u.</t>
  </si>
  <si>
    <t>Chupetin BOLA LOCA Sabor Dulce de Leche x24u. x16g.</t>
  </si>
  <si>
    <t>Chupetín BOLA LOCA Energy x24u.</t>
  </si>
  <si>
    <t>Chupetín BOLA LOCA Poll Party x24u.</t>
  </si>
  <si>
    <t>Chupetín BOLA LOCA Futbol boca x24u.</t>
  </si>
  <si>
    <t>Chupetín BOLA LOCA Futbol Club 'RIVER' x24u.</t>
  </si>
  <si>
    <t>Chupetín BOLA LOCA Max x24u.</t>
  </si>
  <si>
    <t>Chupetín BOLA LOCA con Sticker Boca x24u.</t>
  </si>
  <si>
    <t>Chupetín BOLA LOCA con Sticker River x24u.</t>
  </si>
  <si>
    <t>Chupetín BOLA LOCA Fresh Sandía x24u.</t>
  </si>
  <si>
    <t>Chupetín BOLA LOCA Futbol x24u.</t>
  </si>
  <si>
    <t>Chupetín CATCH POP x8u.</t>
  </si>
  <si>
    <t>Chupetín CEBOLLITAS Sabor Ananá y Uva x240g.</t>
  </si>
  <si>
    <t>Chupetín CEBOLLITAS Sabor Dulce de Leche x240g.</t>
  </si>
  <si>
    <t>Chupetín CEBOLLITAS Futbol x40u.</t>
  </si>
  <si>
    <t>Chupetín COSMOS Fruta x40u.</t>
  </si>
  <si>
    <t>Chupetín COSMOS Mega con Chicle Surtido x24u.</t>
  </si>
  <si>
    <t>Chupetín CRAZY POP Frutilla x20u.</t>
  </si>
  <si>
    <t>Chupetín CRAZY POP Naranja x20u.</t>
  </si>
  <si>
    <t>Chupetín CRAZY POP Sandía x20u.</t>
  </si>
  <si>
    <t>Chupetín CRAZY POP Uva x20u.</t>
  </si>
  <si>
    <t>Chupetín CREEPY POP x8u.</t>
  </si>
  <si>
    <t>Chupetín EMOTI POP Display x9u.</t>
  </si>
  <si>
    <t>Chupetín FLYNN PAFF Cereza x24u.</t>
  </si>
  <si>
    <t>Chupetín FLYNN PAFF Manzana x24u.</t>
  </si>
  <si>
    <t>Chupetín FLYNN PAFF Sandía/Melón x24u.</t>
  </si>
  <si>
    <t>Chupetín FLYNN PAFF Tutti Frutti x24u.</t>
  </si>
  <si>
    <t>Chupetín FLYNN PAFF Uva x24u.</t>
  </si>
  <si>
    <t>Chupetín FROSTY POP Displa x8u.</t>
  </si>
  <si>
    <t>Chupetín FUN POP Surtido x12u.</t>
  </si>
  <si>
    <t>Chupetín LASER POP Display x6u.</t>
  </si>
  <si>
    <t>Chupetín MARENGO Corazón Cereza Bolsa x50u.</t>
  </si>
  <si>
    <t>Chupetín MARENGO Dulce De Leche Bolsa x50u.</t>
  </si>
  <si>
    <t>Chupetín MARENGO Doblete Frutal Bolsa x50u.</t>
  </si>
  <si>
    <t>Chupetín MARENGO Doblete Frutal Bolsa x80g.</t>
  </si>
  <si>
    <t>Chupetín MARENGO Mini Paleta Emoji Bolsa x50u.</t>
  </si>
  <si>
    <t>Chupetín Masticable BABY DOLL Monsters Uva Display x50u.</t>
  </si>
  <si>
    <t>Chupetin Masticable BABY DOLL Sabor Cereza x40u.</t>
  </si>
  <si>
    <t>Chupetín Masticable SUGUS Fruti Pops x24u.</t>
  </si>
  <si>
    <t>Chupetín Masticable SUPER TATOO Frutilla x50u.</t>
  </si>
  <si>
    <t>Chupetín Masticable SUPER TATOO Tutti Frutti x50u.</t>
  </si>
  <si>
    <t>Chupetin MISKY Bicolor x50u.</t>
  </si>
  <si>
    <t>Chupetín MISKY Pinta Lenguas Mega Pops Bolsa x24u.</t>
  </si>
  <si>
    <t>Chupetín MR.FLOKY Sabor Frutilla Bolsa x24u.</t>
  </si>
  <si>
    <t>Chupetín MR.FLOKY Sabor Uva Bolsa x24u.</t>
  </si>
  <si>
    <t>Chupetín MR.POP Dracu Pops Halloween x24u. Sabor Ananá</t>
  </si>
  <si>
    <t>Chupetín MR. POP EVOLUTION Cereza x10u.</t>
  </si>
  <si>
    <t>Chupetín MR. POP EVOLUTION Blueberry x24u.</t>
  </si>
  <si>
    <t>Chupetín MR. POP EVOLUTION Cereza y Tutti Frutti x24u.</t>
  </si>
  <si>
    <t>Chupetín MR. POP Evolution Extreme Duo x24u.</t>
  </si>
  <si>
    <t>Chupetín MR. POP Evolution Pinta Lengua x24u.</t>
  </si>
  <si>
    <t>CHUP.MR.P.EVOL.x24u.SURT.HALLOWEEN BLOODY (15)</t>
  </si>
  <si>
    <t>Chupetín MR. POP EVOLUTION Surtido x24u.</t>
  </si>
  <si>
    <t>Chupetín MR. POP Frutas x10u.</t>
  </si>
  <si>
    <t>Chupetín MR. POP Frutas x50u.</t>
  </si>
  <si>
    <t>Chupetín MR. POP Trompito Twister x50u.</t>
  </si>
  <si>
    <t>Chupetín MR. POP Yogus x50u.</t>
  </si>
  <si>
    <t>Chupetines PALITOS DE LA SELVA Bolsa x24u. x18g.</t>
  </si>
  <si>
    <t>Chupetín PELOTITAS Pinta Lengua x50u.</t>
  </si>
  <si>
    <t>Chupetín PELOTITAS x50u.</t>
  </si>
  <si>
    <t>Chupetín PELOTITAS Dulce de Leche x50u.</t>
  </si>
  <si>
    <t>Chupetín PELOTITAS Mundial x50u.</t>
  </si>
  <si>
    <t>Chupetin PELOTITAS Futbol x50u.</t>
  </si>
  <si>
    <t>Chupetín PICO DULCE Night x48u.</t>
  </si>
  <si>
    <t>Chupetin PICO DULCE Vaso x10u.</t>
  </si>
  <si>
    <t>Chupetín PICO DULCE x48u.</t>
  </si>
  <si>
    <t>Chupetín PITO PITO x24u.</t>
  </si>
  <si>
    <t>Chupetin POP Lol Surprise x36u.</t>
  </si>
  <si>
    <t>Chupetín PUSH POP x20u.</t>
  </si>
  <si>
    <t>Chupetín RING POP Lol x24u.</t>
  </si>
  <si>
    <t>Chupetín RING POP x12u.</t>
  </si>
  <si>
    <t>Chupetín RING POP x24u.</t>
  </si>
  <si>
    <t>Chupetin Sport POP x6u</t>
  </si>
  <si>
    <t>Chupetín Spring POP Lol x25u.</t>
  </si>
  <si>
    <t>Chupetín SUGUS Party Pops Halloween x432g.</t>
  </si>
  <si>
    <t>Chupetín Surtido MARENGO Frutal Bolsa x50u.</t>
  </si>
  <si>
    <t>Chupetín TEMBLEKE Super Acido x10u.</t>
  </si>
  <si>
    <t>Chupetín TWISTER POP MIX/Fun x8u.</t>
  </si>
  <si>
    <t>Chupetín WAMIS Frutal x50u.</t>
  </si>
  <si>
    <t>Chupetín WAMIS Mágico x50u.</t>
  </si>
  <si>
    <t>Chupaleta Frutal ARGENTINA MARENGO Bolsa x24u.</t>
  </si>
  <si>
    <t>Chupaleta Frutal MARENGO Bolsa x24u.</t>
  </si>
  <si>
    <t>CHUPETONCITOS Lheritier x12u.</t>
  </si>
  <si>
    <t>Chupetín COCO POP x8u.</t>
  </si>
  <si>
    <t>Combo Primavera 2 x70u.</t>
  </si>
  <si>
    <t>Corazon Pinta Lengua MARENGO Bolsa x50u.</t>
  </si>
  <si>
    <t>Chupetin Doggy POP Display x6u.</t>
  </si>
  <si>
    <t>Huevo FACE Zoombies x9u.</t>
  </si>
  <si>
    <t>Huevos FACE GABBY'S Surtidos x9u.</t>
  </si>
  <si>
    <t>Huevos FACE Jurassic World Surtidos x9u.</t>
  </si>
  <si>
    <t>Patitas Frutales MARENGO Bolsa x50u.</t>
  </si>
  <si>
    <t>Unicornio POP x9u.</t>
  </si>
  <si>
    <t xml:space="preserve">GOMAS Y JALEAS </t>
  </si>
  <si>
    <t>Bombones de Fruta MOGUL x500g.</t>
  </si>
  <si>
    <t>Exhibidor TEMBLEKE Halloween x44u.</t>
  </si>
  <si>
    <t>Gomas Misky Colmillosx1k.</t>
  </si>
  <si>
    <t>Gomas Misky Eucalipto x1k.</t>
  </si>
  <si>
    <t>Gomas Misky Fantasía x1k.</t>
  </si>
  <si>
    <t>Gomas Misky JELLY ROLL x1k.</t>
  </si>
  <si>
    <t>Gomas MISKY en Roll Surtido x12u.</t>
  </si>
  <si>
    <t>Gomas Misky Fantasía x12u. x30g.</t>
  </si>
  <si>
    <t>Gomas MOGUL Acido Extreme Tubito x16u. x20g. Sabor Frutilla</t>
  </si>
  <si>
    <t>Gomas MOGUL Acido Extreme Tubito x70g. Sabor Frutilla</t>
  </si>
  <si>
    <t>Gomas MOGUL Anillos x220g.</t>
  </si>
  <si>
    <t>Gomas MOGUL Conitos x250g.</t>
  </si>
  <si>
    <t>Gomas MOGUL Conitos Yogus x500g.</t>
  </si>
  <si>
    <t>Gomas MOGUL Eucaliptus x220g.</t>
  </si>
  <si>
    <t>Gomas MOGUL Extreme Tubito x620g. Sabor Frutilla</t>
  </si>
  <si>
    <t>Gomas MOGUL Extreme Rock x45g. x10u.</t>
  </si>
  <si>
    <t>Gomas MOGUL Extreme Oso x55g. x10u.</t>
  </si>
  <si>
    <t>Gomas MOGUL Extreme Sandia x55g. x10u.</t>
  </si>
  <si>
    <t>Gomas MOGUL Frutales x50g. x10u.</t>
  </si>
  <si>
    <t>Gomas MOGUL Halloween x12u. x30g.</t>
  </si>
  <si>
    <t>Gomas MOGUL Jelly Buttons x220g.</t>
  </si>
  <si>
    <t>Gomas MOGUL Ladrillos Sabor Frutilla Bolsa x150g.</t>
  </si>
  <si>
    <t>Gomas MOGUL Ladrillos Sabor Frutilla Bolsa x500g.</t>
  </si>
  <si>
    <t>Gomas MOGUL Ojitos Halloween x500g.</t>
  </si>
  <si>
    <t>Gomas MOGUL Oso Extremex200g</t>
  </si>
  <si>
    <t>Gomas MOGUL Rodajas Ácidas x50g. x10u.</t>
  </si>
  <si>
    <t>Gomas MOGUL Rollo Ácido Extreme x12u.</t>
  </si>
  <si>
    <t>Gomas MOGUL Surtido Rollo x12u.</t>
  </si>
  <si>
    <t>Gomas MOGUL Sopa Tenebrosa Halloween x50g.</t>
  </si>
  <si>
    <t>Gomas MOGUL Ositos x150g.</t>
  </si>
  <si>
    <t>Gomas MOGUL Eucaliptus x12u.</t>
  </si>
  <si>
    <t>Gomas MOGUL Tutti Frutti x10u. x50g.</t>
  </si>
  <si>
    <t>Gomas MOGUL Cerebritos x12u.</t>
  </si>
  <si>
    <t>Gomas MOGUL Dinos x12u.</t>
  </si>
  <si>
    <t>Gomas MOGUL Ositos x12u.</t>
  </si>
  <si>
    <t>Gomas MOGUL Piecitos x12u.</t>
  </si>
  <si>
    <t>Gomas MOGUL Tiburoncitos x12u.</t>
  </si>
  <si>
    <t>Gomas MOGUL Viboritas x12u.</t>
  </si>
  <si>
    <t>Gomas MOGUL Dientes x150g.</t>
  </si>
  <si>
    <t>Gomas MOGUL Frutilla Acidas x150g.</t>
  </si>
  <si>
    <t>Gomas MOGUL Mora x150g.</t>
  </si>
  <si>
    <t>Gomas MOGUL Anillos x1k.</t>
  </si>
  <si>
    <t>Gomas MOGUL Eucaliptus x1k.</t>
  </si>
  <si>
    <t>Gomas MOGUL Jelly Buttons x1k.</t>
  </si>
  <si>
    <t>Gomas MOGUL Surtida Conitos x1k.</t>
  </si>
  <si>
    <t>Gomas MOGUL Crema y Frutilla x500g.</t>
  </si>
  <si>
    <t>Gomas MOGUL Dientes x500g.</t>
  </si>
  <si>
    <t>Gomas MOGUL Frutilla Acidas x500g.</t>
  </si>
  <si>
    <t>Gomas MOGUL Gusanitos x500g.</t>
  </si>
  <si>
    <t>Gomas MOGUL Mora x500g.</t>
  </si>
  <si>
    <t>Gomas MOGUL Ositos x500g.</t>
  </si>
  <si>
    <t>Gomas MOGUL Sandias x500g.</t>
  </si>
  <si>
    <t>Gomas MOGUL Ositos x80g.</t>
  </si>
  <si>
    <t>Gomas RELYANS Eucaliptus x800g.</t>
  </si>
  <si>
    <t>Gomas RELYANS Frutilla x800g.</t>
  </si>
  <si>
    <t>Gomas RELYANS Frutal x800g.</t>
  </si>
  <si>
    <t>Gomas RELYANS Mentol x800g.</t>
  </si>
  <si>
    <t>Gomas RICOMAS Conitos x500g.</t>
  </si>
  <si>
    <t>Gomas BABY DOLL Surtido x600g.</t>
  </si>
  <si>
    <t>Gomitas FLYNN PAFF Azules x12u. x30g.</t>
  </si>
  <si>
    <t>Gomitas FLYNN PAFF Surtidas x700g. (6)</t>
  </si>
  <si>
    <t>Gomitas FLYNN PAFF Tutti 12u. x30g. (12)</t>
  </si>
  <si>
    <t>Gomitas FUNDIPPERZ x12u. x54g. + Gel Acido</t>
  </si>
  <si>
    <t>Gomas GUMMI ZONE Burguer x24u.</t>
  </si>
  <si>
    <t>Gomas GUMMI ZONE Burguer x18u. x28g. XXL</t>
  </si>
  <si>
    <t>Gomitas GUMMi ZONE Doggie x24u.</t>
  </si>
  <si>
    <t>Gomitas GUMMi ZONE Doggie x36u. x28g. XXL</t>
  </si>
  <si>
    <t>Gomitas GUMMI ZONE Pizza x24u.</t>
  </si>
  <si>
    <t>Gomitas GUMMI ZONE Pizza x24u. x21g. XXL</t>
  </si>
  <si>
    <t>Gomas MISKY Frutigelatin Saurios x12u. x25g.</t>
  </si>
  <si>
    <t>Gomas PICO DULCE Surtido x600g.</t>
  </si>
  <si>
    <t>Pastilla Chiken Chat FUN-Aticos xu.</t>
  </si>
  <si>
    <t>TEMBLEKE Askirata x12u.</t>
  </si>
  <si>
    <t>TEMBLEKE Bruja x10u.</t>
  </si>
  <si>
    <t>TEMBLEKE Dino x14u.</t>
  </si>
  <si>
    <t>TEMBLEKE Emociones x12u.</t>
  </si>
  <si>
    <t>TEMBLEKE Emociones x6u.</t>
  </si>
  <si>
    <t>TEMBLEKE Jelly Draculengua Tira x10u.</t>
  </si>
  <si>
    <t>TEMBLEKE Jelly Cobra Tira x12u.</t>
  </si>
  <si>
    <t>TEMBLEKE JELLY TIRAx12u.RELOJ(12)</t>
  </si>
  <si>
    <t>TEMBLEKE Jelly Princesas x6u.</t>
  </si>
  <si>
    <t>TEMBLEKE Simpsons x20u.</t>
  </si>
  <si>
    <t>TEMBLEKE Sobre Ruedas x14u.</t>
  </si>
  <si>
    <t>TEMBLEKE Tatoo Sorpresa x10u.</t>
  </si>
  <si>
    <t>Tembleke Tira x3u. Simpsons</t>
  </si>
  <si>
    <t>TEMBLEKE Tremblito Domino x10u.</t>
  </si>
  <si>
    <t>TEMBLEKE TREMBLY Bichos Tira x6u.</t>
  </si>
  <si>
    <t>TEMBLEKE Trembly Bunny x6u.</t>
  </si>
  <si>
    <t>TEMBLEKE TREMBLY Corazon tIra x3u.</t>
  </si>
  <si>
    <t>TEMBLEKE TREMBLY Fruta Tira x6u.</t>
  </si>
  <si>
    <t>TEMBLEKE TREMBLY Galactico Tira x6u.</t>
  </si>
  <si>
    <t>TEMBLEKE TREMBLY Gol Tira x6u.</t>
  </si>
  <si>
    <t>TEMBLEKE TREMBLY Pirata Tira x6u.</t>
  </si>
  <si>
    <t>TEMBLEKE TREMBLY Selva Tira x6u.</t>
  </si>
  <si>
    <t>TEMBLEKE TREMBLY Surtido tIra x6u.</t>
  </si>
  <si>
    <t xml:space="preserve">CEREALES </t>
  </si>
  <si>
    <t>Almohaditas Rellenas LASFOR Sabor Avellana x200g.</t>
  </si>
  <si>
    <t>Almohaditas Rellenas LASFOR Sabor Chocolate Suizo x200g.</t>
  </si>
  <si>
    <t>Almohaditas Rellenas LASFOR Sabor Frutilla x200g.</t>
  </si>
  <si>
    <t>Almohaditas Rellenas LASFOR Sabor Mousse de Limón x200g.</t>
  </si>
  <si>
    <t>Almohaditas Rellenas SNUKS Sabor Avellana x240g.</t>
  </si>
  <si>
    <t>Almohaditas Rellenas SNUKS Sabor Chocolate x240g.</t>
  </si>
  <si>
    <t>Almohaditas Rellenas SNUKS Sabor Frutilla x240g.</t>
  </si>
  <si>
    <t>Almohaditas Rellenas SNUKS Sabor Limón x240g.</t>
  </si>
  <si>
    <t>Almohaditas Arroz LEIVA Relleno de Chocolate x125g.</t>
  </si>
  <si>
    <t>Almohaditas Arroz LEIVA Relleno de Frutilla x125g.</t>
  </si>
  <si>
    <t>Almohaditas Arroz LEIVA Relleno de Limon x125g.</t>
  </si>
  <si>
    <t>Aritos LASFOR Frutados x160g.</t>
  </si>
  <si>
    <t>Barra ARROCITAS Arroz Integral Banana Split x19g. xu.</t>
  </si>
  <si>
    <t>Barra ARROCITAS Arroz Integral Chocolate x19g. xu. Sin Harinas</t>
  </si>
  <si>
    <t>Barra ARROCITAS Arroz Integral Frutilla x19g. xu.</t>
  </si>
  <si>
    <t>Barra De Cereal TODDY Sabor Chocolate x21g.</t>
  </si>
  <si>
    <t>Barra De Frutos Secos MUDRA Armonía x35g.</t>
  </si>
  <si>
    <t>Barra De Frutos Secos MUDRA Bienestar x35g.</t>
  </si>
  <si>
    <t>Barra De Frutos Secos MUDRA Energía Vital x35g.</t>
  </si>
  <si>
    <t>Barra NATURAL BREAK Chocolate x38g.</t>
  </si>
  <si>
    <t>Barra NATURAL BREAK Frutos secos x33g.</t>
  </si>
  <si>
    <t>Barra de Cereal WAKE UP Quinoa y Cacao Blanco x20g.</t>
  </si>
  <si>
    <t>Barra de Cereal WAKE UP Quinoa y Chocolate Negro x20g.</t>
  </si>
  <si>
    <t>Bolitas LASFOR Chocolatadas x160g.</t>
  </si>
  <si>
    <t>Cereal FLOW Almendras x30g.</t>
  </si>
  <si>
    <t>Cereal FLOW Avellanas y Arándanos x30g.</t>
  </si>
  <si>
    <t>Cereal FLOW Extra Cacao con Piso de Chocolate x24g.</t>
  </si>
  <si>
    <t>Cereal FLOW Frutas x23g.</t>
  </si>
  <si>
    <t>Cereal FLOW Frutos del Bosque Con Yoghurt x27g.</t>
  </si>
  <si>
    <t>Cereal FLOW Granola Con Frutos del Bosque x23g.</t>
  </si>
  <si>
    <t>Cereal FLOW Granola Chips y Almendras x23g.</t>
  </si>
  <si>
    <t>Cereal FLOW Granola Frutas y Almendras x23g.</t>
  </si>
  <si>
    <t>Cereal FLOW Granola Frutos del Bosque x23g.</t>
  </si>
  <si>
    <t>Cereal FLOW Light Frutos del Bosque Con Yoghurt x24g.</t>
  </si>
  <si>
    <t>Cereal FLOW Manzana Light x21g.</t>
  </si>
  <si>
    <t>Cereal FORT Frutos Rojos Light x19g.</t>
  </si>
  <si>
    <t>Cereal FORT Frutos Action x23g.</t>
  </si>
  <si>
    <t>Cereal FORT Chocolate con Amendras y Miel x19g.</t>
  </si>
  <si>
    <t>Cereal FORT Frutos Flekos x18g.</t>
  </si>
  <si>
    <t>Cereal FORT Frutilla Light x21g.</t>
  </si>
  <si>
    <t>Cereal FORT Granrico x19g.</t>
  </si>
  <si>
    <t>Cereal FORT Kiwi Manzana Light x19g.</t>
  </si>
  <si>
    <t>Cereal FORT Lady x19g.</t>
  </si>
  <si>
    <t>Cereal FORT Manzana x22g.</t>
  </si>
  <si>
    <t>Cereal FORT Nutri x21g.</t>
  </si>
  <si>
    <t>Cereal FORT Original x23g.</t>
  </si>
  <si>
    <t>Cereal FORT Yoghurt Ananá x19g.</t>
  </si>
  <si>
    <t>Cereal MIX Chocolate con Almendras x23g.</t>
  </si>
  <si>
    <t>Cereal MIX Chocolate con Frutilla x26g.</t>
  </si>
  <si>
    <t>Cereal MIX Manzana Light xu.</t>
  </si>
  <si>
    <t>Cereal MIX Light Yoghurt Frutilla x28g.</t>
  </si>
  <si>
    <t>Cereal MIX Original x23g.</t>
  </si>
  <si>
    <t>Cereal MIX Pasión de Chocolate x26g.</t>
  </si>
  <si>
    <t>Cereal MIX Relleno Frutilla x32g.</t>
  </si>
  <si>
    <t>Cereal MIX Yoghurt Frutilla x28g.</t>
  </si>
  <si>
    <t>Cereal MUECAS Banana y Dulce de Leche x45g.</t>
  </si>
  <si>
    <t>Cereal MUECAS Cacao, Avellanas y Coco x45g.</t>
  </si>
  <si>
    <t>Cereal MUECAS Manzana, Nueces y Arandanos x45g.</t>
  </si>
  <si>
    <t>Cereal MUECAS Pasas y Arandanos x45g.</t>
  </si>
  <si>
    <t>Cereal MUECAS Pasas y Almendras x45g.</t>
  </si>
  <si>
    <t>Cereales TODDY Cocoa Blast x200g.</t>
  </si>
  <si>
    <t>Copos De Maíz LASFOR Azucarados x200g.</t>
  </si>
  <si>
    <t>Granola de Almendras y Pasas de Uva x350g.</t>
  </si>
  <si>
    <t>Granola de Frutos Rojos x350g.</t>
  </si>
  <si>
    <t>Mix Cereales NATURAL BREAK Albahaca x8u. x30g.</t>
  </si>
  <si>
    <t>Mix Cereales NATURAL BREAK Mascabo x8u. x30g.</t>
  </si>
  <si>
    <t>SNUKS Aritos Frutales x200g.</t>
  </si>
  <si>
    <t>SNUKS Bolitas de Chocolate x200g.</t>
  </si>
  <si>
    <t xml:space="preserve">SNACKS </t>
  </si>
  <si>
    <t>3D PEPSiCO x143g.</t>
  </si>
  <si>
    <t>3 D Pepsico x25g.</t>
  </si>
  <si>
    <t>3 D PEPSiCO x43g.</t>
  </si>
  <si>
    <t>3D PEPSiCO x85g.</t>
  </si>
  <si>
    <t>3 D PEPSiCO x92g.</t>
  </si>
  <si>
    <t>Almendras DEC ALIMENTOS x250g.</t>
  </si>
  <si>
    <t>Arroz Inflado ORO LEE'S x70g.</t>
  </si>
  <si>
    <t>Arroz Inlfado POW POW x70g.</t>
  </si>
  <si>
    <t>Avena QUAKER Tradicional Fortificada x500g.</t>
  </si>
  <si>
    <t>Bastoncitos KRACHITOS Extra Queso x300g.</t>
  </si>
  <si>
    <t>Bastonitos KRACH-ITOS Queso x55g.</t>
  </si>
  <si>
    <t>Castañas De Caju DEC ALIMENTOS x250g.</t>
  </si>
  <si>
    <t>Cereal de Arroz EL FEDERAL Azucarado x150g.</t>
  </si>
  <si>
    <t>Cereal de Arroz EL FEDERAL Chocolate x150g.</t>
  </si>
  <si>
    <t>Cereal de Arroz EL FEDERAL Tutti Frutti x150g.</t>
  </si>
  <si>
    <t>CEREAL MIX Snack Sin Harina Sabor Cacao x100g.</t>
  </si>
  <si>
    <t>CEREAL MIX SNACKS S/HARINA ORIGINAL x100g.</t>
  </si>
  <si>
    <t>Chizitos KRACH-ITOS x300g.</t>
  </si>
  <si>
    <t>Chizitos KRACHITOS x65g.</t>
  </si>
  <si>
    <t>Chizitos CHEETOS x85g.</t>
  </si>
  <si>
    <t>Chizitos CHEETOS x43g.</t>
  </si>
  <si>
    <t>CONITOX Pizza x100g.</t>
  </si>
  <si>
    <t>CONITOX Queso x100g.</t>
  </si>
  <si>
    <t>Conos KRACHITOS Queso x135g.</t>
  </si>
  <si>
    <t>Conos KRACH-ITOS Queso x50g.</t>
  </si>
  <si>
    <t>CORONITAS Snacks Sabor Jamón x70g.</t>
  </si>
  <si>
    <t>CORONITAS Snacks Sabor Original x70g.</t>
  </si>
  <si>
    <t>CORONITAS Snacks Sabor Pizza x70g.</t>
  </si>
  <si>
    <t>CORONITAS Snacks Sabor Queso x70g.</t>
  </si>
  <si>
    <t>DORITOS Queso x77g.</t>
  </si>
  <si>
    <t>DORITOS Queso x46g.</t>
  </si>
  <si>
    <t>DORITOS Queso x129g.</t>
  </si>
  <si>
    <t>DORITOS Queso x140g.</t>
  </si>
  <si>
    <t>DORITOS Queso x40g.</t>
  </si>
  <si>
    <t>Garbanzos FIT BEANS x75g. Jamon</t>
  </si>
  <si>
    <t>Garbanzos FIT BEANS x75g. Queso</t>
  </si>
  <si>
    <t>Garbanzos FIT BEANS x40g. Sal Marina</t>
  </si>
  <si>
    <t>Garbanzos FIT BEANS x75g. Sal Marina</t>
  </si>
  <si>
    <t>Girasol PIPAS Gigantes x12u.</t>
  </si>
  <si>
    <t>Girasol PIPAS Gigantes x10u.</t>
  </si>
  <si>
    <t>Girasol PIPAS x10u.</t>
  </si>
  <si>
    <t>Girasol PIPAS x30u.</t>
  </si>
  <si>
    <t>Inflado de Arveja POW POW x60g.</t>
  </si>
  <si>
    <t>Inflado de Queso POW POW x60g.</t>
  </si>
  <si>
    <t>Maíz inflado BURBUJAS x15g. x30u.</t>
  </si>
  <si>
    <t>Maíz inflado BURBUJAS x80g.</t>
  </si>
  <si>
    <t>Maiz Inlfado ORO LEE'S x15g.</t>
  </si>
  <si>
    <t>Maiz Inflado ORO LEE'S x70g.</t>
  </si>
  <si>
    <t>Maiz Inlfado POW POW x70g.</t>
  </si>
  <si>
    <t>Mani DEC ALIMENTOS Honey Roasted BBQ x220g.</t>
  </si>
  <si>
    <t>Mani DEC ALIMENTOS Honey Roasted BBQ x75g.</t>
  </si>
  <si>
    <t>Mani DEC ALIMENTOS Honey Roasted Spicy x75g.</t>
  </si>
  <si>
    <t>Mani DEC ALIMENTOS Honey Roasted x220g.</t>
  </si>
  <si>
    <t>Mani DEC ALIMENTOS Honey Roasted x75g.</t>
  </si>
  <si>
    <t>Maní DEC ALIMENTOS Salado x75g.</t>
  </si>
  <si>
    <t>Maní DEC Tostado Sin Sal x250g.</t>
  </si>
  <si>
    <t>Maní DEC Tostado Salado x250g.</t>
  </si>
  <si>
    <t>Mani Honey Roasted Spicy DEC 220gr. x 12u.</t>
  </si>
  <si>
    <t>Maní Pelado KRACH-ITOS Salado x65g.</t>
  </si>
  <si>
    <t>Mix DEC ALIMENTOS Energía x250g.</t>
  </si>
  <si>
    <t>Mix DEC ALIMENTOS Patagónico x250g.</t>
  </si>
  <si>
    <t>Mix DEC ALIMENTOS Power Up Full x250g.</t>
  </si>
  <si>
    <t>Mix DEC ALIMENTOS Power Up x250g.</t>
  </si>
  <si>
    <t>Mix DEC ALIMENTOS Runner x250g.</t>
  </si>
  <si>
    <t>Mix DEC ALIMENTOS Honey Roasted x220g.</t>
  </si>
  <si>
    <t>Mix DEC ALIMENTOS Honey Roasted x35g.</t>
  </si>
  <si>
    <t>Mix DEC ALIMENTOS Salado x35g.</t>
  </si>
  <si>
    <t>Mix DEC ALIMENTOS Saludable x35g.</t>
  </si>
  <si>
    <t>Nachos! MACRITAS Blue x90g.</t>
  </si>
  <si>
    <t>Nachos! MACRITAS Exxtra Grandes x250g.</t>
  </si>
  <si>
    <t>Nachos! MACRITAS Ketchup x70g.</t>
  </si>
  <si>
    <t>Nachos! MACRITAS Multicereal x90g.</t>
  </si>
  <si>
    <t>Nachos! MACRITAS Queso y Jalapeño x90g.</t>
  </si>
  <si>
    <t>Nachos! MACRITAS Queso x70g.</t>
  </si>
  <si>
    <t>Nachos! MACRITAS x130g.</t>
  </si>
  <si>
    <t>Nachos! MACRITAS x150g.</t>
  </si>
  <si>
    <t>Nachos! MACRITAS x250g.</t>
  </si>
  <si>
    <t>Nachos! MACRITAS x90g.</t>
  </si>
  <si>
    <t>Nuez Mariposa DEC ALIMENTOS x250g.</t>
  </si>
  <si>
    <t>Palito Maíz BURBUJAS Queso x80g.</t>
  </si>
  <si>
    <t>Palitos de Arroz DOS HERMANOS Sabor Queso x80g.</t>
  </si>
  <si>
    <t>Palitos Salados BURBUJAS x20u.</t>
  </si>
  <si>
    <t>Palitos Salados KRACHITOS Sabor Queso x500g.</t>
  </si>
  <si>
    <t>Palitos Salados KRACHITOS x500g.</t>
  </si>
  <si>
    <t>Palitos Salados KRACH-ITOS x70g.</t>
  </si>
  <si>
    <t>Palitos Salados KRACH-ITOS Queso x65g.</t>
  </si>
  <si>
    <t>Palitos Salados PEHUAMAR x680g.</t>
  </si>
  <si>
    <t>Palitos Salados PEP x40g.</t>
  </si>
  <si>
    <t>Papas KRACH-ITOS Corte Americano Original x60g.</t>
  </si>
  <si>
    <t>Papas KRACH-ITOS Corte Americano Original x115g.</t>
  </si>
  <si>
    <t>Papas KRACHITOS Corte Americano Original x270g.</t>
  </si>
  <si>
    <t>Papas KRACH-ITOS Corte Americano x420g.</t>
  </si>
  <si>
    <t>Papas KRACHITOS Corte Americano Ketchup x55g.</t>
  </si>
  <si>
    <t>Papas KRACH-ITOS Corte Tradicional Original x115g.</t>
  </si>
  <si>
    <t>Papas KRACHITOS Corte Tradicional Original x270g.</t>
  </si>
  <si>
    <t>Papas KRACH-ITOS Corte Tradicional x420g.</t>
  </si>
  <si>
    <t>Papas KRACHITOS Papas Pay x60g.</t>
  </si>
  <si>
    <t>Papas KRACHITOS Tradicional Original x60g. Sin Sal</t>
  </si>
  <si>
    <t>Papas KRACH-ITOS Tradicional Original x20g.</t>
  </si>
  <si>
    <t>Papas KRACH-ITOS Tradicional Original x30g.</t>
  </si>
  <si>
    <t>Papas KRACH-ITOS Tradicional Cheddar x330g.</t>
  </si>
  <si>
    <t>Papas KRACH-ITOS Tradicional Cheddar x55g.</t>
  </si>
  <si>
    <t>Papas KRACH-ITOS Tradicional Jamón Serrano x55g.</t>
  </si>
  <si>
    <t>Papas KRACH-ITOS Tradicional Original x55g.</t>
  </si>
  <si>
    <t>Papas KRACH-ITOS Tradicional Cheddar x90g.</t>
  </si>
  <si>
    <t>Papas KRACH-ITOS Tradicional Jamón Serrano x90g.</t>
  </si>
  <si>
    <t>Papas KRACHITOS Ketchup x90g.</t>
  </si>
  <si>
    <t>Papas LAYS Cebolla Caramelizada x85g.</t>
  </si>
  <si>
    <t>Papas LAYS Sabor Cheddar x77g.</t>
  </si>
  <si>
    <t>Papas LAYS Jamón Serrano x77g.</t>
  </si>
  <si>
    <t>Papas LAYS Ketchup x34g.</t>
  </si>
  <si>
    <t>Papas LAYS Ketchup x77g.</t>
  </si>
  <si>
    <t>Papas LAYS Mayonesa x34g.</t>
  </si>
  <si>
    <t>Papas LAYS Mayonesa x77g.</t>
  </si>
  <si>
    <t>Papas LAYS Sabor Queso y Cebolla x77g.</t>
  </si>
  <si>
    <t>Papas LAYS x145g.</t>
  </si>
  <si>
    <t>Papas LAYS x85g.</t>
  </si>
  <si>
    <t>Papas LAYS x20g.</t>
  </si>
  <si>
    <t>Papas PEHUAMAR Acanalada x485g.</t>
  </si>
  <si>
    <t>Papas PEHUAMAR x520g.</t>
  </si>
  <si>
    <t>Papas PRINGLES Crema y Cebolla x109g.</t>
  </si>
  <si>
    <t>Papas PRINGLES Queso x109g.</t>
  </si>
  <si>
    <t>Papas PRINGLES Original x104g.</t>
  </si>
  <si>
    <t>Papas PRINGLES Original x37g.</t>
  </si>
  <si>
    <t>Papas PRINGLES Crema y Cebolla x40g.</t>
  </si>
  <si>
    <t>Papas PRINGLES Queso x40g.</t>
  </si>
  <si>
    <t>Pasas De Uva DEC ALIMENTOS Morochas x250g.</t>
  </si>
  <si>
    <t>Pasta De Maní DEC ALIMENTOS x350g.</t>
  </si>
  <si>
    <t>PIPAS Skinny x180g. Natural</t>
  </si>
  <si>
    <t>PIPAS Skinny x180g. Saladas</t>
  </si>
  <si>
    <t>PIPAS Skinny x150g.</t>
  </si>
  <si>
    <t>Ramitas PEP Sabor Queso x40g.</t>
  </si>
  <si>
    <t>Rueditas BURBUJAS Jamon x80g.</t>
  </si>
  <si>
    <t>Rueditas PEP Pizza x40g.</t>
  </si>
  <si>
    <t>Rueditas PEP Pizza x74g.</t>
  </si>
  <si>
    <t>SALADIX Baconzitos x60g.</t>
  </si>
  <si>
    <t>SALADIX Chips Sabor Original x100g.</t>
  </si>
  <si>
    <t>SALADIX Chips Sabor Original x60g.</t>
  </si>
  <si>
    <t>SALADIX Cross Sabor Original x135g.</t>
  </si>
  <si>
    <t>SALADIX Cross Sabor Original x27g.</t>
  </si>
  <si>
    <t>SALADIX Cross Sabor Original x67g.</t>
  </si>
  <si>
    <t>SALADIX Cross Sabor Pizza x135g.</t>
  </si>
  <si>
    <t>SALADIX Cross Sabor Pizza x27g.</t>
  </si>
  <si>
    <t>SALADIX Cross Sabor Pizza x67g.</t>
  </si>
  <si>
    <t>SALADIX Cross Sabor Queso x67g.</t>
  </si>
  <si>
    <t>SALADIX Panchitos x65g.</t>
  </si>
  <si>
    <t>SALADIX Papas Sabor Barbacoa x58g.</t>
  </si>
  <si>
    <t>SALADIX Papas Sabor Barbacoa x95g.</t>
  </si>
  <si>
    <t>SALADIX Papas Sabor Cheddar x30g.</t>
  </si>
  <si>
    <t>SALADIX Papas Sabor Cheddar x58g.</t>
  </si>
  <si>
    <t>SALADIX Papas Sabor Cheddar x95g.</t>
  </si>
  <si>
    <t>SALADIX Papas Sabor Crema y Cebolla x58g.</t>
  </si>
  <si>
    <t>SALADIX Papas Crema y Cebolla x95g.</t>
  </si>
  <si>
    <t>SALADIX Papas Sabor Original x30g.</t>
  </si>
  <si>
    <t>SALADIX Papas Sabor Original x58g.</t>
  </si>
  <si>
    <t>SALADIX Papas Sabor Original x95g.</t>
  </si>
  <si>
    <t>SALADIX Pizzitas x70g.</t>
  </si>
  <si>
    <t>SALADIX Quesitos x32g.</t>
  </si>
  <si>
    <t>SALADIX Quesitos x70g.</t>
  </si>
  <si>
    <t>Snack Manzana Roja Deshidratada x10u. x18g.</t>
  </si>
  <si>
    <t>Snack Manzana Verde Deshidratada x10u. x18g.</t>
  </si>
  <si>
    <t>Trigo Inflado ORO LEE'S x15g.</t>
  </si>
  <si>
    <t>Trigo Inlfado ORO LEE'S x70g.</t>
  </si>
  <si>
    <t xml:space="preserve">ACEITUNAS </t>
  </si>
  <si>
    <t>Aceituna CASTELL Negra Doy Pack x170g.</t>
  </si>
  <si>
    <t>Aceituna CASTELL Negra Doy Pack x90g.</t>
  </si>
  <si>
    <t>Aceituna CASTELL Premium Verde en Frasco x185g.</t>
  </si>
  <si>
    <t>Aceituna CASTELL Premium Verde Rellena en Frasco x185g.</t>
  </si>
  <si>
    <t>Aceituna CASTELL Verde Descarozada Doy Pack x150g.</t>
  </si>
  <si>
    <t>Aceituna CASTELL Verde Descarozada Doy Pack x80g.</t>
  </si>
  <si>
    <t>Aceituna CASTELL Verde Doy Pack x100g.</t>
  </si>
  <si>
    <t>Aceituna CASTELL Verde Doy Pack x180g.</t>
  </si>
  <si>
    <t>Aceituna CASTELL Verde en Rodajas Doy Pack x140g.</t>
  </si>
  <si>
    <t>Aceituna CASTELL Verde Rellena x100g.</t>
  </si>
  <si>
    <t>Aceituna CASTELL Verde en Rodajas Doy Pack x70g.</t>
  </si>
  <si>
    <t>Aceituna CASTELL Verde en Rodajas Doy Pack x80g.</t>
  </si>
  <si>
    <t>Cebollitas CASTELL Frasco x200g.</t>
  </si>
  <si>
    <t>Pepinitos en Vinagre CASTELL Doy Pack x150g.</t>
  </si>
  <si>
    <t>Pepinitos en Vinagre CASTELL Doy Pack x90g.</t>
  </si>
  <si>
    <t>Pickles CASTELL Doy Pack x140g.</t>
  </si>
  <si>
    <t>Pickles CASTELL Doy Pack x90g.</t>
  </si>
  <si>
    <t xml:space="preserve">ACEITE, ADEREZOS Y VINAGRES </t>
  </si>
  <si>
    <t>Aceite CAÑUELAS Girasol x5lt.</t>
  </si>
  <si>
    <t>Aceite de Oliva LA POSTA DEL OLIVO x500ml.</t>
  </si>
  <si>
    <t>Aceite PUREZA Girasol x1,5l.</t>
  </si>
  <si>
    <t>Aceite PUREZA Girasol x900ml.</t>
  </si>
  <si>
    <t>Ketchup NATURA Con Tapa x500g.</t>
  </si>
  <si>
    <t>Mayonesa CAÑUELAS Clásica x250cc.</t>
  </si>
  <si>
    <t>Mayonesa CAÑUELAS Clásica x500cc.</t>
  </si>
  <si>
    <t>Mermelada LA SPEZIA de Aji Picante con Rocoto x200ml.</t>
  </si>
  <si>
    <t>Vinagre De Alcohol LA MINUCHA x960cc.</t>
  </si>
  <si>
    <t xml:space="preserve">CONSERVAS </t>
  </si>
  <si>
    <t>Acelga LA BANDA x350g.</t>
  </si>
  <si>
    <t>Atún NOEL Desmenuzado en Aceite y Agua x170g.</t>
  </si>
  <si>
    <t>Atún NOEL Desmenuzado Natural x170g.</t>
  </si>
  <si>
    <t>Choclo LA BANDA cremoso tetra recart x340g.</t>
  </si>
  <si>
    <t>Choclo LA BANDA amarillo tetra recart x350g.</t>
  </si>
  <si>
    <t>Choclo LA BANDA BlancoCremoso x340g.</t>
  </si>
  <si>
    <t>Choclo LA BANDA Grano Amarillo x300g.</t>
  </si>
  <si>
    <t>Durazno Amarillo LA MINUCHA En Mitades x820g.</t>
  </si>
  <si>
    <t>Espinaca LA BANDA x350g.</t>
  </si>
  <si>
    <t>Garbanzos LA BANDA x350g.</t>
  </si>
  <si>
    <t>Jardinera LA BANDA De Hortalizas Y Legumbres x340g.</t>
  </si>
  <si>
    <t>Lentejas LA BANDA x350g.</t>
  </si>
  <si>
    <t>Pate MAROLIOx90g(24)</t>
  </si>
  <si>
    <t>Pate de Foie SWIFT x90g.</t>
  </si>
  <si>
    <t>Picadillo de Carne SWIFT x90g.</t>
  </si>
  <si>
    <t>Porotos LA BANDA Alubia x350g.</t>
  </si>
  <si>
    <t>Puré de Papas MAMÁ COCINA Tradicional x125g.</t>
  </si>
  <si>
    <t>Puré de Papas MAGGI x125g.</t>
  </si>
  <si>
    <t>Puré de Papas MAGGI x200g.</t>
  </si>
  <si>
    <t>Puré de Papas FLEISS x125g.</t>
  </si>
  <si>
    <t>Remolacha LA BANDA Cubos x350g.</t>
  </si>
  <si>
    <t>Remolacha LA BANDA Rebanadas x350g.</t>
  </si>
  <si>
    <t>Salchichas GRANJA IRIS Junior x12u.</t>
  </si>
  <si>
    <t>Salchichas GRANJA IRIS x12u.</t>
  </si>
  <si>
    <t>Salchichas GRANJA IRIS x6u.</t>
  </si>
  <si>
    <t xml:space="preserve">LEGUMBRES </t>
  </si>
  <si>
    <t>Arvejas Remojadas LA MINUCHA x340g.</t>
  </si>
  <si>
    <t>Garbanzos Secos LA MINUCHA x400g.</t>
  </si>
  <si>
    <t>Lentejas Secas Remojadas LA MINUCHA x340g.</t>
  </si>
  <si>
    <t>Lentejas Secas LA MINUCHA x400g.</t>
  </si>
  <si>
    <t>Maíz Pisingallo LA MINUCHA x400g.</t>
  </si>
  <si>
    <t>Porotos Alubia LA MINUCHA x400g.</t>
  </si>
  <si>
    <t>Porotos Negros LA MINUCHA x400g.</t>
  </si>
  <si>
    <t xml:space="preserve">ENDULZANTES </t>
  </si>
  <si>
    <t>Azúcar ANCASTE x1k.</t>
  </si>
  <si>
    <t>Azúcar HILERET Light x250g.</t>
  </si>
  <si>
    <t>Azúcar HILERET Light x500g.</t>
  </si>
  <si>
    <t>Azúcar Impalpable EMETH x250g.</t>
  </si>
  <si>
    <t>Azúcar La Muñeca x1k. (MAXIMO 50 UNIDADES)</t>
  </si>
  <si>
    <t>Azucar LEDESMA Light x500g.</t>
  </si>
  <si>
    <t>Azucar LEDESMA Rubio Mascabo x800g.</t>
  </si>
  <si>
    <t>Azucar LEDESMA x1000 Sobres</t>
  </si>
  <si>
    <t>Azúcar LEDESMA x1k. (MAXIMO 50 UNIDADES)</t>
  </si>
  <si>
    <t>Edulcorante LEDESMA Cero Stevia x200ml. Liquido</t>
  </si>
  <si>
    <t>Edulcorante LEDESMA Cero Sucra x200ml. Liquido</t>
  </si>
  <si>
    <t>Edulcorante CAÑUELAS Stevia x200ml.</t>
  </si>
  <si>
    <t>Edulcorante CAÑUELAS Sucralosa x200ml.</t>
  </si>
  <si>
    <t>Edulcorante LEDESMA x400 Sobres</t>
  </si>
  <si>
    <t>Edulcorante LEDESMA x50 Sobres</t>
  </si>
  <si>
    <t>Edulcorante HILERET Clásico Forte x100 Sobres</t>
  </si>
  <si>
    <t>Edulcorante HILERET Clásico Forte x50 Sobres</t>
  </si>
  <si>
    <t>Edulcorante HILERET Clásico Forte x500 Sobres</t>
  </si>
  <si>
    <t>Edulcorante HILERET Clásico Forte x250cc</t>
  </si>
  <si>
    <t>Edulcorante HILERET Clásico Forte x500cc</t>
  </si>
  <si>
    <t>Edulcorante HILERET Clásico Sweet Forte x400 Sobres</t>
  </si>
  <si>
    <t>Edulcorante HILERET Stevia Forte x100 Sobres</t>
  </si>
  <si>
    <t>Edulcorante HILERET Forte Stevia x200cc.</t>
  </si>
  <si>
    <t>Edulcorante HILERET Stevia Forte x50 Sobres</t>
  </si>
  <si>
    <t>Edulcorante HILERET SWEET Forte x100 Sobres</t>
  </si>
  <si>
    <t>Edulcorante HILERET SWEET Forte x200cc.</t>
  </si>
  <si>
    <t>Edulcorante HILERET SWEET Forte x50 Sobres</t>
  </si>
  <si>
    <t>Edulcorante HILERET Sweet Sobres x100u.</t>
  </si>
  <si>
    <t>Edulcorante HILERET Zucra Forte Sobres x100u.</t>
  </si>
  <si>
    <t>Edulcorante HILERET Forte Zucra Líquido x400cc.</t>
  </si>
  <si>
    <t>Edulcorante HILERET Zucra Forte x200cc.</t>
  </si>
  <si>
    <t>Edulcorante HILERET ZUCRA Forte x50 Sobres</t>
  </si>
  <si>
    <t>Edulcorante LEDESMA Stevia 0% Calorías x48 Sobres</t>
  </si>
  <si>
    <t>Edulcorante LEDESMA Stevia 0% Calorias x96 Sobres</t>
  </si>
  <si>
    <t>Edulcorante LEDESMA Sucralosa x48 Sobres</t>
  </si>
  <si>
    <t>Edulcorante Reposteria Si DIET Líquido x200cc.</t>
  </si>
  <si>
    <t>Edulcorante Reposteria Si DIET Líquido x500cc.</t>
  </si>
  <si>
    <t>Edulcorante Reposteria Si DIET Líquido x600cc.</t>
  </si>
  <si>
    <t>Edulcorante Si DIET Stevia Líquido x200cc.</t>
  </si>
  <si>
    <t>Edulcorante Si DIET Stevia Líquido x500cc.</t>
  </si>
  <si>
    <t>Edulcorante Si DIET Líquido x500cc.</t>
  </si>
  <si>
    <t>Edulcorante Si DIET Líquido x600cc.</t>
  </si>
  <si>
    <t xml:space="preserve">POSTRES Y REPOSTERIA </t>
  </si>
  <si>
    <t>Baño de Repostería ÁGUILA Blanco x150g.</t>
  </si>
  <si>
    <t>Baño de Repostería ÁGUILA Celeste x150g.</t>
  </si>
  <si>
    <t>Baño de Repostería ÁGUILA Leche x150g.</t>
  </si>
  <si>
    <t>Baño de Repostería ÁGUILA Rosa x150g.</t>
  </si>
  <si>
    <t>Baño de Repostería ÁGUILA Semiamargo x150g.</t>
  </si>
  <si>
    <t>Bizcochuelo CONDESA Sabor Chocolate x750g.</t>
  </si>
  <si>
    <t>Bizcochuelo CONDESA Sabor Vainilla x750g.</t>
  </si>
  <si>
    <t>Bizcochuelo CONDESA Sabor Chocolate x500g.</t>
  </si>
  <si>
    <t>Bizcochuelo CONDESA Sabor Vainilla x500g.</t>
  </si>
  <si>
    <t>Bizcochuelo EMETH con Chips x450g.</t>
  </si>
  <si>
    <t>Bizcochuelo EMETH Chocolate x450g.</t>
  </si>
  <si>
    <t>Bizcochuelo EMETH Limón x450g.</t>
  </si>
  <si>
    <t>Bizcochuelo EMETH Naranja x450g.</t>
  </si>
  <si>
    <t>Bizcochuelo EMETH Vainilla x450g.</t>
  </si>
  <si>
    <t>Bizcochuelo MAMÁ COCINA Con Vitamina ''D'' Chocolate x540g.</t>
  </si>
  <si>
    <t>Bizcochuelo MAMÁ COCINA con Vitamina D Vainilla x540g.</t>
  </si>
  <si>
    <t>Premezcla para Brownies EMETH x425g.</t>
  </si>
  <si>
    <t>Crema de BON O BON x290g.</t>
  </si>
  <si>
    <t>Crema de COFLER BLOCK x290g.</t>
  </si>
  <si>
    <t>Crema LA SERENISIMA Culinaria Fuente de Vitaminas Tetra x200ml.</t>
  </si>
  <si>
    <t>Crema LA SERENISIMA Culinaria 20% Grasas x200ml.</t>
  </si>
  <si>
    <t>Crema LA SERENISIMA Fortificada x330ml.</t>
  </si>
  <si>
    <t>Crema LA SERENISIMA Para Batir x200ml.</t>
  </si>
  <si>
    <t>Crema LA SERENISIMA Pasteurizada Tetra x330ml.</t>
  </si>
  <si>
    <t>Crema LA SERENISIMA Tetra x200ml.</t>
  </si>
  <si>
    <t>Cubre Tortas AGUILA 3 en 1 x290g.</t>
  </si>
  <si>
    <t>Flan EMETH Light Dulce de Leche x30g.</t>
  </si>
  <si>
    <t>Flan EMETH Light Vainilla x30g.</t>
  </si>
  <si>
    <t>Flan EMETH Chocolate x60g.</t>
  </si>
  <si>
    <t>Flan EMETH Dulce de Leche x60g.</t>
  </si>
  <si>
    <t>Flan EMETH Vainilla x60g.</t>
  </si>
  <si>
    <t>Gelatina EMETH Light Cereza x25g.</t>
  </si>
  <si>
    <t>Gelatina EMETH Light Durazno x25g.</t>
  </si>
  <si>
    <t>Gelatina EMETH Light Frutilla x25g.</t>
  </si>
  <si>
    <t>Gelatina EMETH Ananá x25g.</t>
  </si>
  <si>
    <t>Gelatina EMETH Cereza x70g.</t>
  </si>
  <si>
    <t>Gelatina EMETH Durazno x70g.</t>
  </si>
  <si>
    <t>Gelatina EMETH Frambuesa x70g.</t>
  </si>
  <si>
    <t>Gelatina EMETH Frutilla x70g.</t>
  </si>
  <si>
    <t>Gelatina EMETH Naranja x70g.</t>
  </si>
  <si>
    <t>Manteca LA SERENISIMA Multi Vitaminas x100g.</t>
  </si>
  <si>
    <t>NUTELLA Ferrero x140g.</t>
  </si>
  <si>
    <t>Pionono CONDESA Salado x150g.</t>
  </si>
  <si>
    <t>Pionono CONDESA Vainilla x150g.</t>
  </si>
  <si>
    <t>Pionono Dulce BONAFIDE x180g.</t>
  </si>
  <si>
    <t>Relleno ÁGUILA Avellanas x290g.</t>
  </si>
  <si>
    <t>Queso Blanco LA SERENISIMA Entero Fortificado Pote x290g.</t>
  </si>
  <si>
    <t>Queso Blanco LA SERENISIMA Light Fortificado Pote x290g.</t>
  </si>
  <si>
    <t>Queso Crema CASANCREM Entero Con Vitaminas x290g.</t>
  </si>
  <si>
    <t>Queso Crema CASANCREM Light Fortificado x290g.</t>
  </si>
  <si>
    <t>Queso CREMON Cremoso Horma x3k.</t>
  </si>
  <si>
    <t>Queso CREMON Cremoso x500g.</t>
  </si>
  <si>
    <t>Queso CREMON Desayuno Light Pote x280g.</t>
  </si>
  <si>
    <t>Queso LA SERENISIMA Finlandia Clasico Pote Azul x180g.</t>
  </si>
  <si>
    <t>Queso LA SERENISIMA Pategrás Selección sin Lactosa x340g.</t>
  </si>
  <si>
    <t>Queso PORT SALUT sin Lactosa Light x500g.</t>
  </si>
  <si>
    <t>Queso PORT SALUT sin Lactosa Pote x500g.</t>
  </si>
  <si>
    <t>Queso SAINT PAULIN sin Lactosa x500g.</t>
  </si>
  <si>
    <t>Salsa AGUILA Chocolate x320g.</t>
  </si>
  <si>
    <t xml:space="preserve">INFUSIONES </t>
  </si>
  <si>
    <t>Botella Térmica TARAGÜI</t>
  </si>
  <si>
    <t>Café con Leche NESCAFÉ DOLCA en Doy Pack x125g.</t>
  </si>
  <si>
    <t>Cacao NESQUIK x180g.</t>
  </si>
  <si>
    <t>Cacao NESQUIK x360g.</t>
  </si>
  <si>
    <t>Cacao SUPERKAO x180g.</t>
  </si>
  <si>
    <t>Cacao TODDY x180g.</t>
  </si>
  <si>
    <t>Cacao TODDY x360g.</t>
  </si>
  <si>
    <t>Cacao TODDY x800g.</t>
  </si>
  <si>
    <t>Cafe 5 HISPANOS Saquito x20u.</t>
  </si>
  <si>
    <t>Café SENSACIONES Intenso x125g.</t>
  </si>
  <si>
    <t>Café SENSACIONES Intenso x250g.</t>
  </si>
  <si>
    <t>Café SENSACIONES Intenso x500g.</t>
  </si>
  <si>
    <t>Café SENSACIONES Suave x125g.</t>
  </si>
  <si>
    <t>Café SENSACIONES Suave x1k.</t>
  </si>
  <si>
    <t>Café SENSACIONES Suave x250g.</t>
  </si>
  <si>
    <t>Café SENSACIONES Suave x500g.</t>
  </si>
  <si>
    <t>Café SENSACIONES Intenso en Saquitos x18u.</t>
  </si>
  <si>
    <t>Latte NESCAFÉ DOLCA en Doy Pack x125g.</t>
  </si>
  <si>
    <t>Cappuccino NESCAFÉ DOLCA en Doy Pack x125g.</t>
  </si>
  <si>
    <t>Capsulas COFFEE BREAK Fuerte x10u.</t>
  </si>
  <si>
    <t>Capsulas COFFEE BREAK Intermedio x10u.</t>
  </si>
  <si>
    <t>Capsulas COFFEE BREAK Millennials Latte Capuccino x10u.</t>
  </si>
  <si>
    <t>Capsulas COFFEE BREAK Millennial Chocolatada x10u.</t>
  </si>
  <si>
    <t>Capsulas COFFEE BREAK Millennials Latte Dulce de Leche x10u.</t>
  </si>
  <si>
    <t>Capsulas COFFEE BREAK Millennials Latte Vainilla x10u.</t>
  </si>
  <si>
    <t>Capsulas COFFEE BREAK Suave x10u.</t>
  </si>
  <si>
    <t>Capsulas COFFEE BREAK Tradicional Café con Leche x10u.</t>
  </si>
  <si>
    <t>Capsulas COFFEE BREAK Tradicional Cortado x10u.</t>
  </si>
  <si>
    <t>Capsulas COFFEE BREAK Tradicional Espresso x10u.</t>
  </si>
  <si>
    <t>Capsulas COFFEE BREAK Tradicional Lagrima x10u.</t>
  </si>
  <si>
    <t>Café Cortado NESCAFÉ DOLCA en Doy Pack x125g.</t>
  </si>
  <si>
    <t>Filtro De Cafe MELITTA N° 4x30u.</t>
  </si>
  <si>
    <t>Mate Cocido ARROYO VERDE Sin Sobre Envoltura x25u.</t>
  </si>
  <si>
    <t>Mate Cocido TARAGÜI Diamantado x25u.</t>
  </si>
  <si>
    <t>Mate Cocido TARAGÜI Diamantado x50u.</t>
  </si>
  <si>
    <t>Mate Cocido TARAGÜI x25u.</t>
  </si>
  <si>
    <t>Mate Cocido UNION Diamantado x25u.</t>
  </si>
  <si>
    <t>Mate Cocido UNION Diamantado x50u.</t>
  </si>
  <si>
    <t>Mate Cocido UNIÓN x25u.</t>
  </si>
  <si>
    <t>Mate Listo TARAGÜI</t>
  </si>
  <si>
    <t>Café NESCAFÉ DOLCA en Frasco x100g.</t>
  </si>
  <si>
    <t>Café NESCAFÉ DOLCA en Frasco x50g.</t>
  </si>
  <si>
    <t>Café NESCAFÉ DOLCA Suave en Frasco x100g.</t>
  </si>
  <si>
    <t>Café NESCAFÉ DOLCA Suave en Frasco x50g.</t>
  </si>
  <si>
    <t>NESCAFE Frasco x100g.</t>
  </si>
  <si>
    <t>Te Negro ARROYO VERDE Sin Sobre Envoltura x25u.</t>
  </si>
  <si>
    <t>Té TARAGÜI Diamantado x100u.</t>
  </si>
  <si>
    <t>Té TARAGÜI Diamantado x25u.</t>
  </si>
  <si>
    <t>Té TARAGÜI Diamantado x50u.</t>
  </si>
  <si>
    <t>Té TARAGÜI Boldo x10u.</t>
  </si>
  <si>
    <t>Té TARAGÜI Manzanilla x10u.</t>
  </si>
  <si>
    <t>Té TARAGÜI Mezcla de Hierbas x10u.</t>
  </si>
  <si>
    <t>Té TARAGÜI Tilo x10u.</t>
  </si>
  <si>
    <t>Té TARAGÜI x50u.</t>
  </si>
  <si>
    <t>Yerba ARROYO VERDE x500g.</t>
  </si>
  <si>
    <t>Yerba CANARIAS x1kg.</t>
  </si>
  <si>
    <t>Yerba CANARIAS x500g.</t>
  </si>
  <si>
    <t>Yerba CBSE Cormillot Edulife x500g. (12)</t>
  </si>
  <si>
    <t>Yerba CBSE Cormillot Regulase x500g. (12)</t>
  </si>
  <si>
    <t>Yerba CBSE Frutos del Bosque x500g. (12)</t>
  </si>
  <si>
    <t>Yerba CBSE Hierbas Serranas x1k. (12)</t>
  </si>
  <si>
    <t>Yerba CBSE Jengibre x500g.</t>
  </si>
  <si>
    <t>Yerba CBSE Pomelo x500g. (12)</t>
  </si>
  <si>
    <t>Yerba CRUZ DE MALTA Selección x500g.</t>
  </si>
  <si>
    <t>Yerba MAÑANITA x500g.</t>
  </si>
  <si>
    <t>Yerba Mate BUENAS Y SANTAS x500g.</t>
  </si>
  <si>
    <t>Yerba Mate ORIGEN x500g.</t>
  </si>
  <si>
    <t>Yerba NOBLEZA GAUCHA Molienda Especial x500g</t>
  </si>
  <si>
    <t>Yerba Mate TARAGÜI x500g.</t>
  </si>
  <si>
    <t>Yerba Mate UNIÓN x500g.</t>
  </si>
  <si>
    <t xml:space="preserve">HARINAS Y PREMEZCLAS </t>
  </si>
  <si>
    <t>Harina CAÑUELAS Ultra Refinada 000 con Vitamina D x1k.</t>
  </si>
  <si>
    <t>Harina De Trigo LA MINUCHA 000 x1kg.</t>
  </si>
  <si>
    <t>Harina De Trigo LA MINUCHA 0000 x1kg.</t>
  </si>
  <si>
    <t>Harina De Trigo LA MINUCHA Leudante x1kg.</t>
  </si>
  <si>
    <t>Harina de Maíz MONARCA x1k.</t>
  </si>
  <si>
    <t>Harina PUREZA 000 x1k.</t>
  </si>
  <si>
    <t>Harina PUREZA 0000 Ultra ReFinada x1k.</t>
  </si>
  <si>
    <t>Harina PUREZA 100% Integral con Levadura x1k.</t>
  </si>
  <si>
    <t>Harina PUREZA 100% Integral x1k.</t>
  </si>
  <si>
    <t>Harina PUREZA con Levadura Especial para Pizzas con Masa Madre x1k.</t>
  </si>
  <si>
    <t>Harina PUREZA con Levadura Especial para Pizzas x1k.</t>
  </si>
  <si>
    <t>Harina PUREZA Leudante 0% Sodio x1k.</t>
  </si>
  <si>
    <t>Harina PUREZA Leudante Ultra Refinada Con Vitamina D x1k.</t>
  </si>
  <si>
    <t>Premezcla MAMÁ COCINA Chipá x250g.</t>
  </si>
  <si>
    <t>Premezcla MAMÁ COCINA Ñoquis de Papa x400g.</t>
  </si>
  <si>
    <t>Premezcla MAMÁ COCINA Pizza x500g.</t>
  </si>
  <si>
    <t xml:space="preserve">PAN Y QUESO RALLADO </t>
  </si>
  <si>
    <t>Pan Rallado MAMÁ COCINA Plus x500g.</t>
  </si>
  <si>
    <t>Pan rallado RIERA x500g.</t>
  </si>
  <si>
    <t>Queso Rallado EL GURISITO x40g. x20u (4)</t>
  </si>
  <si>
    <t>Queso Rallado LA SERENISIMA x35g.</t>
  </si>
  <si>
    <t>Rebozador para Freir MAMÁ.COCINA x500g.</t>
  </si>
  <si>
    <t>Rebozador para Horno MAMÁ COCINA Plus x500g.</t>
  </si>
  <si>
    <t xml:space="preserve">LINEA ROJA </t>
  </si>
  <si>
    <t>Pulpa De Tomate DE LA HUERTA x205g.</t>
  </si>
  <si>
    <t>Pulpa De Tomate DE LA HUERTA x520g.</t>
  </si>
  <si>
    <t>Pure De Tomate LA MINUCHA x520g.</t>
  </si>
  <si>
    <t>Puré de Tomate DE LA HUERTA Tetra Recart x133g. x18u.</t>
  </si>
  <si>
    <t>Pure de Tomate DE LA HUERTA Tetra Recart x1030g.</t>
  </si>
  <si>
    <t>Pure de Tomate DE LA HUERTA Tetra Recart x210g.</t>
  </si>
  <si>
    <t>Pure de Tomate DE LA HUERTA Tetra Recart x530g.</t>
  </si>
  <si>
    <t>Salsa MOLTO Pomarola Tetra Recart x360g.</t>
  </si>
  <si>
    <t>Salsa NOEL Pizza Doy Pack x340g.</t>
  </si>
  <si>
    <t>Salsa NOEL Pomarola Doy Pack x340g.</t>
  </si>
  <si>
    <t>Salsa NOEL Portuguesa Doy Pack x340g.</t>
  </si>
  <si>
    <t>Salsa NOEL Filetto Doy Pack x340g.</t>
  </si>
  <si>
    <t>Tomate Perita NOEL Lata x240g.</t>
  </si>
  <si>
    <t>Tomate Triturado LA MINUCHA Botella x910g.</t>
  </si>
  <si>
    <t>Tomate Triturado LA MINUCHA Lata x8kg.</t>
  </si>
  <si>
    <t xml:space="preserve">DULCES Y MERMELADAS </t>
  </si>
  <si>
    <t>Dulce de Leche ESTANCIA EL PLACER Sachet x400g.</t>
  </si>
  <si>
    <t>Dulce De Leche LA SERENISIMA 70% Reducido En Lactosa x300g.</t>
  </si>
  <si>
    <t>Dulce de Leche LA SERENISIMA Clasico Fuente de Calcio x400g.</t>
  </si>
  <si>
    <t>Dulce de Leche LA SERENISIMA Colonial Fuente de Calcio x250g.</t>
  </si>
  <si>
    <t>Dulce de Leche LA SERENISIMA Colonial Fuente de Calcio x400g.</t>
  </si>
  <si>
    <t>Dulce de Leche LA SERENISIMA Repostero x400g.</t>
  </si>
  <si>
    <t>Dulce de Leche LA SERENISIMA Tradición Argentina con Fuente de Calciox400g.</t>
  </si>
  <si>
    <t>Dulce de Leche ESTANCIA EL PLACER Repostero Sachet x400g.</t>
  </si>
  <si>
    <t>Dulce de Batata NOEL con Chocolate Cajón x5k.</t>
  </si>
  <si>
    <t>Dulce de Batata NOEL Cajón x5k.</t>
  </si>
  <si>
    <t>Dulce De Leche FANTOCHE Frasco x450g.</t>
  </si>
  <si>
    <t>Dulce de Leche LATTE x400g.</t>
  </si>
  <si>
    <t>Dulce de Membrillo EMETH en Pouch x500g.</t>
  </si>
  <si>
    <t>Dulce de Membrillo NOEL Cajón x5k.</t>
  </si>
  <si>
    <t>Jalea de Membrillo EMETH x454g.</t>
  </si>
  <si>
    <t>Mermelada Frutas DE LA HUERTA Baggio Multifrutal x 454g.</t>
  </si>
  <si>
    <t>Mermelada EMETH Ciruela Pote x420g.</t>
  </si>
  <si>
    <t>Mermelada EMETH Damasco Pote x420g.</t>
  </si>
  <si>
    <t>Mermelada EMETH Durazno Pote x420g.</t>
  </si>
  <si>
    <t>Mermelada EMETH Frutilla Pote x420g.</t>
  </si>
  <si>
    <t>Mermelada EMETH Frambuesa Pote x420g.</t>
  </si>
  <si>
    <t>Mermelada EMETH Frutos Del Bosque Pote x420g.</t>
  </si>
  <si>
    <t>Mermelada EMETH Manzana Pote x420g.</t>
  </si>
  <si>
    <t>Mermelada EMETH Naranja Pote x420g.</t>
  </si>
  <si>
    <t>Mermelada EMETH Diet Ciruela Pote x420g.</t>
  </si>
  <si>
    <t>Mermelada EMETH Diet Durazno Pote x420g.</t>
  </si>
  <si>
    <t>Mermelada EMETH Diet Frutilla Pote x420g.</t>
  </si>
  <si>
    <t>Mermelada EMETH Diet Frambuesa Pote x420g.</t>
  </si>
  <si>
    <t>Mermelada EMETH Diet Manzana Pote x420g.</t>
  </si>
  <si>
    <t>Mermelada EMETH Diet Naranja Pote x420g.</t>
  </si>
  <si>
    <t>Mermelada EMETH Arándanos Frasco x454g.</t>
  </si>
  <si>
    <t>Mermelada EMETH Ciruela Frasco x454g.</t>
  </si>
  <si>
    <t>Mermelada EMETH Diet Arandano Frasco x454g.</t>
  </si>
  <si>
    <t>Mermelada EMETH Diet Ciruela Frasco x390g.</t>
  </si>
  <si>
    <t>Mermelada EMETH Diet Damasco Frasco x390g.</t>
  </si>
  <si>
    <t>Mermelada EMETH Diet Durazno Frasco x390g.</t>
  </si>
  <si>
    <t>Mermelada EMETH Diet Frutilla Frasco x390g.</t>
  </si>
  <si>
    <t>Mermelada EMETH Diet Frambuesa Frasco x390g.</t>
  </si>
  <si>
    <t>Mermelada EMETH Diet Frutos del Bosque Frasco x390g.</t>
  </si>
  <si>
    <t>Mermelada EMETH Diet Maracuya Frasco x454g.</t>
  </si>
  <si>
    <t>Mermelada EMETH Diet Naranja Frasco x390g.</t>
  </si>
  <si>
    <t>Mermelada EMETH Damasco Frasco x454g.</t>
  </si>
  <si>
    <t>Mermelada EMETH Durazno Frasco x454g.</t>
  </si>
  <si>
    <t>Mermelada EMETH Frutilla Frasco x454g.</t>
  </si>
  <si>
    <t>Mermelada EMETH Frambuesa Frasco x454g.</t>
  </si>
  <si>
    <t>Mermelada EMETH Frutos del Bosque Frasco x454g.</t>
  </si>
  <si>
    <t>Mermelada EMETH Maracuya Frasco x454g.</t>
  </si>
  <si>
    <t>Mermelada EMETH Naranja Frasco x454g.</t>
  </si>
  <si>
    <t>Mermelada NOEL Ciruela Frasco x 454g.</t>
  </si>
  <si>
    <t>Mermelada NOEL Damasco Frasco x454g.</t>
  </si>
  <si>
    <t>Mermelada NOEL Durazno Frasco x454g.</t>
  </si>
  <si>
    <t>Mermelada NOEL Frutilla Frasco x454g.</t>
  </si>
  <si>
    <t>Mermelada NOEL Naranja Frasco x454g.</t>
  </si>
  <si>
    <t>Mermelada NOEL Diet Ciruela Frasco x454g.</t>
  </si>
  <si>
    <t>Mermelada NOEL Diet Damasco Frasco x454g.</t>
  </si>
  <si>
    <t>Mermelada NOEL Diet Durazno Frasco x454g.</t>
  </si>
  <si>
    <t>Mermelada NOEL Diet Frutilla Frasco x454g.</t>
  </si>
  <si>
    <t>Mermelada NOEL Diet Naranja Frasco x454g.</t>
  </si>
  <si>
    <t xml:space="preserve">FIDEOS Y ARROZ </t>
  </si>
  <si>
    <t>Arroz DOS HERMANOS Doble x500g.</t>
  </si>
  <si>
    <t>Arroz DOS HERMANOS Parboil x1Kg.</t>
  </si>
  <si>
    <t>Arroz DOS HERMANOS Parboil x500g.</t>
  </si>
  <si>
    <t>Arroz DOS HERMANOS Integral x1Kg.</t>
  </si>
  <si>
    <t>Arroz DOS HERMANOS Largo Fino x1Kg.</t>
  </si>
  <si>
    <t>Arroz DOS HERMANOS Largo Fino x500g.</t>
  </si>
  <si>
    <t>Arroz EL FEDERAL x1kg.</t>
  </si>
  <si>
    <t>Arroz Largo Fino LA MINUCHA 0000 x1kg.</t>
  </si>
  <si>
    <t>Arroz Largo Fino LA MINUCHA 00000 x1kg.</t>
  </si>
  <si>
    <t>Arroz LOISi Quebrado x1k.</t>
  </si>
  <si>
    <t>Arroz MOLINOS ALA Doble Carolina x500g.</t>
  </si>
  <si>
    <t>Arroz MOLINOS ALA Dorado x500g.</t>
  </si>
  <si>
    <t>Arroz Vaso BOX Primavera x85g.</t>
  </si>
  <si>
    <t>Fideos SAN AGUSTÍN Mostachol Integrales x500g.</t>
  </si>
  <si>
    <t>Fideos SAN AGUSTÍN Ave María x500g.</t>
  </si>
  <si>
    <t>Fideos SAN AGUSTÍN Cabellos de Ángel x500g.</t>
  </si>
  <si>
    <t>Fideos SAN AGUSTÍN Celentano x500g.</t>
  </si>
  <si>
    <t>Fideos SAN AGUSTÍN Coditos x500g.</t>
  </si>
  <si>
    <t>Fideos SAN AGUSTÍN Dedalitos x500g.</t>
  </si>
  <si>
    <t>Fideos SAN AGUSTÍN Mostachol x500g.</t>
  </si>
  <si>
    <t>Fideos SAN AGUSTÍN Municiones x500g.</t>
  </si>
  <si>
    <t>Fideos SAN AGUSTÍN Nido Ancho x500g.</t>
  </si>
  <si>
    <t>Fideos SAN AGUSTÍN Nido Angosto x500g.</t>
  </si>
  <si>
    <t>Fideos SAN AGUSTÍN Pamperito x500g.</t>
  </si>
  <si>
    <t>Fideos SAN AGUSTÍN Rigatti x500g.</t>
  </si>
  <si>
    <t>Fideos SAN AGUSTÍN Spaguetti x500g.</t>
  </si>
  <si>
    <t>Fideos SAN AGUSTÍN Tallarin x500g.</t>
  </si>
  <si>
    <t>Fideos SAN AGUSTÍN Tirabuzón x500g.</t>
  </si>
  <si>
    <t>Fideos VASO BOX Bolognesax64g.(12)</t>
  </si>
  <si>
    <t>Fideos Vaso BOX Espinaca y Brocoli x64g.</t>
  </si>
  <si>
    <t>Fideos Vaso BOX Fileto x64g.</t>
  </si>
  <si>
    <t>Fideos Vaso BOX Queso x64g.</t>
  </si>
  <si>
    <t>Fideos Vaso BOX Salsa Rosa x64g.</t>
  </si>
  <si>
    <t>Sopa BOX Pollo Anillitos x45g.</t>
  </si>
  <si>
    <t>Sopa BOX Pollo Ramen x45g.</t>
  </si>
  <si>
    <t>Sopa BOX Vegetales Con Anillitos x45g.</t>
  </si>
  <si>
    <t>Sopa BOX Vegetales Ramen x45g.</t>
  </si>
  <si>
    <t xml:space="preserve">FIESTAS </t>
  </si>
  <si>
    <t>Almendras VIZZIO x72g.</t>
  </si>
  <si>
    <t>Almendras con Chocolate GEORGALOS x80g.</t>
  </si>
  <si>
    <t>Almendras GEORGALOS Estuchadas Con Chocolate x100g.</t>
  </si>
  <si>
    <t>Almendras VIZZIO Estuche Corazón x100g.</t>
  </si>
  <si>
    <t>Almendras VIZZIO x100g.</t>
  </si>
  <si>
    <t>ARCOR Chocolatosos X70G.</t>
  </si>
  <si>
    <t>Budin ARCOR Con Frutas x215g.</t>
  </si>
  <si>
    <t>Budin ARCOR Marmolado x215g.</t>
  </si>
  <si>
    <t>Budin BAGLEY Con Chocolate x215g.</t>
  </si>
  <si>
    <t>Budin BAGLEY Con Frutas x215g.</t>
  </si>
  <si>
    <t>Budin BAGLEY Con Limon x215g.</t>
  </si>
  <si>
    <t>Budin BAGLEY Marmolado x215g.</t>
  </si>
  <si>
    <t>Budin BAGLEY Sin Frutas x215g.</t>
  </si>
  <si>
    <t>Budin BONAFIDE con Chips de Chocolate x200g.</t>
  </si>
  <si>
    <t>Budin BONAFIDE Con Frutas x200g.</t>
  </si>
  <si>
    <t>Budin BONAFIDE Limon x200g.</t>
  </si>
  <si>
    <t>Budin BONAFIDE Marmolado x200g.</t>
  </si>
  <si>
    <t>Budin BONAFIDE Vainilla x200g.</t>
  </si>
  <si>
    <t>Budin CONDESA Con Frutas x170g.</t>
  </si>
  <si>
    <t>Budin CONDESA Marmolado x170g.</t>
  </si>
  <si>
    <t>Budin CONDESA Vainilla Con Chips x170g.</t>
  </si>
  <si>
    <t>Budin CONDESA Vainilla x170g.</t>
  </si>
  <si>
    <t>Budin DON SATUR Con Fruta x190g.</t>
  </si>
  <si>
    <t>Budin DON SATUR Con Chips x190g.</t>
  </si>
  <si>
    <t>Budin DON SATUR Marmolado x190g.</t>
  </si>
  <si>
    <t>Budin DON SATUR Vainilla x190g.</t>
  </si>
  <si>
    <t>Budin FANTOCHE Con Chips x220g</t>
  </si>
  <si>
    <t>Budin FANTOCHE Con Frutas x220g.</t>
  </si>
  <si>
    <t>Budin FANTOCHE Marmolado x220g.</t>
  </si>
  <si>
    <t>Budin FANTOCHE Sin Frutas x220g.</t>
  </si>
  <si>
    <t>Budín LIA Con Frutas x190g.</t>
  </si>
  <si>
    <t>Budín LIA Sin Frutas x190g.</t>
  </si>
  <si>
    <t>Budin VALENTE Relleno de Dulce de Leche x220g.</t>
  </si>
  <si>
    <t>Budin VALENTE Con Chips x170g.</t>
  </si>
  <si>
    <t>Budin VALENTE Con frutas x170g.</t>
  </si>
  <si>
    <t>Budin VALENTE Marmolado x170g.</t>
  </si>
  <si>
    <t>Budin VALENTE Vainilla x170g</t>
  </si>
  <si>
    <t>CAJA BONAFIDE 2023</t>
  </si>
  <si>
    <t>CAJA BRONCE 2023</t>
  </si>
  <si>
    <t>CAJA CELEBRATE 2023</t>
  </si>
  <si>
    <t>CAJA COSTUMBRES NAVIDEÑAS 2023</t>
  </si>
  <si>
    <t>CAJA EJECUTIVA 2023</t>
  </si>
  <si>
    <t>Caja FELICIDADES Distinguida - Contenido Haciendo CLIC en la imagen</t>
  </si>
  <si>
    <t>Caja FELICIDADES Económica - Contenido Haciendo CLIC en la imagen</t>
  </si>
  <si>
    <t>Caja FELICIDADES Especial - Contenido Haciendo CLIC en la imagen</t>
  </si>
  <si>
    <t>Caja FELICIDADES Premium - Contenido Haciendo CLIC en la Imagen</t>
  </si>
  <si>
    <t>Caja FELICIDADES Tradicional - Contenido Haciendo CLIC en la imagen</t>
  </si>
  <si>
    <t>CAJA FESTIVIDADES 2023</t>
  </si>
  <si>
    <t>Caja NAVIDEÑA Grande para Armar xu.</t>
  </si>
  <si>
    <t>CAJA ORO 2023</t>
  </si>
  <si>
    <t>CAJA PLATA 2023</t>
  </si>
  <si>
    <t>Cereal VIZZIO x100g.</t>
  </si>
  <si>
    <t>Cereal VIZZIO x72g.</t>
  </si>
  <si>
    <t>Confites GEORGALOS Con Chocolate Colores x80g.</t>
  </si>
  <si>
    <t>Confites Mani con Chocolate ARCOR x80g.</t>
  </si>
  <si>
    <t>Confites Mani GEORGALOS x80g.</t>
  </si>
  <si>
    <t>Confites Mani NAMUR x80g.</t>
  </si>
  <si>
    <t>Crocante GEORGALOS Con Chocolate x100g.</t>
  </si>
  <si>
    <t>Garapiñada BONAFIDE x100g.</t>
  </si>
  <si>
    <t>Garapiñada BONAFIDE x80g.</t>
  </si>
  <si>
    <t>Garrapiñadas GEORGALOS Mani Bañadas en Chocolate x80g.</t>
  </si>
  <si>
    <t>Garrapiñada GEORGALOS Mani x200g.</t>
  </si>
  <si>
    <t>Garrapiñada GEORGALOS Mani x80g.</t>
  </si>
  <si>
    <t>Garrapiñadas NAMUR x60g.</t>
  </si>
  <si>
    <t>Garrapiñada Mani NOEL x70g.</t>
  </si>
  <si>
    <t>Confites Color Mani MISKY x60g.</t>
  </si>
  <si>
    <t>Mani Con Chocolate GEORGALOS Confites x100g.</t>
  </si>
  <si>
    <t>Mani Con Chocolate GEORGALOS x120g.</t>
  </si>
  <si>
    <t>Mani Con Chocolate NAMUR x80g.</t>
  </si>
  <si>
    <t>Mani Crocante VIZZIO x100g.</t>
  </si>
  <si>
    <t>Maní VIZZIO x72g.</t>
  </si>
  <si>
    <t>MANTECOL Bañado En Chocolate x20g.</t>
  </si>
  <si>
    <t>MANTECOL con Almendras x3.4kg.</t>
  </si>
  <si>
    <t>MANTECOL Lingote x500g.</t>
  </si>
  <si>
    <t>MANTECOL Marmolado x110g.</t>
  </si>
  <si>
    <t>MANTECOL x111g.</t>
  </si>
  <si>
    <t>MANTECOL Barra x26g.</t>
  </si>
  <si>
    <t>MANTECOL x404g.</t>
  </si>
  <si>
    <t>MANTECOL Maxi Barra x41g.</t>
  </si>
  <si>
    <t>MANTECOL x63g.</t>
  </si>
  <si>
    <t>NUCREM GEORGALOS x105g.</t>
  </si>
  <si>
    <t>NUCREM x150g.</t>
  </si>
  <si>
    <t>NUCREM GEORGALOS x35g.</t>
  </si>
  <si>
    <t>NUCREM x84g.</t>
  </si>
  <si>
    <t>Nugaton VIZZIO x100g.</t>
  </si>
  <si>
    <t>Nugaton VIZZIO x80g.</t>
  </si>
  <si>
    <t>Pan Dulce ARCOR Madrileño Con Chips x400g.</t>
  </si>
  <si>
    <t>Pan Dulce ARCOR Veneciano x400g.</t>
  </si>
  <si>
    <t>Pan Dulce BLAGEY Madrileño Con Chips x400g.</t>
  </si>
  <si>
    <t>Pan dulce BAGLEY Con Frutas x400g.</t>
  </si>
  <si>
    <t>Pan Dulce BONAFIDE Con Chips de Chocolate x400g.</t>
  </si>
  <si>
    <t>Pan Dulce BONAFIDE Con Frutas x400g.</t>
  </si>
  <si>
    <t>Pan Dulce BONAFIDE Sin Frutas x400g.</t>
  </si>
  <si>
    <t>Pan Dulce DON SATUR Con chips x400g.</t>
  </si>
  <si>
    <t>Pan Dulce DON SATUR Con Frutas x400g.</t>
  </si>
  <si>
    <t>Pan Dulce DON SATUR Sin Frutas x400g.</t>
  </si>
  <si>
    <t>Pan Dulce Fantoche Con Frutas x400g.</t>
  </si>
  <si>
    <t>Pan Dulce Fantoche Con Pepas x400g.</t>
  </si>
  <si>
    <t>Pan Dulce Fantoche Marmolado x400g.</t>
  </si>
  <si>
    <t>Pan Dulce Fantoche Sin Frutas x400g.</t>
  </si>
  <si>
    <t>Pan Dulce MARILY Con Chips x400g.</t>
  </si>
  <si>
    <t>Pan Dulce MARILY Con Frutas x400g.</t>
  </si>
  <si>
    <t>Pan Dulce MARILY Sin Frutas x400g.</t>
  </si>
  <si>
    <t>Pan Dulce VALENTE Con Chips de Chocolate x400g.</t>
  </si>
  <si>
    <t>Pan Dulce VALENTE con Fruta x400g.</t>
  </si>
  <si>
    <t>Pan Dulce VALENTE Con Frutas x600g.</t>
  </si>
  <si>
    <t>Pan Dulce VALENTE Sin Frutas x350g.</t>
  </si>
  <si>
    <t>Pasas de Uva GEORGALOS Con Chocolate x80g.</t>
  </si>
  <si>
    <t>Pasas de Uva con Chocolate GEORGALOS Estuche x100g.</t>
  </si>
  <si>
    <t>Pasas De Uva MISKY Con Chocolate x60g.</t>
  </si>
  <si>
    <t>Pasas De Uva VIZZIO x72g.</t>
  </si>
  <si>
    <t>Pasas De Uva VIZZIO x100g.</t>
  </si>
  <si>
    <t>Peladillas GEORGALOS Mani x120g.</t>
  </si>
  <si>
    <t>Postre BON O BON Regular x220g.</t>
  </si>
  <si>
    <t>Postre BON O BON Regular x95g.</t>
  </si>
  <si>
    <t>Postre BON O BON Superbolls x80g.</t>
  </si>
  <si>
    <t>Postre BON O BON Tentación x120g.</t>
  </si>
  <si>
    <t>Postre BON O BON Tentación x260g.</t>
  </si>
  <si>
    <t>Postre CABSHA x110g.</t>
  </si>
  <si>
    <t>Postre NUGATON x100g.</t>
  </si>
  <si>
    <t>Postre NUGATON x75g.</t>
  </si>
  <si>
    <t>Tableta Crocante GEORGALOS de Frutos Secos x95g.</t>
  </si>
  <si>
    <t>Torta De Mani Bonafide x150g.</t>
  </si>
  <si>
    <t>Turron ARCOR Mani Con Frutas x120g.</t>
  </si>
  <si>
    <t>Turron ARCOR Mani Sabor Miel x3u. x120g.</t>
  </si>
  <si>
    <t>Turron ARCOR Mani x280g.</t>
  </si>
  <si>
    <t>Turron ARCOR Mani x80g.</t>
  </si>
  <si>
    <t>Turron Blando Pepipán GEORGALOS Mani Con Cacao x90g.</t>
  </si>
  <si>
    <t>Turron Blando VIZZIO Almendras x120g.</t>
  </si>
  <si>
    <t>Turron BONAFIDE Con Frutas x100g.</t>
  </si>
  <si>
    <t>Turron BONAFIDE Chocolate Con Mani x100g.</t>
  </si>
  <si>
    <t>Turron BONAFIDE Cremona Mani Con Miel x80g.</t>
  </si>
  <si>
    <t>Turrón BONAFIDE Maní Bañado con Chocolate x120g.</t>
  </si>
  <si>
    <t>Turron BONAFIDE Mani Con Miel x100g.</t>
  </si>
  <si>
    <t>Turron BONAFIDE Mani Con Miel x120g.</t>
  </si>
  <si>
    <t>Turron Crocante BONAFIDE Mani x80g.</t>
  </si>
  <si>
    <t>Turron FELFORT Almendras Tipo Cremona x100g.</t>
  </si>
  <si>
    <t>Turron FELFORT Espumon de Almendras x100g.</t>
  </si>
  <si>
    <t>Turron FELFORT Espumon de Marroc x100g.</t>
  </si>
  <si>
    <t>Turron FELFORT Mani Tipo Cremona x100g.</t>
  </si>
  <si>
    <t>Turron FELFORT Trufado de Almendras x100g.</t>
  </si>
  <si>
    <t>Turron FORT TU x100g.</t>
  </si>
  <si>
    <t>Turron GEORGALOS Blando Yema/Fruta x120g.</t>
  </si>
  <si>
    <t>Turron GEORGALOS Blando Coco x120g.</t>
  </si>
  <si>
    <t>Turron GEORGALOS Blando Yema x120g.</t>
  </si>
  <si>
    <t>Turron GEORGALOS Choco Mouse x100g.</t>
  </si>
  <si>
    <t>Turron GEORGALOS Crocante Mani x80g.</t>
  </si>
  <si>
    <t>Turron GEORGALOS Crocante Mani x150g.</t>
  </si>
  <si>
    <t>Turron GEORGALOS Blando Mani x90g.</t>
  </si>
  <si>
    <t>Turron GEORGALOS Mani Con Frutas x120g.</t>
  </si>
  <si>
    <t>Turron GEORGALOS Mani Con Frutas x80g.</t>
  </si>
  <si>
    <t>Turron GEORGALOS Mani Con Miel x120g.</t>
  </si>
  <si>
    <t>Turron GEORGALOS Mani Con Miel x80g.</t>
  </si>
  <si>
    <t>Turron GEORGALOS Mani y Almendras x80g.</t>
  </si>
  <si>
    <t>Turrón GEORGALOS con Almendras Clase B x90g.</t>
  </si>
  <si>
    <t>Turron GEORGALOS Mani Con Miel x280g.</t>
  </si>
  <si>
    <t>Turrón De Maní NOEL x60g.</t>
  </si>
  <si>
    <t>Turron NAMUR Mani Crocante x90g.</t>
  </si>
  <si>
    <t>Turron NAMUR Mani x70g.</t>
  </si>
  <si>
    <t>Turrón BONAFIDE Sambayon x120g.</t>
  </si>
  <si>
    <t>Turron VIZZIO Almendras x120g.</t>
  </si>
  <si>
    <t>Turron VIZZIO Crocante Almendras x100g.</t>
  </si>
  <si>
    <t xml:space="preserve">CREALINA, MASA Y PLASTILINA </t>
  </si>
  <si>
    <t>Arcilla para Modelar PLAYCOLOR x300g.</t>
  </si>
  <si>
    <t>Arena Kinética PAULINDA Sea Life Glow x250g.</t>
  </si>
  <si>
    <t>Arena Kinética PAULINDA Glowing Monster x500g.</t>
  </si>
  <si>
    <t>Arena Kinética PAULINDA Jurassic Parck Glow x500g.</t>
  </si>
  <si>
    <t>Arena Kinética PAULINDA x 600grs. Beach Time</t>
  </si>
  <si>
    <t>Arena Magica ACRILEX x200g.</t>
  </si>
  <si>
    <t>Art Kids Slime KIMELEKA Acrilex Butter Colors x130g. xu.</t>
  </si>
  <si>
    <t>Art Kids KIMELEKA Acrilex Glitter Colors x180g. xu.</t>
  </si>
  <si>
    <t>Art Kids KIMELEKA Acrilex Glow Colors x180g. xu.</t>
  </si>
  <si>
    <t>Art Kids KIMELEKA Acrilex x180g. xu.</t>
  </si>
  <si>
    <t>Crealina x300g.</t>
  </si>
  <si>
    <t>Juego De Plastilina PLAY COLOR x20 Barras de Plastilina + 6 Moldes</t>
  </si>
  <si>
    <t>Kit DIDO Masa Balde xu.</t>
  </si>
  <si>
    <t>Kit GIOTTO Bebé Lunchera para +2 años xu.</t>
  </si>
  <si>
    <t>Masa PAULINDA Creamy Dough Metallic x4u.</t>
  </si>
  <si>
    <t>Masa PAULINDA Creamy Dough Neon x4u.</t>
  </si>
  <si>
    <t>Masa DIDO Glitter Pote x 40u. x 50gr.</t>
  </si>
  <si>
    <t>Masa DIDO Pote Kit Amarillo, Rojo y Azul 3 x 220g.</t>
  </si>
  <si>
    <t>Masa DIDO Pote Kit Amarillo, Celeste y Rosa Perlado 3 x 220g.</t>
  </si>
  <si>
    <t>Masa DIDO Pote Kit Verde, Magenta y Naranja 3 x 220g.</t>
  </si>
  <si>
    <t>Masa DIDO Pote x50g. x40u.</t>
  </si>
  <si>
    <t>Masa MAPED Creativ Violeta Pote x120g.</t>
  </si>
  <si>
    <t>Masa MAPED Creativ Pote x 120g. Amarillo</t>
  </si>
  <si>
    <t>Masa MAPED Creativ Pote x 140g. Verde Azulado</t>
  </si>
  <si>
    <t>Masa MAPED Creativ Potex120g.Azul</t>
  </si>
  <si>
    <t>Masa MAPED Creativ Pote x 140g. Naranja</t>
  </si>
  <si>
    <t>Masa MAPED Creativ Pote x 140g. Roja</t>
  </si>
  <si>
    <t>Masa MAPED Creativ Pote x 140g. Rosa</t>
  </si>
  <si>
    <t>Masa MAPED Creativ Pote x 140g. Verde</t>
  </si>
  <si>
    <t>Masilla SUPRABOND Erpox x100g.</t>
  </si>
  <si>
    <t>Moldes DIDO Pote x72u.</t>
  </si>
  <si>
    <t>Plastilina MAPED Color´Peps Barrita Colores Surtidos x 6u.</t>
  </si>
  <si>
    <t>Plastilina MAPED Color´Peps Barrita x12u.</t>
  </si>
  <si>
    <t>Plastilina GIOTTO x12u.</t>
  </si>
  <si>
    <t>Plastilina MODEL Barritas Surtidas x10u.</t>
  </si>
  <si>
    <t>Plastilina MODEL Barritas Surtidas x6u.</t>
  </si>
  <si>
    <t>Plastilina PLAY COLOR Barritas x10u.</t>
  </si>
  <si>
    <t>Plastilina PLAY COLOR Barritas x6u.</t>
  </si>
  <si>
    <t>Plastilina PLAY COLOR Fluo x6u.</t>
  </si>
  <si>
    <t>Plastilina PLAY COLOR Pastel x6u.</t>
  </si>
  <si>
    <t>Plastilina PLAY COLOR Amarillo x24u.</t>
  </si>
  <si>
    <t>Plastilina PLAY COLOR Blanca x24u.</t>
  </si>
  <si>
    <t>Plastilina PLAY COLOR Marrón x24u.</t>
  </si>
  <si>
    <t>Plastilina PLAY COLOR Naranja x24u.</t>
  </si>
  <si>
    <t>Plastilina PLAY COLOR Rojo x24u.</t>
  </si>
  <si>
    <t>Plastilina PLAY COLOR Rosa x24u.</t>
  </si>
  <si>
    <t>Plastilina PLAY COLOR Surtidas x24u.</t>
  </si>
  <si>
    <t>Plastilina PLAY COLOR Verde x24u.</t>
  </si>
  <si>
    <t>Plastilina PLAY COLOR Violeta x24u.</t>
  </si>
  <si>
    <t>Plastilina PLAY COLOR Azul x24u.</t>
  </si>
  <si>
    <t>Plastilina PLAY COLOR Celeste x24u.</t>
  </si>
  <si>
    <t>Plastilina PLAY COLOR Negro x24u.</t>
  </si>
  <si>
    <t>Porcelana Fria Eva Nicron x280g.(20)</t>
  </si>
  <si>
    <t>Porcelana Fria Flex NICRON x500g.(20)</t>
  </si>
  <si>
    <t>Porcelana Fría NICRON x250g.</t>
  </si>
  <si>
    <t>Porcelana Fría NICRON Azul Noche x250g.</t>
  </si>
  <si>
    <t>Porcelana Fría NICRON Marron x250g.</t>
  </si>
  <si>
    <t>Porcelana Fría NICRON Negro x250g.</t>
  </si>
  <si>
    <t>Porcelana Fría NICRON x500g.</t>
  </si>
  <si>
    <t>Porcelana Fría NICRON x325g.</t>
  </si>
  <si>
    <t>Set Masa PAULINDA Cup Cake</t>
  </si>
  <si>
    <t>Set Masa PAULINDA Fantastic Beasts</t>
  </si>
  <si>
    <t>Set Masa PAULINDA Flossy Clay Cars</t>
  </si>
  <si>
    <t>Set Masa PAULINDA Flossy Clay Modeling Fruit</t>
  </si>
  <si>
    <t>Set Masa PAULINDA Flossy Clay Pricess</t>
  </si>
  <si>
    <t>Set Masa PAULINDA Flossy Clay Unicorn</t>
  </si>
  <si>
    <t>Set Masa PAULINDA Plush Baby</t>
  </si>
  <si>
    <t>Set Moldes DIDO x8u. + Masa</t>
  </si>
  <si>
    <t>Set PAULINDA Modeling Art Unicorn</t>
  </si>
  <si>
    <t xml:space="preserve">FOLIOS Y FUNDAS </t>
  </si>
  <si>
    <t>Folio LUMA Extra Fuerte A4 x10u.</t>
  </si>
  <si>
    <t>Folio LUMA Extra Fuerte Nº3 x10u.</t>
  </si>
  <si>
    <t>Folio LUMA Extra P.P. A4 x100u.</t>
  </si>
  <si>
    <t>Folio LUMA Extra P.P. A4 x10u.</t>
  </si>
  <si>
    <t>Folio LUMA Extra P.P. Nº3 x100u.</t>
  </si>
  <si>
    <t>Folio LUMA Extra P.P. Nº3 x10u.</t>
  </si>
  <si>
    <t>Folio LUMA Extra P.P. Oficio x100u.</t>
  </si>
  <si>
    <t>Folio LUMA Extra P.P. Oficio x10u.</t>
  </si>
  <si>
    <t>Folio LUMA Nº5 x50u.</t>
  </si>
  <si>
    <t>Folio LUMA Nº6 x50u.</t>
  </si>
  <si>
    <t>Folio LUMA Premiun A4 x10u.</t>
  </si>
  <si>
    <t>Folio LUMA Premiun Oficio x10u.</t>
  </si>
  <si>
    <t>Folio LUMA Super A4 x100u.</t>
  </si>
  <si>
    <t>Folio LUMA Super Nº3 x100u.</t>
  </si>
  <si>
    <t>Folio LUMA Super Oficio x100u.</t>
  </si>
  <si>
    <t>Folios MICRO A4 con Señaladores x8u.</t>
  </si>
  <si>
    <t>Folios MICRO Oficio con Señaladores x8u.</t>
  </si>
  <si>
    <t>Funda LUMA para Carpeta x50u.</t>
  </si>
  <si>
    <t>Funda LUMA para Cuaderno x50u.</t>
  </si>
  <si>
    <t>Fundas Pvc para Carpeta Nº3 x10u.</t>
  </si>
  <si>
    <t>Funda PVC para Carpeta LAMA A4 2x40 Clasic 150 Micrones x10u.</t>
  </si>
  <si>
    <t>Funda Pvc para Carpeta de Dibujo n°5 150Mic.x10u.</t>
  </si>
  <si>
    <t>Funda Pvc para Carpeta 3x40 Clasic 150 Micrones x3u.</t>
  </si>
  <si>
    <t>Funda Pvc para Cuaderno 150 Micrones x10u.</t>
  </si>
  <si>
    <t>Funda Pvc para Cuaderno ABC 150 Micrones x10u.</t>
  </si>
  <si>
    <t>Funda PVC para Cuaderno LAMA ABC 150 Micrones x3u.</t>
  </si>
  <si>
    <t>Hoja Pvc 100 Micrones 70 x 50cm. x10u.</t>
  </si>
  <si>
    <t>Rollo Polietileno 60 Micrones x10mts.</t>
  </si>
  <si>
    <t>Rollo Auto Adhesivo SIFAP Transparente 10m. x0,45m</t>
  </si>
  <si>
    <t>Rollo Auto Adhesivo SIFAP Transparente 2m. x0,45m</t>
  </si>
  <si>
    <t xml:space="preserve">CAJA ARCHIVO </t>
  </si>
  <si>
    <t>Caja de Archivo UO Kraft x2cm.</t>
  </si>
  <si>
    <t>Caja de Archivo para Armar Legajo 12 x 38x28cm. x 12cm.</t>
  </si>
  <si>
    <t>Caja de Archivo para Armar L 12 Plástico 38x28x12cm</t>
  </si>
  <si>
    <t>Caja de Archivo para Armar Oficio Plástico xu.36x25x12cm</t>
  </si>
  <si>
    <t>Caja de Archivo A4 Polipropileno con Elástico x2cm.</t>
  </si>
  <si>
    <t>Caja de Archivo A4 Polipropileno con Elástico x4cm.</t>
  </si>
  <si>
    <t>Caja de Archivo Oficio Polipropileno con Elástico x2cm.</t>
  </si>
  <si>
    <t>Caja de Archivo Oficio Polipropileno con Elástico x4cm.</t>
  </si>
  <si>
    <t>Caja Porta Tarjetas 4090</t>
  </si>
  <si>
    <t xml:space="preserve">GOMA DE BORRAR </t>
  </si>
  <si>
    <t>Goma 2 BANDERAS 5436 Blanca x36u.</t>
  </si>
  <si>
    <t>Goma de Borrar CROC CROC Puzzle Bunny xu.</t>
  </si>
  <si>
    <t>Goma de Borrar PELIKAN Pastel Pote x15u.</t>
  </si>
  <si>
    <t>Goma de Borrar LITTLE MONSTER x20u.</t>
  </si>
  <si>
    <t>Gomas LYRA (Miga de Pan) xu.</t>
  </si>
  <si>
    <t>Goma MAPED Duo x40u.</t>
  </si>
  <si>
    <t>Goma de Borrar MAPED Essentials Soft Pastel xu.</t>
  </si>
  <si>
    <t>Goma de Borrar MAPED Essentials Soft x2u.</t>
  </si>
  <si>
    <t>Goma MAPED Pen Soft Grip Ergonómica Display x15u.</t>
  </si>
  <si>
    <t>Goma MAPED Technic Bolsa x2u.</t>
  </si>
  <si>
    <t>Goma Escolar PIZZINI Colores Surtidos x48u.</t>
  </si>
  <si>
    <t>Gomas 2 BANDERAS 211 Gris y Blanca x36u.</t>
  </si>
  <si>
    <t>Gomas 2 BANDERAS 214 Roja y Azul x40u.</t>
  </si>
  <si>
    <t>Gomas 2 BANDERAS 3036 Blanca x36u.</t>
  </si>
  <si>
    <t>Gomas 2 BANDERAS 3060 Blanca x60u.</t>
  </si>
  <si>
    <t>Gomas 2 BANDERAS 5036 Azul y Blanca x36u.</t>
  </si>
  <si>
    <t>Gomas EZCO Fantasía Pote x36u.</t>
  </si>
  <si>
    <t>Gomas EZCO Fantasía Pote Zoo x36u.</t>
  </si>
  <si>
    <t>Gomas FABER-CASTELL Lapiz 7086 x30u.</t>
  </si>
  <si>
    <t>Gomas FABER-CASTELL Lapiz/Tinta 7082 x30u.</t>
  </si>
  <si>
    <t>Gomas MAPED Mini Technic x36u.</t>
  </si>
  <si>
    <t>Gomas MAPED Technic Dúo x36u.</t>
  </si>
  <si>
    <t>Gomas MAPED Zenoa x15u.</t>
  </si>
  <si>
    <t>Gomas STAEDTLER Lapiz x30u.</t>
  </si>
  <si>
    <t>Gomas STAEDTLER Lapiz/Tinta x30u.</t>
  </si>
  <si>
    <t xml:space="preserve">ABROCHADORAS </t>
  </si>
  <si>
    <t>Abrochadora KANGARO Nº10 Metal</t>
  </si>
  <si>
    <t>Abrochadora KANGARO DS-45L</t>
  </si>
  <si>
    <t>Abrochadora KANGARO Nº10 En</t>
  </si>
  <si>
    <t>Abrochadora KANGARO NOWA 10</t>
  </si>
  <si>
    <t>Abrochadora KANGARO Pinza Nº10</t>
  </si>
  <si>
    <t>Abrochadora KANGARO Pinza Nº45</t>
  </si>
  <si>
    <t>Abrochadora KANGARO Pocket Nº10</t>
  </si>
  <si>
    <t>Abrochadora KANGARO Trendy-10M</t>
  </si>
  <si>
    <t>Abrochadora KANGARO Vertika Nº10</t>
  </si>
  <si>
    <t>Abrochadora MAPED Essentials Mini Metal Nº10</t>
  </si>
  <si>
    <t>Abrochadora MAPED Essentials Pocket Metal Nº10</t>
  </si>
  <si>
    <t>Abrochadora MAPED Essentials Mesa Nº24-26/6</t>
  </si>
  <si>
    <t>Abrochadora MAPED Essentials Pinza Nº24-26/6</t>
  </si>
  <si>
    <t>Abrochadora MAPED Essentials Pinza Nº10</t>
  </si>
  <si>
    <t>Abrochadora MAPED Essentials Nº24/6</t>
  </si>
  <si>
    <t>Abrochadora MAPED Vivo Nº10</t>
  </si>
  <si>
    <t>Abrochadora MIT de Profundidad Nº21/6</t>
  </si>
  <si>
    <t>Abrochadora MIT Pinza Nº24/6</t>
  </si>
  <si>
    <t>Abrochadora MIT Pinza FX 50 Pastel</t>
  </si>
  <si>
    <t>Abrochadora MIT Pinza FX 50</t>
  </si>
  <si>
    <t>Abrochadora MIT Pinza Nº21/6 Mini</t>
  </si>
  <si>
    <t>Abrochadora MIT Pinza Nº21/6</t>
  </si>
  <si>
    <t>Abrochadora MIT Pinza Nº64</t>
  </si>
  <si>
    <t>Abrochadora MIT Pinza Pintada 50</t>
  </si>
  <si>
    <t>Abrochadora SIMBALL Confort Half/Med Nº24/6 26/6</t>
  </si>
  <si>
    <t>Broches para Abrochadora KARTEC Nº50 x1000u.</t>
  </si>
  <si>
    <t>Broches para Abrochadora KANGARO Nº10 x1000u.</t>
  </si>
  <si>
    <t>Broches para Abrochadora KANGARO Nº26/6 x1000u.</t>
  </si>
  <si>
    <t>Broches para Abrochadora MAPED Nº10 x1000u.</t>
  </si>
  <si>
    <t>Broches para Abrochadora MIT 21/6 x 5000u.</t>
  </si>
  <si>
    <t>Broches para Abrochadora MIT 24/6 x 5000u.</t>
  </si>
  <si>
    <t>Broches para Abrochadora MIT Nº10 x1000u.</t>
  </si>
  <si>
    <t>Broches para Abrochadora MIT Nº21/6 x1000u.</t>
  </si>
  <si>
    <t>Broches para Abrochadora MIT Nº23/10 x1000u.</t>
  </si>
  <si>
    <t>Broches para Abrochadora MIT Nº23/24 x1000u.</t>
  </si>
  <si>
    <t>Broches para Abrochadora MIT Nº23/6 x1000u.</t>
  </si>
  <si>
    <t>Broches para Abrochadora MIT Nº24/6 x1000u.</t>
  </si>
  <si>
    <t>Broches para Abrochadora MIT Nº50 x1000u.</t>
  </si>
  <si>
    <t>Broches para Abrochadora MIT Nº50 x5000u.</t>
  </si>
  <si>
    <t>Broches para Abrochadora MIT Nº64 x1000u.</t>
  </si>
  <si>
    <t>Broches para Abrochadora MIT Nº64 x5000u.</t>
  </si>
  <si>
    <t>Broches para Engrampadora Nº6</t>
  </si>
  <si>
    <t>Broches para Engrampadora Nº8</t>
  </si>
  <si>
    <t>Engrampadora BULIT Pinza</t>
  </si>
  <si>
    <t>Engrampadora BULIT Uso Intensivo</t>
  </si>
  <si>
    <t>Sacabroches KANGARO SR-100</t>
  </si>
  <si>
    <t>Sacabroches KANGARO SR-300</t>
  </si>
  <si>
    <t>Sacabroches MAPED Office</t>
  </si>
  <si>
    <t>Sacabroches MIT</t>
  </si>
  <si>
    <t xml:space="preserve">ALMOHADILLAS, TINTAS Y SELLOS </t>
  </si>
  <si>
    <t>Almohadilla IBICO N°2 xu.</t>
  </si>
  <si>
    <t>Almohadilla IBICO N°3 xu.</t>
  </si>
  <si>
    <t>Almohadilla SEÑORITA Nº1</t>
  </si>
  <si>
    <t>Almohadilla SEÑORITA Nº2</t>
  </si>
  <si>
    <t>Almohadilla SEÑORITA Nº3</t>
  </si>
  <si>
    <t>Almohadilla Plastica Nº2 Tinta Negra</t>
  </si>
  <si>
    <t>Cinta para Máquina Cifra PELIKAN x 1u.</t>
  </si>
  <si>
    <t>Cinta para Máquina de Escribir OLIVETI Combinada</t>
  </si>
  <si>
    <t>Cinta para Máquina de Escribir OLIVETI Negro</t>
  </si>
  <si>
    <t>Rodillo Entintador MOTEX 6/8 Dígitos x20mm.</t>
  </si>
  <si>
    <t>Rodillo Tinta CIFRA IR-40 Negro x6u.</t>
  </si>
  <si>
    <t>Rodillo Tinta CIFRA IR-40 Rojo/Negro x6u.</t>
  </si>
  <si>
    <t>Sello de Madera Set x6u. + Almohadilla</t>
  </si>
  <si>
    <t>Sello Shiny HANDY STAMP S-722 Pocket xu.</t>
  </si>
  <si>
    <t>Sello Automático SPAZIO Negro 30 x 12mm.</t>
  </si>
  <si>
    <t>Sello Automático SPAZIO Verde 30 x 12mm.</t>
  </si>
  <si>
    <t>Sello Automático SPAZIO Colores Azul 46 x 18mm.</t>
  </si>
  <si>
    <t>Sello Automático SPAZIO Negro 46 x 18mm.</t>
  </si>
  <si>
    <t>Tinta ACRYLIC POP Blanco Frasco x30cc.</t>
  </si>
  <si>
    <t>Tinta ACRYLIC POP Negro Frasco x30cc.</t>
  </si>
  <si>
    <t>Tinta ACRYLIC POP Rojo Frasco x30cc.</t>
  </si>
  <si>
    <t>Tinta China PELIKAN Amarilla x15cc.</t>
  </si>
  <si>
    <t>Tinta China PELIKAN Azul x15cc.</t>
  </si>
  <si>
    <t>Tinta China PELIKAN Blanca x15cc.</t>
  </si>
  <si>
    <t>Tinta China PELIKAN Negro x15cc.</t>
  </si>
  <si>
    <t>Tinta China PELIKAN Rojo Bermellón x15cc.</t>
  </si>
  <si>
    <t>Tinta China PELIKAN Verde x15cc.</t>
  </si>
  <si>
    <t>Tinta China STA Amarilla</t>
  </si>
  <si>
    <t>Tinta China STA Blanca</t>
  </si>
  <si>
    <t>Tinta China STA Dorada</t>
  </si>
  <si>
    <t>Tinta China STA Negro</t>
  </si>
  <si>
    <t>Tinta China STA Plateada xu.</t>
  </si>
  <si>
    <t>Tinta China STA Roja</t>
  </si>
  <si>
    <t>Tinta China STA Verde</t>
  </si>
  <si>
    <t>Tinta China STA Violeta</t>
  </si>
  <si>
    <t>Tinta China STA Azul</t>
  </si>
  <si>
    <t>Tinta China STA x1l.</t>
  </si>
  <si>
    <t>Tinta P/Marcadores Permanente TRABI x30cc. Azul</t>
  </si>
  <si>
    <t>Tinta P/Marcadores Permanente TRABI x30cc.Negra</t>
  </si>
  <si>
    <t>Tinta P/Marcadores Permanente TRABI x30cc. Rojo</t>
  </si>
  <si>
    <t>Tinta P/Marcadores Permanente TRABI x30cc. Verde</t>
  </si>
  <si>
    <t>Tinta Para Marcador de Pizarra TRABI Azul x30cc.</t>
  </si>
  <si>
    <t>Tinta para Marcadores para Pizarra TRABI Negra x30cc.</t>
  </si>
  <si>
    <t>Tinta para Marcador para Pizarra TRABI Roja x30cc.</t>
  </si>
  <si>
    <t>Tinta para Marcador para Pizarra TRABI Verde x30cc.</t>
  </si>
  <si>
    <t>Tinta para Sello IBICO Azul x24ml.</t>
  </si>
  <si>
    <t>Tinta para Sello IBICO Negra x24ml.</t>
  </si>
  <si>
    <t>Tinta para Sello PELIKAN Azul x28cc.</t>
  </si>
  <si>
    <t>Tinta para Sello PELIKAN Azul x30cc.</t>
  </si>
  <si>
    <t>Tinta para Sello PELIKAN Negro x28cc.</t>
  </si>
  <si>
    <t>Tinta para Sello PELIKAN Rojo x30cc.</t>
  </si>
  <si>
    <t>Tinta para Sello PELIKAN Violeta x30cc.</t>
  </si>
  <si>
    <t>Tinta para Sello STA Azul x50cc.</t>
  </si>
  <si>
    <t>Tinta para Sello STA Negro x50cc.</t>
  </si>
  <si>
    <t>Tinta para Sello STA Rojo x50cc.</t>
  </si>
  <si>
    <t>Tinta para Sello STA Verde x50cc.</t>
  </si>
  <si>
    <t>Tinta para Sello STA Violeta x50cc.</t>
  </si>
  <si>
    <t xml:space="preserve">PERFORADORAS </t>
  </si>
  <si>
    <t>Perforadora MIT Scroll3</t>
  </si>
  <si>
    <t>Perforadora Artística Circulo 1.5 xu.</t>
  </si>
  <si>
    <t>Perforadora Artística Circulo 2.5 xu.</t>
  </si>
  <si>
    <t>Perforadora Artística Circulo 3 xu.</t>
  </si>
  <si>
    <t>Perforadora Artística Cochecito 3 xu.</t>
  </si>
  <si>
    <t>Perforadora Artística Flor 2 xu.</t>
  </si>
  <si>
    <t>Perforadora Artística Maple Leaf xu.</t>
  </si>
  <si>
    <t>Perforadora Artística Oak Leaf 3 xu.</t>
  </si>
  <si>
    <t>Perforadora Artística Palm Tree2 xu.</t>
  </si>
  <si>
    <t>Perforadora Artística Paw xu.</t>
  </si>
  <si>
    <t>Perforadora Artística Rabbit xu.</t>
  </si>
  <si>
    <t>Perforadora Artística Train xu.</t>
  </si>
  <si>
    <t>Perforadora con Forma Craft Fir Tree 1</t>
  </si>
  <si>
    <t>Perforadora Goma Eva Hoja Arce</t>
  </si>
  <si>
    <t>Perforadora Goma Eva Margarita</t>
  </si>
  <si>
    <t>Perforadora Goma Eva Pino</t>
  </si>
  <si>
    <t>Perforadora Guardas Hawaiian Lei xu.</t>
  </si>
  <si>
    <t>Perforadora Guardas Princess xu.</t>
  </si>
  <si>
    <t>Perforadora HOOBN 12hj. Con Guia xu.</t>
  </si>
  <si>
    <t>Perforadora KANGARO DP-280</t>
  </si>
  <si>
    <t>Perforadora KANGARO DP-480</t>
  </si>
  <si>
    <t>Perforadora Kangaro One Hole 45mm.</t>
  </si>
  <si>
    <t>Perforadora KANGARO para Perforar 10h.</t>
  </si>
  <si>
    <t>Perforadora KANGARO para Perforar 20h.</t>
  </si>
  <si>
    <t>Perforadora MAPED para Perforar 10-12h.</t>
  </si>
  <si>
    <t>Perforadora MAPED para Perforar 20-25h.</t>
  </si>
  <si>
    <t>Perforadora MAPED para Perforar 30-35h.</t>
  </si>
  <si>
    <t>Perforadora MAPED Universal para Perforar 35-40h.</t>
  </si>
  <si>
    <t>Perforadora MAPED Universal para 6-8h.</t>
  </si>
  <si>
    <t>Perforadora MIT Chica</t>
  </si>
  <si>
    <t>Perforadora MIT Mediana</t>
  </si>
  <si>
    <t>Perforadora IBICO Pinza para Anillos de Expansión</t>
  </si>
  <si>
    <t xml:space="preserve">VARIOS DE OFICINA </t>
  </si>
  <si>
    <t>Aprieta Papel SIFAP Binder x25mm. x12u.</t>
  </si>
  <si>
    <t>Aprieta Papel SIFAP Binder x32mm. x12u.</t>
  </si>
  <si>
    <t>Aprieta Papel SIFAP Binder x41mm.</t>
  </si>
  <si>
    <t>Aprieta Papel SIFAP Binder x51mm.</t>
  </si>
  <si>
    <t>Aprieta Papel SIFAP Binder x19mm. x12u.</t>
  </si>
  <si>
    <t>Aprieta Papel SIFAP Niquelado con Resorte x100mm.</t>
  </si>
  <si>
    <t>Aprieta Papel SIFAP Niquelado con Resorte x40mm.</t>
  </si>
  <si>
    <t>Aprieta Papel SIFAP Niquelado con Resorte x50mm.</t>
  </si>
  <si>
    <t>Aprieta Papel SIFAP Niquelado con Resorte x75mm.</t>
  </si>
  <si>
    <t>Bandeja para Papel A4 Negro</t>
  </si>
  <si>
    <t>Bandeja para Papel Oficio con 2 Pisos con Bisagra</t>
  </si>
  <si>
    <t>Bandeja para Papel Oficio 3 Pisos con Bisagra</t>
  </si>
  <si>
    <t>Bandeja para Papel Oficio Humo</t>
  </si>
  <si>
    <t>Bandeja para Papel Oficio Negro</t>
  </si>
  <si>
    <t>Cera Dáctilar D2 x14g.</t>
  </si>
  <si>
    <t>Cesto Redondo Color Negro xu.</t>
  </si>
  <si>
    <t>Cesto Papelero Plástico PIZZINI</t>
  </si>
  <si>
    <t>Clava Papel Con Base Metal Pintada</t>
  </si>
  <si>
    <t>Pincha Papel Con Base Plastica x14cm.</t>
  </si>
  <si>
    <t>Cofre Guardavalores Azul 20 x 16 x 9cm.</t>
  </si>
  <si>
    <t>Cofre Guardavalores Gris 20 x 16 x 9cm.</t>
  </si>
  <si>
    <t>Cofre Guardavalores Rojo 20 x 16 x 9cm.</t>
  </si>
  <si>
    <t>Fichero Metálico ACRIMET con Tapa Nº3 5 x 8cm.</t>
  </si>
  <si>
    <t>Fichero Metálico Nº3 5 x 8cm.</t>
  </si>
  <si>
    <t>Mojadedos ALFA Pvc (Goma) xu.</t>
  </si>
  <si>
    <t>Mojadedos SIFAP Plástico Black &amp; White</t>
  </si>
  <si>
    <t>Mojadedos SIFAP Plástico Nº2</t>
  </si>
  <si>
    <t>Kit MOOVING MAW Mania 2 En Uno Orange</t>
  </si>
  <si>
    <t>Organizador Escritorio Quali DELI Metalico Malla 215 x 75 x 53 mm.</t>
  </si>
  <si>
    <t>Organizador de Escritorio Color Negro xu.</t>
  </si>
  <si>
    <t>Porta Clips Acrílico Grande</t>
  </si>
  <si>
    <t>Porta Lapices Simple DELI Metálico Malla 91 mm x 98 mm Colores Surtidos</t>
  </si>
  <si>
    <t>Porta Lápices DELI Escolar Manzana 90x79mm. 2 Colores</t>
  </si>
  <si>
    <t>Porta Lapices Simple DELI Metalico Malla 91 mm x 98 mm</t>
  </si>
  <si>
    <t>Porta Lapiz HOOBN Blanco y Negro xu.</t>
  </si>
  <si>
    <t>Portalapiz PIZZINI Circular Negro</t>
  </si>
  <si>
    <t>Porta Taco + Porta Tarjetas xu.</t>
  </si>
  <si>
    <t>Set de Escritorio MARTIZ con Porta Cinta Chico x15 Piezas</t>
  </si>
  <si>
    <t>Set de Escritorio MARTIZ con Porta Cinta Grande x15 Piezas</t>
  </si>
  <si>
    <t xml:space="preserve">PORTA TACOS - TACOS </t>
  </si>
  <si>
    <t>Banderitas Autoadhesivas TALBOT x 45x12mm+45x25mm x 20 Hojas x 4 Colores</t>
  </si>
  <si>
    <t>Banderita Autoadhesiva DELI 25x28mm. x20x5 Colores Pastel</t>
  </si>
  <si>
    <t>Banderita Autoadhesiva DELI 44x25mm. x 20x5 Colores</t>
  </si>
  <si>
    <t>Banderita Autoadhesiva DELI 44x25mm.x 50x2 Colores</t>
  </si>
  <si>
    <t>Banderita Autoadhesiva DELI 45x28mm. x20x5 Colores Pastel</t>
  </si>
  <si>
    <t>Banderita Autoadhesiva DELI Con Dispenser x20u.x5 Colores Pastel</t>
  </si>
  <si>
    <t>Banderita Autoadhesiva DELI Traslúcida 44x25mm. x 20x5 Colores</t>
  </si>
  <si>
    <t>Banderita DELI Colores Fancy 5 x 30 Hojas</t>
  </si>
  <si>
    <t>Banderita Fluo LAPIZ STICKY NOTEx5ux1.2x4.5(36-1200)</t>
  </si>
  <si>
    <t>Banderita MEDORO Fluo 1.2 x 4.5cm. x5u.</t>
  </si>
  <si>
    <t>Banderitas Autoadhesivas SIMBALL Fluo 48 x12mm. x20h. 5 Colores</t>
  </si>
  <si>
    <t>Display Binder Clips MOOVING HARRY POTTER x 25mm. x6u.</t>
  </si>
  <si>
    <t>Display Binder Clips MOOVING MAW Pastel x 19mm. x12u.</t>
  </si>
  <si>
    <t>Display Binder Clips MOOVING MAW Pastel x 25mm. x6u.</t>
  </si>
  <si>
    <t>Dispenser Banderitas Señaladores MOOVING MAW Mania Anchas x60u.</t>
  </si>
  <si>
    <t>MOOVING Fun Push Pins MAW Pastel Diseños Indistintos x50u.</t>
  </si>
  <si>
    <t>MOOVING Notes Disney 100 A5 Tapa Dura Rayado</t>
  </si>
  <si>
    <t>MOOVING Notes Harry Potter A5 Tapa Dura Rayado</t>
  </si>
  <si>
    <t>MOOVING Notes Looney Tones A5 Tapa Dura Rayado</t>
  </si>
  <si>
    <t>MOOVING Notes Marvel A5 Tapa Dura Rayado</t>
  </si>
  <si>
    <t>MOOVING Notes Mickey Mouse A5 Tapa Dura Rayado</t>
  </si>
  <si>
    <t>MOOVING Notes Minnie Mouse A5 Tapa Dura Rayado</t>
  </si>
  <si>
    <t>MOOVING Notes Rainbow A5 Tapa Dura Rayado</t>
  </si>
  <si>
    <t>Nota Autoadhesiva 76x76mm. x 25x4 Colores Pastel</t>
  </si>
  <si>
    <t>Nota Autoadhesiva 76x51mm. Amarillas</t>
  </si>
  <si>
    <t>Nota Autoadhesiva 76x51mm. Full Amarillas</t>
  </si>
  <si>
    <t>Nota Autoadhesiva 76x76mm. Amarillas</t>
  </si>
  <si>
    <t>Nota Autoadhesiva 76x76mm. Fluo</t>
  </si>
  <si>
    <t>Nota Autoadhesiva 76x76mm. Neon Shape Estrella</t>
  </si>
  <si>
    <t>Nota Autoadhesiva 76x76mm. Neón Flecha</t>
  </si>
  <si>
    <t>Nota Autoadhesiva 76x76mm. x 25x4 Colores Fluo</t>
  </si>
  <si>
    <t>Notas Adhesivas DELI Escolares Tematica Frutas 4 Diseños</t>
  </si>
  <si>
    <t>Notas Adhesivas DELI Escolares Set</t>
  </si>
  <si>
    <t>Notas Adhesivas DELI Escolares x30 Hojas Neón</t>
  </si>
  <si>
    <t>Notas Autoadhesivas EZCO 40x50mm.</t>
  </si>
  <si>
    <t>Notas Autoadhesivas EZCO 75x75mm.</t>
  </si>
  <si>
    <t>Paper Clips MOOVING MAW Pastel Mickey Mouse con Forma x6u.</t>
  </si>
  <si>
    <t>Porta Taco Plástico 9 x 9cm. Negro</t>
  </si>
  <si>
    <t>Porta Taco Plástico 9 x 9cm. Verde Pastel</t>
  </si>
  <si>
    <t>Porta Taco Plástico 9 x 9cm. Violeta Pastel</t>
  </si>
  <si>
    <t>Señaladores de Página EZCO Neón xu.</t>
  </si>
  <si>
    <t>Notas Adhesivas MOOVING MAW Mania 50 x 75mm. x100h.</t>
  </si>
  <si>
    <t>Notas Adhesivas MOOVING MAW Mania Shaped Sticky Notes Mickey &amp; Minnie xu.</t>
  </si>
  <si>
    <t>Notas Adhesivas MOOVING MAW Mania Paper Flags Mickey &amp; Minnie xu.</t>
  </si>
  <si>
    <t>Sticky Notes MOOVING Quitapesares x20hj. x45x50mm.</t>
  </si>
  <si>
    <t>Sticky Notes MOOVING Como Quieres xu.</t>
  </si>
  <si>
    <t>Taco Blanco 9 x 9cm. x400h.</t>
  </si>
  <si>
    <t>Taco Multicolor 9 x 9cm. x400h.</t>
  </si>
  <si>
    <t>Taco Adhesivo 4 Col 38x50 (4x50 hojas)</t>
  </si>
  <si>
    <t>Taco Adhesivo TEK BOND 5 Col 76x76 (5x90 hojas)</t>
  </si>
  <si>
    <t>Taco Adhesivo TEK BOND Amarillo 76x102 100 hojas</t>
  </si>
  <si>
    <t>Taco Adhesivo TEK BOND Amarillo 76x102</t>
  </si>
  <si>
    <t>Taco Adhesivo TEK BOND Amarillo 76x76</t>
  </si>
  <si>
    <t>Taco Adhesivo TEK BOND Azul 76x76 45 hojas</t>
  </si>
  <si>
    <t>Taco Adhesivo TEK BOND Naranja 76x102 90 hojas</t>
  </si>
  <si>
    <t>Taco Adhesivo TEK BOND Naranja 76x76 45 hojas</t>
  </si>
  <si>
    <t>Taco Adhesivo TEK BOND Rosa 76X102 90 hojas</t>
  </si>
  <si>
    <t>Taco Adhesivo TEK BOND Rosa 76X76 45 hojas</t>
  </si>
  <si>
    <t>Taco Adhesivo TEK BOND Verde 76X102 90hojas</t>
  </si>
  <si>
    <t>Taco Adhesivo TEK BOND Verde 76x76 45 hojas</t>
  </si>
  <si>
    <t>Taco Autoadhesivo MEDORO Fluo 7.5 x 7.5cm. x200h.</t>
  </si>
  <si>
    <t>Taco Autoadhesivo MEDORO Pastel 7.5 x 7.5cm. x200h.</t>
  </si>
  <si>
    <t>Taco Autoadhesivo SPAZIO Fluo 75 x 75cm. Verde xu.</t>
  </si>
  <si>
    <t>Taco Autoadhesivo SPAZIO Fluo 75 x 75cm. x320h.</t>
  </si>
  <si>
    <t xml:space="preserve">CARPETAS </t>
  </si>
  <si>
    <t>Bibliorato Pvc A4 Lomo Ancho Azul</t>
  </si>
  <si>
    <t>Bibliorato Pvc A4 Lomo Ancho Negro</t>
  </si>
  <si>
    <t>Bibliorato Pvc A4 Lomo Ancho Naranja</t>
  </si>
  <si>
    <t>Bibliorato Pvc A4 Lomo Ancho Rojo</t>
  </si>
  <si>
    <t>Bibliorato Pvc A4 Lomo Angosto Azul</t>
  </si>
  <si>
    <t>Bibliorato Pvc A4 Lomo Angosto Negro</t>
  </si>
  <si>
    <t>Bibliorato Pvc A4 Lomo Angosto Rojo</t>
  </si>
  <si>
    <t>Bibliorato Pvc A4 Lomo Angosto Verde</t>
  </si>
  <si>
    <t>Bibliorato Pvc A4 Pastel</t>
  </si>
  <si>
    <t>Bibliorato Pvc Oficio Lomo Ancho Amarillo</t>
  </si>
  <si>
    <t>Bibliorato Pvc Oficio Lomo Ancho Azul</t>
  </si>
  <si>
    <t>Bibliorato Pvc Oficio Lomo Ancho Negro</t>
  </si>
  <si>
    <t>Bibliorato Pvc Oficio Lomo Ancho Rojo</t>
  </si>
  <si>
    <t>Bibliorato Pvc Oficio Lomo Ancho Verde</t>
  </si>
  <si>
    <t>Bibliorato Pvc Oficio Lomo Angosto Azul</t>
  </si>
  <si>
    <t>Bibliorato Pvc Oficio Lomo Angosto Negro</t>
  </si>
  <si>
    <t>Bibliorato Pvc Oficio Lomo Angosto Rojo</t>
  </si>
  <si>
    <t>Bibliorato Pvc Oficio Lomo Angosto Verde</t>
  </si>
  <si>
    <t>Bibliorato Esquela Forrado Rojo x75mm.</t>
  </si>
  <si>
    <t>Bibliorato Pvc A4 Lomo Ancho Amarillo</t>
  </si>
  <si>
    <t>Bibliorato Pvc A4 Lomo Ancho Verde</t>
  </si>
  <si>
    <t>Bibliorato Pvc A4 Lomo Ancho Violeta</t>
  </si>
  <si>
    <t>Bibliorato Pvc Oficio Ancho Blanco</t>
  </si>
  <si>
    <t>Bibliorato Pvc Oficio Lomo Ancho Naranja</t>
  </si>
  <si>
    <t>Bibliorato Pvc Oficio Lomo Ancho Violeta</t>
  </si>
  <si>
    <t>Bibliorato Registrador Carta/A4</t>
  </si>
  <si>
    <t>Bibliorato Registrador Esquela</t>
  </si>
  <si>
    <t>Bibliorato Registrador Oficio</t>
  </si>
  <si>
    <t>Carpeta 3 Solapas Ficha 55 Amarillo xu.</t>
  </si>
  <si>
    <t>Carpeta 3 Solapas Ficha 55 Celeste xu.</t>
  </si>
  <si>
    <t>Carpeta 3 Solapas Ficha 55 Naranja xu.</t>
  </si>
  <si>
    <t>Carpeta 3 Solapas Ficha 55 Rosa xu.</t>
  </si>
  <si>
    <t>Carpeta 3 Solapas Ficha 55 Verde xu.</t>
  </si>
  <si>
    <t>Carpeta A4 3 Solapas x30u.</t>
  </si>
  <si>
    <t>Carpeta A4 AVIOS Fibra x40mm. Negro</t>
  </si>
  <si>
    <t>Carpeta A5 3 Solapas x30u.</t>
  </si>
  <si>
    <t>Carpeta A4 Tipo ''L'' Pastel Surtido xu.</t>
  </si>
  <si>
    <t>Carpeta VELOX Ficha 55 - Color: Amarillo xu.</t>
  </si>
  <si>
    <t>Carpeta VELOX Ficha 55 - Color: Celeste xu.</t>
  </si>
  <si>
    <t>Carpeta VELOX Ficha 55 - Color: NARANJA xu.</t>
  </si>
  <si>
    <t>Carpeta VELOX Ficha 55 - Color: Rosa xu.</t>
  </si>
  <si>
    <t>Carpeta VELOX Ficha 55 - Color: Verde xu.</t>
  </si>
  <si>
    <t>Carpeta 2 Anillos Oficio UO Pvc Negro</t>
  </si>
  <si>
    <t>Carpeta 2 Anillos Oficio UO Pvc Verde</t>
  </si>
  <si>
    <t>Carpeta 2 Anillos PVC UTIL OF A4 Amarillo x40mm.</t>
  </si>
  <si>
    <t>Carpeta 2 Anillos PVC UTIL OF A4 Naranja x40mm.</t>
  </si>
  <si>
    <t>Carpeta 2 Anillos PVC UTIL OF Oficio Amarillo x40mm.</t>
  </si>
  <si>
    <t>Carpeta 2 Anillos PVC UTIL OF Oficio Azul x40mm.</t>
  </si>
  <si>
    <t>Carpeta 2 Anillos PVC UTIL OF Oficio Naranja x40mm.</t>
  </si>
  <si>
    <t>CARP.2 ANIL.40MM PVC UO OFICIO ROJO(20)</t>
  </si>
  <si>
    <t>Carpeta 2 Anillos PVC UTIL OF Oficio Verde Manzana x40mm.</t>
  </si>
  <si>
    <t>Carpeta 2 Anillos PVC UTIL OF Oficio Verde x40mm.</t>
  </si>
  <si>
    <t>Carpeta 2 Anillos PVC UTIL OF Oficio Violeta x40mm.</t>
  </si>
  <si>
    <t>Carpeta 2 Anillos Oficio Fibra 4.0</t>
  </si>
  <si>
    <t>Carpeta LAMA 2 Anillos Oficio Con Cierre</t>
  </si>
  <si>
    <t>Carpeta 2 Anillos Polipropileno A4</t>
  </si>
  <si>
    <t>Carpeta 2 Anillos Polipropileno Oficio</t>
  </si>
  <si>
    <t>Carpeta 3 Anillos de Cartón ASAMBLEA Geometrico 2</t>
  </si>
  <si>
    <t>Carpeta 3 Anillos de Cartón ASAMBLEA Very Glam 2</t>
  </si>
  <si>
    <t>Carpeta Nº3 REXON con Anillos Glitter Film</t>
  </si>
  <si>
    <t>Carpeta 3 Anillos Fibra Económica</t>
  </si>
  <si>
    <t>Carpeta LAMA 3 Anillos Polipropileno Fucsia</t>
  </si>
  <si>
    <t>Carpeta LAMA 3 Anillos Polipropileno Negro</t>
  </si>
  <si>
    <t>Carpeta LAMA 3 Anillos Polipropileno Surtido Pastel</t>
  </si>
  <si>
    <t>Carpeta LAMA 3 Anillos Polipropileno Turquesa</t>
  </si>
  <si>
    <t>Carpeta LAMA 3 Anillos Polipropileno Verde Manzana</t>
  </si>
  <si>
    <t>Carpeta LAMA 3 Anillos Polipropileno Violeta</t>
  </si>
  <si>
    <t>Carpeta 3 Anillos AVIOS Pvc Negro</t>
  </si>
  <si>
    <t>Carpeta 3 Anillos AVIOS Pvc Naranja</t>
  </si>
  <si>
    <t>Carpeta 3 Anillos AVIOS Pvc Roja</t>
  </si>
  <si>
    <t>Carpeta 3 Anillos AVIOS Pvc Verde</t>
  </si>
  <si>
    <t>Carpeta Escolar 3 Anillos x40cm. Fantasía Auto</t>
  </si>
  <si>
    <t>Carpeta Escolar 3 Anillos x40cm. Fantasía California</t>
  </si>
  <si>
    <t>Carpeta CARTONE Nº3 Anillas Glamour Metalizada xu.</t>
  </si>
  <si>
    <t>Carpeta CARTONE Nº3 Anillas Indian Style xu.</t>
  </si>
  <si>
    <t>Carpeta ASAMBLEA N°3 Anillos Unicorns 2 xu.</t>
  </si>
  <si>
    <t>Carpeta 3 Solapas Amarilla Con Elastico xu.</t>
  </si>
  <si>
    <t>Carpeta 3 Solapas Azul Con Elastico xu.</t>
  </si>
  <si>
    <t>Carpeta OFICIO 3 Solapas Born To Die xu.</t>
  </si>
  <si>
    <t>Carpeta 3 Solapas con Elastico Prespan Pastel Colores Surtidos xu.</t>
  </si>
  <si>
    <t>Carpeta OFICIO 3 Solapas California Surfer xu.</t>
  </si>
  <si>
    <t>Carpeta 3 Solapas Celeste Con Elastico xu.</t>
  </si>
  <si>
    <t>Carpeta 3 Solapas Fucsia Con Elastico xu.</t>
  </si>
  <si>
    <t>Carpeta 3 Solapas Gris Con Elastico xu.</t>
  </si>
  <si>
    <t>Carpeta OFICIO 3 Solapas Sunny Days xu.</t>
  </si>
  <si>
    <t>Carpeta 3 Solapas Negra Con Elastico xu.</t>
  </si>
  <si>
    <t>Carpeta 3 Solapas Naranja Con Elastico xu.</t>
  </si>
  <si>
    <t>Carpeta 3 Solapas Roja Con Elastico xu.</t>
  </si>
  <si>
    <t>Carpeta 3 Solapas Rosa Con Elastico xu.</t>
  </si>
  <si>
    <t>Carpeta OFICIO 3 Solapas So Cute xu.</t>
  </si>
  <si>
    <t>Carpeta OFICIO 3 Solapas Todo con Amor xu.</t>
  </si>
  <si>
    <t>Carpeta OFICIO 3 Solapas Live Laugh Love xu.</t>
  </si>
  <si>
    <t>Carpeta 3 Solapas Verde Con Elastico xu.</t>
  </si>
  <si>
    <t>Carpeta 3 Solapas Violeta Con Elastico xu.</t>
  </si>
  <si>
    <t>Carpeta 3 Anillos de Cartón Económica Moto</t>
  </si>
  <si>
    <t>Carpeta 3 Solapas Oficio con Elástico Pvc</t>
  </si>
  <si>
    <t>Carpeta 2x40 ASAMBLEA Escuderia 2 xu.</t>
  </si>
  <si>
    <t>Carpeta 2x40 ASAMBLEA Girl Power xu.</t>
  </si>
  <si>
    <t>Carpeta 2x40 ASAMBLEA Glamour Metalizada xu.</t>
  </si>
  <si>
    <t>Carpeta A4 con 10 Folios</t>
  </si>
  <si>
    <t>Carpeta Oficio con 10 Folios</t>
  </si>
  <si>
    <t>Carpeta A4 con 20 Folios</t>
  </si>
  <si>
    <t>Carpeta Oficio con 20 Folios</t>
  </si>
  <si>
    <t>Carpeta A4 con 30 Folios</t>
  </si>
  <si>
    <t>Carpeta Oficio con 30 Folios</t>
  </si>
  <si>
    <t>Carpeta A4 con 40 Folios</t>
  </si>
  <si>
    <t>Carpeta Oficio con 40 Folios</t>
  </si>
  <si>
    <t>Carpeta A4 con 60 Folios</t>
  </si>
  <si>
    <t>Carpeta Oficio con 60 Folios</t>
  </si>
  <si>
    <t>Carpeta Nº3 con Cordón Polipropileno</t>
  </si>
  <si>
    <t>Carpeta LAMA Nº3 con Cordón Polipropileno Surtido Cristal</t>
  </si>
  <si>
    <t>Carpeta LAMA Nº3 con Cordón Polipropileno Surtido Neón</t>
  </si>
  <si>
    <t>Carpeta LAMA Nº3 con Cordón PolipropilenoSurtido Pastel</t>
  </si>
  <si>
    <t>Carpeta Nº3 con Cordón ASAMBLEA Motos</t>
  </si>
  <si>
    <t>Carpeta Nº3 con Cordón Fibra</t>
  </si>
  <si>
    <t>Carpeta Nº5 con Cordón Fibra</t>
  </si>
  <si>
    <t>Carpeta LAMA Nº5 con Cordón Polipropileno Surtido Neón</t>
  </si>
  <si>
    <t>Carpeta LAMA Nº5 con Cordón Polipropileno Surtido Pastel</t>
  </si>
  <si>
    <t>Carpeta Nº3 con Cordón UO Pvc Rojo</t>
  </si>
  <si>
    <t>Carpeta Nº3 con Cordón UO Pvc Escolar xu.</t>
  </si>
  <si>
    <t>Carpeta Nº3 con Cordón UO Pvc Negro</t>
  </si>
  <si>
    <t>Carpeta Nº5 con Cordón UO Pvc Escolar xu.</t>
  </si>
  <si>
    <t>Carpeta con Elástico UO Fibra Negra 35 x 50cm.</t>
  </si>
  <si>
    <t>Carpeta 3 Solapas Oficio con Elástico Licencia AFA Selección</t>
  </si>
  <si>
    <t>Carpeta 3 Solapas Oficio con Elástico Licencia Como Quieres...</t>
  </si>
  <si>
    <t>Carpeta 3 Solapas Oficio con Elástico Licencia Disney 100</t>
  </si>
  <si>
    <t>Carpeta 3 Solapas Oficio con Elástico Licencia FAB</t>
  </si>
  <si>
    <t>Carpeta 3 Solapas Oficio con Elástico Licencia Jurassic World</t>
  </si>
  <si>
    <t>Carpeta 3 Solapa Oficio con elastico Marvel</t>
  </si>
  <si>
    <t>Carpeta 3 Solapas Oficio con Elástico Licencia Mickey</t>
  </si>
  <si>
    <t>Carpeta 3 Solapas Oficio con Elástico Licencia Quitapesares</t>
  </si>
  <si>
    <t>Carpeta 3 Solapas Oficio con Elástico Licencia Rápidos y Furiosos</t>
  </si>
  <si>
    <t>Carpeta 3 Solapas Oficio con Elástico Licencia Spider Man</t>
  </si>
  <si>
    <t>Carpeta Nº6 con Elástico Prespan Amarilla 35 x 50cm.</t>
  </si>
  <si>
    <t>Carpeta Nº6 con Elástico Prespan Azul 35 x 50cm.</t>
  </si>
  <si>
    <t>Carpeta Nº6 con Elástico Prespan Celeste 35 x 50cm.</t>
  </si>
  <si>
    <t>Carpeta Nº6 con Elástico Prespan Fucsia 35 x 50cm.</t>
  </si>
  <si>
    <t>Carpeta Nº6 con Elástico Prespan Marrón 35 x 50cm.</t>
  </si>
  <si>
    <t>Carpeta Nº6 con Elástico Prespan Negra 35 x 50cm.</t>
  </si>
  <si>
    <t>Carpeta Nº6 con Elástico Prespan Naranja 35 x 50cm.</t>
  </si>
  <si>
    <t>Carpeta Nº6 con Elástico Prespan Pastel 35 x 50cm.</t>
  </si>
  <si>
    <t>Carpeta Nº6 con Elástico Prespan Roja 35 x 50cm.</t>
  </si>
  <si>
    <t>Carpeta Nº6 con Elástico Prespan Rosa 35 x 50cm.</t>
  </si>
  <si>
    <t>Carpeta Nº6 con Elástico Prespan Verde 35 x 50cm.</t>
  </si>
  <si>
    <t>Carpeta Nº6 con Elástico Prespan Violeta 35 x 50cm.</t>
  </si>
  <si>
    <t>Carpeta A4 con Elástico Prespan Marrón</t>
  </si>
  <si>
    <t>Carpeta Oficio con Elástico Prespan Marrón</t>
  </si>
  <si>
    <t>Carpeta 2 Solapas A4 Cartulina Premiun Bordó</t>
  </si>
  <si>
    <t>Carpeta 2 Solapas A4 Cartulina Premiun Gris</t>
  </si>
  <si>
    <t>Carpeta 2 Solapas A4 Cartulina Premiun Azul</t>
  </si>
  <si>
    <t>Carpeta 2 Solapas A4 Cartulina Premiun Negro</t>
  </si>
  <si>
    <t>Carpeta 2 Solapas A4 Cartulina Premiun Naranja</t>
  </si>
  <si>
    <t>Carpeta 2 Solapas A4 Cartulina Premiun Rojo</t>
  </si>
  <si>
    <t>Carpeta 2 Solapas A4 Cartulina Amarillo</t>
  </si>
  <si>
    <t>Carpeta 2 Solapas A4 Cartulina Celeste</t>
  </si>
  <si>
    <t>Carpeta 2 Solapas A4 Cartulina Rosa</t>
  </si>
  <si>
    <t>Carpeta Carátula Cartulina Amarillo</t>
  </si>
  <si>
    <t>Carpeta Carátula Cartulina Rosa</t>
  </si>
  <si>
    <t>Carpeta Carátula Cartulina Verde</t>
  </si>
  <si>
    <t>Carpeta Carátula Colgante Cartulina 5 Posiciones Móviles</t>
  </si>
  <si>
    <t>Carpeta Colgante Nepaco Amarillo x 25 unidades</t>
  </si>
  <si>
    <t>Carpeta Colgante Nepaco Azul Marino x 25 unidades</t>
  </si>
  <si>
    <t>Carpeta Colgante Nepaco Roja x 25 unidades</t>
  </si>
  <si>
    <t>Carpeta Colgante Nepaco Verde x 25 unidades</t>
  </si>
  <si>
    <t>Carpeta DELI Presentación A4 PP 2 Bolsillos Colores Surtidos</t>
  </si>
  <si>
    <t>Carpeta Esquela 2 x 30cm. Fibra Negra xu.</t>
  </si>
  <si>
    <t>Carpeta Frente Cristal Base Opaca A4 Pastel xu.</t>
  </si>
  <si>
    <t>Carpeta Interior Cartulina Ladrillo</t>
  </si>
  <si>
    <t>Carpeta Kismet A4</t>
  </si>
  <si>
    <t>Carpeta Kismet Oficio</t>
  </si>
  <si>
    <t>Carpeta Legajo Personal Milenium x25u</t>
  </si>
  <si>
    <t>Carpeta ASAMBLEA Nº3 Motos xu.</t>
  </si>
  <si>
    <t>Carpeta ASAMBLEA Nº3 Pastel Stamping xu.</t>
  </si>
  <si>
    <t>Carpeta ASAMBLEA Nº3 Stay Wild xu.</t>
  </si>
  <si>
    <t>Carpeta ASAMBLEA Nº3 Urban Style xu.</t>
  </si>
  <si>
    <t>Carpeta Oficio AVIOS Fibra 2x40 Negro xu.</t>
  </si>
  <si>
    <t>Carpeta Doble Oficio MOOVING Nº6 3 Solapas Pastel</t>
  </si>
  <si>
    <t>Carpeta de Presentación A4 Swing Clip</t>
  </si>
  <si>
    <t>Carpeta de Presentación Oficio Swing Clip</t>
  </si>
  <si>
    <t>Carpeta de Presentación A4 con Vaina</t>
  </si>
  <si>
    <t>Carpeta de Presentación Oficio con Vaina</t>
  </si>
  <si>
    <t>Carpeta de Presentación A4 Easyclip</t>
  </si>
  <si>
    <t>Carpeta de Presentación Oficio Easyclip</t>
  </si>
  <si>
    <t>Carpeta de Presentación Oficio Frente Cristal</t>
  </si>
  <si>
    <t>Carpeta de Presentación A4 L</t>
  </si>
  <si>
    <t>Carpeta de Presentación Oficio L</t>
  </si>
  <si>
    <t>Carpeta de Presentación Velox A4 con Tapa</t>
  </si>
  <si>
    <t>Carpeta Frozen 3 Solapas xu.</t>
  </si>
  <si>
    <t>Carpeta Pastel 3 Solapas xu.</t>
  </si>
  <si>
    <t>Carpeta ASAMBLEA 3x40 Bicolor</t>
  </si>
  <si>
    <t>Carpeta ASAMBLEA 3x40 Color Pastel Stamping</t>
  </si>
  <si>
    <t>Carpeta ASAMBLEA 3x40 Kraft Naturaleza</t>
  </si>
  <si>
    <t>Carpeta ASAMBLEA 3x40 Motos</t>
  </si>
  <si>
    <t>Carpeta ASAMBLEA 3x40 Stay Wild</t>
  </si>
  <si>
    <t>Carpeta ASAMBLEA 3x40 Urban Style</t>
  </si>
  <si>
    <t>Carpeta ASAMBLEA 3x40 Animales Tiernos</t>
  </si>
  <si>
    <t>Carpeta ASAMBLEA 3x40 Arabesco</t>
  </si>
  <si>
    <t>Carpeta ASAMBLEA 3x40 Color Pastel</t>
  </si>
  <si>
    <t>Carpeta ASAMBLEA 3x40 Glitter</t>
  </si>
  <si>
    <t>Carpeta C/Cordón N5 ONIX Deportes</t>
  </si>
  <si>
    <t>Carpeta C/Cordón N5 ONIX Mascotas</t>
  </si>
  <si>
    <t>Carpeta ONIX Nº3 Black &amp; Pink</t>
  </si>
  <si>
    <t>Carpeta ONIX Nº3 Kraft Inclusiva</t>
  </si>
  <si>
    <t>Carpeta ONIX Nº3 Rainbow 2</t>
  </si>
  <si>
    <t>Carpeta ONIX Nº3 Salvaje</t>
  </si>
  <si>
    <t>Carpeta Avengers Historietas Nº5 xu.</t>
  </si>
  <si>
    <t>Carpeta boca Nº5 xu.</t>
  </si>
  <si>
    <t>Carpeta Cachorro Nº5 xu.</t>
  </si>
  <si>
    <t>Carpeta Cute Nº5 xu.</t>
  </si>
  <si>
    <t>Carpeta PPR Game Zone Nº5 xu.</t>
  </si>
  <si>
    <t>Carpeta RIVER Nº5 xu.</t>
  </si>
  <si>
    <t>Carpeta PPR Street Racing Nº5 xu.</t>
  </si>
  <si>
    <t>Carpeta Carta A4 2 x 40cm. Fuego</t>
  </si>
  <si>
    <t>Carpeta Escolar MOOVING Golden Rainbow 2x40</t>
  </si>
  <si>
    <t>Carpeta Escolar MOOVING AFA Selección 2x40</t>
  </si>
  <si>
    <t>Carpeta Escolar MOOVING Among Us 3x40</t>
  </si>
  <si>
    <t>Carpeta Escolar MOOVING Brush 3x40</t>
  </si>
  <si>
    <t>Carpeta Escolar MOOVING Chic 3x40</t>
  </si>
  <si>
    <t>Carpeta Escolar MOOVING Disney 100 3x40</t>
  </si>
  <si>
    <t>Carpeta Escolar MOOVING Dragon Ball 3x40</t>
  </si>
  <si>
    <t>Carpeta Escolar MOOVING Harry Potter 3x40</t>
  </si>
  <si>
    <t>Carpeta Escolar MOOVING Jurassic World 3x40</t>
  </si>
  <si>
    <t>Carpeta Escolar MOOVING Pastel 3x40</t>
  </si>
  <si>
    <t>Carpeta Escolar MOOVING Pastel 2x40</t>
  </si>
  <si>
    <t>Carpeta Escolar MOOVING Rápidos y Furiosos 3x40</t>
  </si>
  <si>
    <t>Carpeta Escolar MOOVING Wonder Woman 3x40</t>
  </si>
  <si>
    <t>Carpeta de Presentación A4 Frente Cristal</t>
  </si>
  <si>
    <t>Carpeta Escolar MOOVING Harry Potter 2x40</t>
  </si>
  <si>
    <t>Carpeta PPR Holografica Nº3 xu.</t>
  </si>
  <si>
    <t>Carpeta Oficio 2 x 40cm. Fuego</t>
  </si>
  <si>
    <t>Carpeta ONIX 3x40 Black &amp; Pink</t>
  </si>
  <si>
    <t>Carpeta ONIX 3x40 Black &amp; Pink 2</t>
  </si>
  <si>
    <t>Carpeta ONIX 3x40 Deportes 2</t>
  </si>
  <si>
    <t>Carpeta ONIX 3x40 Gamer</t>
  </si>
  <si>
    <t>Carpeta ONIX 3x40 Kraft Inclusiva</t>
  </si>
  <si>
    <t>Carpeta ONIX 3x40 Lisa Azul</t>
  </si>
  <si>
    <t>Carpeta ONIX 3x40 Lisa Roja</t>
  </si>
  <si>
    <t>Carpeta ONIX 3x40 Lisa Verde</t>
  </si>
  <si>
    <t>Carpeta ONIX 3x40 Live Fast</t>
  </si>
  <si>
    <t>Carpeta ONIX 3x40 Moto Stunt</t>
  </si>
  <si>
    <t>Carpeta ONIX 3x40 Nature 2</t>
  </si>
  <si>
    <t>Carpeta ONIX 3x40 Pastel Vinilico</t>
  </si>
  <si>
    <t>Carpeta ONIX 3x40 Rainbow 2</t>
  </si>
  <si>
    <t>Carpeta ONIX 3x40 Rainbow 3</t>
  </si>
  <si>
    <t>Carpeta ONIX 3x40 Salvaje</t>
  </si>
  <si>
    <t>Carpeta ONIX 3x40 Spring</t>
  </si>
  <si>
    <t>Carpeta ONIX Nº3 Live Fast</t>
  </si>
  <si>
    <t>Carpeta ONIX Nº3 Deportes 2</t>
  </si>
  <si>
    <t>Carpeta ONIX Nº3 Gamer</t>
  </si>
  <si>
    <t>Carpeta ONIX Nº3 Moto Stunt</t>
  </si>
  <si>
    <t>Carpeta ONIX Nº5 Batik</t>
  </si>
  <si>
    <t>Carpeta ONIX Nº5 Zombie Madness</t>
  </si>
  <si>
    <t>Carpeta Doble Oficio Azul xu.</t>
  </si>
  <si>
    <t>Carpeta Arcoiris 2x40 A4 xu.</t>
  </si>
  <si>
    <t>Carpeta Avengers x240 A4 xu.</t>
  </si>
  <si>
    <t>Carpeta Independiente 2x40 A4 xu.</t>
  </si>
  <si>
    <t>Carpeta Racing Club 2x40 A4 xu.</t>
  </si>
  <si>
    <t>Carpeta Arcoiris 3x40 xu.</t>
  </si>
  <si>
    <t>Carpeta Fluo 3x40 xu.</t>
  </si>
  <si>
    <t>Carpeta Holográica 3x40 xu.</t>
  </si>
  <si>
    <t>Carpeta Pastel 3x40 xu.</t>
  </si>
  <si>
    <t>Carpeta PPR Game Zone Nº3 xu.</t>
  </si>
  <si>
    <t>Carpeta PPR Nº5 Holografica xu.</t>
  </si>
  <si>
    <t>Carpeta Starwars Nº5 xu.</t>
  </si>
  <si>
    <t>Carpeta PPR Avengers Nº3 xu.</t>
  </si>
  <si>
    <t>Carpeta PPR Avengers Historietas Nº3 xu.</t>
  </si>
  <si>
    <t>Carpeta PPR Fluo Nº3 xu.</t>
  </si>
  <si>
    <t>Clasificador A4/Carta</t>
  </si>
  <si>
    <t>Clasificador Deli A4 7 Posiciones Colores Surtidos</t>
  </si>
  <si>
    <t>Clasificador Esquela</t>
  </si>
  <si>
    <t>Clasificador Oficio Maletín</t>
  </si>
  <si>
    <t>Clasificador Oficio</t>
  </si>
  <si>
    <t>Etiquetas Autoadhesivas Avengers x16u.</t>
  </si>
  <si>
    <t>Etiquetas Autoadhesivas Cachorros x16u.</t>
  </si>
  <si>
    <t>Etiquetas Autoadhesivas Free Love x16u.</t>
  </si>
  <si>
    <t>Etiquetas Autoadhesivas Frozen x16u.</t>
  </si>
  <si>
    <t>Etiquetas Autoadhesivas Grafitti x16u.</t>
  </si>
  <si>
    <t>Etiquetas Autoadhesivas Hashtag x16u.</t>
  </si>
  <si>
    <t>Etiquetas Autoadhesivas Just Cool x16u.</t>
  </si>
  <si>
    <t>Etiquetas Autoadhesivas Lunar x16u.</t>
  </si>
  <si>
    <t>Etiquetas Autoadhesivas Muy Chulas x16u.</t>
  </si>
  <si>
    <t>Etiquetas Autoadhesivas Cute x16u.</t>
  </si>
  <si>
    <t>Etiquetas Autoadhesivas Game Zone x16u.</t>
  </si>
  <si>
    <t>Etiiquetas Autoadhesivas Street Racing x16u.</t>
  </si>
  <si>
    <t>Porta Block Single Oficio con Clips Colores</t>
  </si>
  <si>
    <t>Porta Block Oficio</t>
  </si>
  <si>
    <t>Porta Block "MDF" A4</t>
  </si>
  <si>
    <t>Porta Block "MDF" Esquela</t>
  </si>
  <si>
    <t>Porta Block "MDF" OFICIO</t>
  </si>
  <si>
    <t>Porta Block A4</t>
  </si>
  <si>
    <t>Porta Block A4 Acrílico</t>
  </si>
  <si>
    <t>Porta Block Acrilico A4</t>
  </si>
  <si>
    <t>Porta Block Acrilico A5</t>
  </si>
  <si>
    <t>Porta Block Acrílico Oficio</t>
  </si>
  <si>
    <t>Porta Block con Tapa Oficio xu.</t>
  </si>
  <si>
    <t>Porta Bock DELLO Esquela C/Broche Cristal</t>
  </si>
  <si>
    <t>Porta Block DELLO Esquela C/Broche Negro</t>
  </si>
  <si>
    <t>Porta Block Ezco Con Depósito A4</t>
  </si>
  <si>
    <t>Porta Block Doble Oficio con Clips Colores</t>
  </si>
  <si>
    <t>Porta Documentos Con Cierre A4</t>
  </si>
  <si>
    <t>Separadores Escolar Color Surtido F/40</t>
  </si>
  <si>
    <t>Separadores A4 5 Posiciones F/40</t>
  </si>
  <si>
    <t>SEPARADORES OFICIO 5 POSICIONES F/40</t>
  </si>
  <si>
    <t xml:space="preserve">AROS Y ENCUADERNACION </t>
  </si>
  <si>
    <t>Anillos de Expansion IBICO Mediano Chicle x6 Piezas x32mm.</t>
  </si>
  <si>
    <t>Anillos de Expansion IBICO Mediano Mostaza x6 Piezas x32mm.</t>
  </si>
  <si>
    <t>Anillos de Expansion IBICO Mediano Surtido x12 Piezas x32mm.</t>
  </si>
  <si>
    <t>Anillos para Encuadernar x45mm. x10u.</t>
  </si>
  <si>
    <t>Anillos para Encuadernar x23mm. x20u.</t>
  </si>
  <si>
    <t>Anillos para Encuadernar x25mm. x20u.</t>
  </si>
  <si>
    <t>Anillos para Encuadernar x29mm. x20u.</t>
  </si>
  <si>
    <t>Anillos para Encuadernar x33mm. x20u.</t>
  </si>
  <si>
    <t>Anillos para Encuadernar x40mm. x20u.</t>
  </si>
  <si>
    <t>Anillos para Encuadernar x12mm. x50u.</t>
  </si>
  <si>
    <t>Anillos para Encuadernar x14mm. x50u.</t>
  </si>
  <si>
    <t>Anillos para Encuadernar x17mm. x50u.</t>
  </si>
  <si>
    <t>Anillos para Encuadernar x20mm. x50u.</t>
  </si>
  <si>
    <t>Anillos para Encuadernar x7mm. x50u.</t>
  </si>
  <si>
    <t>Arandelas de Cartón x500u.</t>
  </si>
  <si>
    <t>Aros Metal F-RINGS x35mm. x25u.</t>
  </si>
  <si>
    <t>Aros Metal F-RINGS x40mm. x25u.</t>
  </si>
  <si>
    <t>Aros Metal F-RINGS x50mm. x25u.</t>
  </si>
  <si>
    <t>Aros Metal F-RINGS x56mm. x25u.</t>
  </si>
  <si>
    <t>Aros Metal F-RINGS x70mm. x25u.</t>
  </si>
  <si>
    <t>Discos de Expansion IBICO Corazon Lavanda x8 Piezas x24mm.</t>
  </si>
  <si>
    <t>Discos de Expansion IBICO Corazon Surtido x8 Piezas x24mm.</t>
  </si>
  <si>
    <t>Discos de Expansion IBICO Corazon Verde Pastel x8 Piezas x24mm.</t>
  </si>
  <si>
    <t>Tapa para Encuadernar LEATHER A4 Transparente Cristal</t>
  </si>
  <si>
    <t>Tapa para Encuadernar LEATHER Oficio Opaco Negro</t>
  </si>
  <si>
    <t>Tapa para Encuadernar STRIPE A4 Opaco Azul</t>
  </si>
  <si>
    <t>Tapa para Encuadernar STRIPE A4 Opaco Celeste</t>
  </si>
  <si>
    <t>Tapa para Encuadernar STRIPE A4 Opaco Lila</t>
  </si>
  <si>
    <t>Tapa para Encuadernar STRIPE A4 Opaco Negro</t>
  </si>
  <si>
    <t>Tapa para Encuadernar STRIPE A4 Opaco Rojo</t>
  </si>
  <si>
    <t>Tapa para Encuadernar STRIPE A4 Opaco Verde</t>
  </si>
  <si>
    <t>Tapa para Encuadernar STRIPE A4 Transparente Cristal</t>
  </si>
  <si>
    <t>Tapa para Encuadernar STRIPE A4 Transparente H.</t>
  </si>
  <si>
    <t>Tapa para Encuadernar STRIPE A4 Transparente Azul</t>
  </si>
  <si>
    <t>Tapa para Encuadernar STRIPE Oficio Opaco Azul</t>
  </si>
  <si>
    <t>Tapa para Encuadernar STRIPE Oficio Opaco Negro</t>
  </si>
  <si>
    <t>Tapa para Encuadernar STRIPE Oficio Opaco Verde</t>
  </si>
  <si>
    <t>Tapa para Encuadernar STRIPE Oficio Transparente Cristal</t>
  </si>
  <si>
    <t>Tapa para Encuadernar STRIPE Oficio Transparente H</t>
  </si>
  <si>
    <t xml:space="preserve">COLOREO </t>
  </si>
  <si>
    <t>Marcador SHARPIE Cera Azul x12u.</t>
  </si>
  <si>
    <t>Marcador SHARPIE Cera Rojo x12u.</t>
  </si>
  <si>
    <t>Marcador SHARPIE Cera Verde x12u.</t>
  </si>
  <si>
    <t>Crayones de Cera FABER Trompo x4u.</t>
  </si>
  <si>
    <t>Crayon CRAYOLA de Cera x64u.</t>
  </si>
  <si>
    <t>Crayon CRAYOLA Twistables Extreme x8u.</t>
  </si>
  <si>
    <t>Crayon CRAYOLA Twistables Valija x65pz.</t>
  </si>
  <si>
    <t>Crayon CRAYOLA Twistables x10u.</t>
  </si>
  <si>
    <t>Crayon CRAYOLA Twistables x8u.</t>
  </si>
  <si>
    <t>Crayon CRAYOLA Window Para Vidrio x5u.</t>
  </si>
  <si>
    <t>Crayones de Cera TRABI Surtido x12u.</t>
  </si>
  <si>
    <t>Crayones de Cera TRABI Surtido x6u.</t>
  </si>
  <si>
    <t>Crayón GIOTTO Bebé x10u.</t>
  </si>
  <si>
    <t>Crayón GIOTTO Cera Maxi Tri x12u.</t>
  </si>
  <si>
    <t>Crayon de Plastico SIMBALL x6u.</t>
  </si>
  <si>
    <t>Crayones SIMBALL Gel Acuarelable x12u.</t>
  </si>
  <si>
    <t>Crayones COLOR'PEPS Twist x12u.</t>
  </si>
  <si>
    <t>Crayones de Cera FILGO PINTO Estuche x12u. Surtido</t>
  </si>
  <si>
    <t>Crayones de Cera PINTO Estuche x6u. Fluo</t>
  </si>
  <si>
    <t>Crayones de Cera FILGO PINTO Estuche x6u. Surtido</t>
  </si>
  <si>
    <t>Crayones de Cera PINTO Estuche x8u. Fluo</t>
  </si>
  <si>
    <t>Crayones de Cera PINTO JUMBO Estuche x12u. Surtido</t>
  </si>
  <si>
    <t>Crayones de Cera PINTO JUMBO Estuche x6u. Surtido</t>
  </si>
  <si>
    <t>Crayones EZCO 12 Colores + Pincel</t>
  </si>
  <si>
    <t>Crayones de Cera TRABI Jumbo Pastel x6u.</t>
  </si>
  <si>
    <t>Crayones de Cera TRABI Jumbo x12u.</t>
  </si>
  <si>
    <t>Crayones de Cera TRABI Jumbo x6u.</t>
  </si>
  <si>
    <t>Crayones de Cera TRABI Super Jumbo x8u.</t>
  </si>
  <si>
    <t>FILGO Box Colorear x9u. Surtido</t>
  </si>
  <si>
    <t>FILGO Box Fun x10u. Surtido</t>
  </si>
  <si>
    <t>Lapices MOOVING Acuareables x12u.</t>
  </si>
  <si>
    <t>Lápiz EZCO Mito Corto Color x 12u.</t>
  </si>
  <si>
    <t>Lápiz EZCO Mito Corto Color x 6u.</t>
  </si>
  <si>
    <t>Lápiz EZCO Mito Largo Color x12u.</t>
  </si>
  <si>
    <t>Lapiz LYRA Mina de 4 Colores en Pote x36u.</t>
  </si>
  <si>
    <t>Pastel al Oleo MAPED Color´Peps x12u.</t>
  </si>
  <si>
    <t>Pastel al Oleo CRAYOLA x16u.</t>
  </si>
  <si>
    <t>Pastel al Oleo GIOTTO x12u.</t>
  </si>
  <si>
    <t>Pinturitas BIC Evolution Largas x12u. + 4u. de Grafito sin Cargo</t>
  </si>
  <si>
    <t>Pinturita BIC Evolution Pijama x12u.</t>
  </si>
  <si>
    <t>Pinturitas Color'Peps Strong Estuche x24u.</t>
  </si>
  <si>
    <t>Pinturitas de Cera Crayón SIMBALL x12u.</t>
  </si>
  <si>
    <t>Pinturitas de Cera Crayón SIMBALL x6u.</t>
  </si>
  <si>
    <t>Pinturitas de Cera GIOTTO Maxi x12u.</t>
  </si>
  <si>
    <t>Pintita CRAYOLA Extreme Neon x8u.</t>
  </si>
  <si>
    <t>Pintita CRAYOLA Largo x12u.</t>
  </si>
  <si>
    <t>Pintita CRAYOLA Largo x24u.</t>
  </si>
  <si>
    <t>Pintita CRAYOLA Metallic x8u.</t>
  </si>
  <si>
    <t>Pinturitas Crayón MAPED Baby Color'Peps x 6u.</t>
  </si>
  <si>
    <t>Pinturitas Crayón MAPED Color´Peps x12u.</t>
  </si>
  <si>
    <t>Pinturitas Crayón MAPED Color´Peps Wax Maxi x12u.</t>
  </si>
  <si>
    <t>Pinturitas MAPED Color Peps Gel x10u.</t>
  </si>
  <si>
    <t>Pinturitas Crayón MAPED ColorPeps Gel x6u.</t>
  </si>
  <si>
    <t>Crayones PELIKAN Colorella x12u.</t>
  </si>
  <si>
    <t>Crayones PELIKAN Color Mix x6u.</t>
  </si>
  <si>
    <t>Crayones PELIKAN Pastel x6u.</t>
  </si>
  <si>
    <t>Pinturitas Crayón SIMBALL Jumbo x12u.</t>
  </si>
  <si>
    <t>Pinturitas Crayón SIMBALL Maxi Jumbo x8u.</t>
  </si>
  <si>
    <t>Pinturitas TOYO Ecoflex x12u.</t>
  </si>
  <si>
    <t>Pinturita FABER-CASTELL Splash Corto x12u.</t>
  </si>
  <si>
    <t>Pintita FABER-CASTELL Splash Corto x6u.</t>
  </si>
  <si>
    <t>Pintita FABER CASTELL Splash Largo x12u.</t>
  </si>
  <si>
    <t>Pintita FABER-CASTELL Splash Largo x24u.</t>
  </si>
  <si>
    <t>Pinturita FABER-CASTELL Super Soft x100u.</t>
  </si>
  <si>
    <t>Pinturita FABER-CASTELL Super Soft x12u.</t>
  </si>
  <si>
    <t>Pinturita FABER-CASTELL Super Soft x24u.</t>
  </si>
  <si>
    <t>Pinturitas FABER Eco Largas x12u. + 3 Grafitos</t>
  </si>
  <si>
    <t>Pinturitas FABER Eco Metalico Estuche x10u.</t>
  </si>
  <si>
    <t>Pinturitas FABER-CASTELL Largas Acuarelable x12u.</t>
  </si>
  <si>
    <t>Pinturitas FABER-CASTELL Largas Acuarelable x24u.</t>
  </si>
  <si>
    <t>Pinturita FABER-CASTELL Larga Pastel x10u.</t>
  </si>
  <si>
    <t>Pinturitas FABER-CASTELL Largas x36u.</t>
  </si>
  <si>
    <t>Pinturitas FABER-CASTELL Largas x48u.</t>
  </si>
  <si>
    <t>Pinturitas FABER-CASTELL Largas x12u.Caras y Colores</t>
  </si>
  <si>
    <t>Pinturitas FABER Caras y Colores Largas x24u.</t>
  </si>
  <si>
    <t>Pinturitas FABER Lata x12u.</t>
  </si>
  <si>
    <t>Pinturita FABER por 12 Colores Mas 6 Colores Neon</t>
  </si>
  <si>
    <t>Pinturitas FILGO Largos Pinto Bicolor Estuche x12u.</t>
  </si>
  <si>
    <t>Pinturitas FILGO Pinto Fluo Estuche x8u.</t>
  </si>
  <si>
    <t>Pinturitas FILGO Pinto Largas Estuche x12u.</t>
  </si>
  <si>
    <t>Pinturitas FILGO Pinto Metalizado Estuche x10u.</t>
  </si>
  <si>
    <t>Pinturitas FILGO Pinto Mini Surtidos Estuche x12u.</t>
  </si>
  <si>
    <t>Pinturitas FILGO Pinto Mini Surtidos Estcuhe x6u.</t>
  </si>
  <si>
    <t>Pinturitas FILGO Pinto Pastel Estuche x10u.</t>
  </si>
  <si>
    <t>Pinturitas FILGO Skin Tones Estuche x6u.</t>
  </si>
  <si>
    <t>Pinturitas FILGO Pinto Surtidos Estcuhe x24u.</t>
  </si>
  <si>
    <t>Pinturitas GIOTTO Bebé x12u.</t>
  </si>
  <si>
    <t>Pinturitas GIOTTO Bebé x6u.</t>
  </si>
  <si>
    <t>Pinturitas GIOTTO 3.0 Colors x12u.</t>
  </si>
  <si>
    <t>Pinturitas GIOTTO Supermina Largas en Lata x12u.</t>
  </si>
  <si>
    <t>Pinturitas GIOTTO Supermina Largas en Lata x24u.</t>
  </si>
  <si>
    <t>Pinturitas GIOTTO Supermina Largas en Lata x36u.</t>
  </si>
  <si>
    <t>Pinturitas GIOTTO Supermina Largas Lata Elementos x50u.</t>
  </si>
  <si>
    <t>Pinturitas GIOTTO Stilnovo Acuarelable x12u.</t>
  </si>
  <si>
    <t>Pinturitas GIOTTO Stilnovo Acuarelable x24u.</t>
  </si>
  <si>
    <t>Pinturitas GIOTTO Stilnovo Largas x 12u.</t>
  </si>
  <si>
    <t>Pinturitas GIOTTO Stilnovo Largas x24u.</t>
  </si>
  <si>
    <t>Pinturitas GIOTTO Stilnovo Largas x36u.</t>
  </si>
  <si>
    <t>Pinturitas GIOTTO Supermina Largas x12u.</t>
  </si>
  <si>
    <t>Pinturitas GIOTTO Supermina Largas x24u.</t>
  </si>
  <si>
    <t>Pinturitas GIOTTO Supermina Largas x36u.</t>
  </si>
  <si>
    <t>Pinturitas COLOR'PEPS Black Monster x12u.</t>
  </si>
  <si>
    <t>Pinturitas COLOR'PEPS Black Monster x24u.</t>
  </si>
  <si>
    <t>Pinturitas MAPED Color´Peps Animales Largas x12u.</t>
  </si>
  <si>
    <t>Pinturitas MAPED Color Peps Largas x36u.</t>
  </si>
  <si>
    <t>Pinturitas MAPED Color´Peps Largas x48u.</t>
  </si>
  <si>
    <t>Pinturitas MAPED Color´Peps Largas x12u.</t>
  </si>
  <si>
    <t>Pinturitas MAPED Color´Peps Pastel x12u.</t>
  </si>
  <si>
    <t>Pinturitas MAPED Color Peps Largas Acuarelables x12u.</t>
  </si>
  <si>
    <t>Pinturitas MAPED Color´Peps Cortas x12u.</t>
  </si>
  <si>
    <t>Pinturitas MAPED Color'Peps Duo Largas x18u.</t>
  </si>
  <si>
    <t>Pinturitas MAPED Color'Peps Duo Largas x24u.</t>
  </si>
  <si>
    <t>Pinturitas MAPED Color´Peps Duo Largas x12u.</t>
  </si>
  <si>
    <t>Pinturitas MAPED Color´Peps Largas Fluo x6u.</t>
  </si>
  <si>
    <t>Pinturitas MAPED Mini Cute x12u.</t>
  </si>
  <si>
    <t>Pinturitas COLORPEP'S Cardboard Strong Jumbo x12u.</t>
  </si>
  <si>
    <t>Pinturitas COLORPEP'S Cardboard Strong Mini x12u.</t>
  </si>
  <si>
    <t>Pinturitas COLORPEP'S Cardboard Strong x24u.</t>
  </si>
  <si>
    <t>Pinturitas PENMAC x12u. Largas</t>
  </si>
  <si>
    <t>Pinturitas PENMAC x24u. Largas</t>
  </si>
  <si>
    <t>Pinturitas PIZZINI Largas Pastel Triangulares x10u.</t>
  </si>
  <si>
    <t>Pinturitas Plásticas MAPED Color´Peps x12u.</t>
  </si>
  <si>
    <t>Pinturitas de Resina FILGO Borrables Estuche x12u.</t>
  </si>
  <si>
    <t>Pinturitas de Resina FILGO Surtido Estuche x36u.</t>
  </si>
  <si>
    <t>Pinturitas de Resina FILGO Surtido Estuche x48u.</t>
  </si>
  <si>
    <t>Pinturitas Robercolor Black x12u. LARGA</t>
  </si>
  <si>
    <t>Pint.Robercolor x12u. LARGA</t>
  </si>
  <si>
    <t>Pinturitas SIMBALL Borrable Innovation Largas x12u.</t>
  </si>
  <si>
    <t>Pinturitas SIMBALL Colores Cortas x12u.</t>
  </si>
  <si>
    <t>Pinturitas SIMBALL Colores Largas x12u.</t>
  </si>
  <si>
    <t>Pinturitas SIMBALL Innovation Largas x12u.</t>
  </si>
  <si>
    <t>Pinturitas SIMBALL Innovation Bicolor x12u.</t>
  </si>
  <si>
    <t>Pinturitas SIMBALL Innovation Largas x24u.</t>
  </si>
  <si>
    <t>Pinturitas SIMBALL Innovation Metálicos x8u.</t>
  </si>
  <si>
    <t>Pinturitas SIMBALL Innovation Neón x8u.</t>
  </si>
  <si>
    <t>Pinturitas SIMBALL Innovation Pastel x8u.</t>
  </si>
  <si>
    <t>Pinturitas SIMBALL Innovation Cortas x12u.</t>
  </si>
  <si>
    <t>Pinturitas SIMBALL Innovation Cortas x6u.</t>
  </si>
  <si>
    <t>Pinturita Simball Kids Jumbo x 10 unidades</t>
  </si>
  <si>
    <t>Pinturitas TOYO Pastel x12u.</t>
  </si>
  <si>
    <t>Pinturitas TRABI Doble Color Surtido x24u.</t>
  </si>
  <si>
    <t>Pinturitas TRABI Fluo x6u. Surtido</t>
  </si>
  <si>
    <t>Pinturitas TRABI Metalizados x6u. Surtido</t>
  </si>
  <si>
    <t>Pinturitas TRABI de Resina Estuche x12u. Cortos</t>
  </si>
  <si>
    <t>Pinturitas TRABI de Resina Estuche x6u. Cortos</t>
  </si>
  <si>
    <t>Pinturitas TRABI de Resina Estuche x12u. Largos</t>
  </si>
  <si>
    <t xml:space="preserve">ARTE ESCOLAR </t>
  </si>
  <si>
    <t>Acuarela AQUAFINE Lata x10 Colores</t>
  </si>
  <si>
    <t>Acuarela AQUAFINE Lata x18 Colores</t>
  </si>
  <si>
    <t>Acuarela AQUAFINE Lata x24 Colores</t>
  </si>
  <si>
    <t>Acuarela CRAYOLA Escolar x16u.</t>
  </si>
  <si>
    <t>Acuarela EZCO Colores x12u.</t>
  </si>
  <si>
    <t>Acuarela EZCO Colores Premium x12u.</t>
  </si>
  <si>
    <t>Acuarela FABER-CASTELL Blister x8u.</t>
  </si>
  <si>
    <t>Acuarelas FILGO Estuche x12u.</t>
  </si>
  <si>
    <t>Acuarelas FILGO Estuche x36u.</t>
  </si>
  <si>
    <t>Acuarela FILGO Estuche x8u.</t>
  </si>
  <si>
    <t>Acuarela GIOTTO Estuche Rígido Pastillas x12u.</t>
  </si>
  <si>
    <t>Acuarela GIOTTO Estuche Rígido Pastillas x24u.</t>
  </si>
  <si>
    <t>Acuarelas ONIX x 12 Pastillas Ovalada Sin Tapa</t>
  </si>
  <si>
    <t>Acuarelas ONIX x 18 Pastillas</t>
  </si>
  <si>
    <t>Acuarelas Pastel TRABI Estuche Rigido x8u.</t>
  </si>
  <si>
    <t>Acuarelas TRABI Estuche Rigido x12u.</t>
  </si>
  <si>
    <t>Acuarelas TRABI Estuche Rigido x28u.</t>
  </si>
  <si>
    <t>Acuarelas TRABI Estuche Rigido x48u.</t>
  </si>
  <si>
    <t>Brillantina Colores Patrios Blister x5 Sobres</t>
  </si>
  <si>
    <t>Brillantina sobre x5u. Pastel Surtido(20)</t>
  </si>
  <si>
    <t>Brillantina en Sobre Amarilla x5u.</t>
  </si>
  <si>
    <t>Brillantina en Sobre Azul x5u.</t>
  </si>
  <si>
    <t>Brillantina en Sobre Cobre/Bronce x5u.</t>
  </si>
  <si>
    <t>Brillantina en Sobre Dorado x5u.</t>
  </si>
  <si>
    <t>Brillantina en Sobre Fluo Surtido x5u.</t>
  </si>
  <si>
    <t>Brillantina en Sobre Fucsia x5u.</t>
  </si>
  <si>
    <t>Brillantina en Sobre Multicolor x5u.</t>
  </si>
  <si>
    <t>Brillantina en Sobre Negro x5u.</t>
  </si>
  <si>
    <t>Brillantina en Sobre Plateado x5u.</t>
  </si>
  <si>
    <t>Brillantina en Sobre Rojo x5u.</t>
  </si>
  <si>
    <t>Brillantina en Sobre Rosa x5u.</t>
  </si>
  <si>
    <t>Brillantina en Sobre Surtido x5u.</t>
  </si>
  <si>
    <t>Brillantina en Sobre Verde Claro x5u.</t>
  </si>
  <si>
    <t>Brillantina en Sobre Verde x5u.</t>
  </si>
  <si>
    <t>Brillantina en Sobre Violeta x5u.</t>
  </si>
  <si>
    <t>Brillantina en Sobre Celeste x5u.</t>
  </si>
  <si>
    <t>Gibre AD Cobre x6u.</t>
  </si>
  <si>
    <t>Gibre AD Acero x6u.</t>
  </si>
  <si>
    <t>Gibre AD Amarillo Irid.x6u.</t>
  </si>
  <si>
    <t>Gibre AD Azucar x6u.</t>
  </si>
  <si>
    <t>Gibre AD azul x6u.</t>
  </si>
  <si>
    <t>Gibre AD Azul/ Celeste x6u.</t>
  </si>
  <si>
    <t>Gibre AD Bronce Dorado x6u.</t>
  </si>
  <si>
    <t>Gibre AD Multicolor Iridisc.x6u.</t>
  </si>
  <si>
    <t>Gibre AD Multicolor x6u.</t>
  </si>
  <si>
    <t>Gibre AD Negro x6u.</t>
  </si>
  <si>
    <t>Gibre AD Oro Medio X6u.</t>
  </si>
  <si>
    <t>Gibre AD Oro Palido x6u.</t>
  </si>
  <si>
    <t>Gibre AD Oro Rico x6u.</t>
  </si>
  <si>
    <t>Gibre AD Plata x6u.</t>
  </si>
  <si>
    <t>Gibre AD Purpura/Violeta x6u.</t>
  </si>
  <si>
    <t>Gibre AD Rojo x6u.</t>
  </si>
  <si>
    <t>Gibre AD Rosa Irid.x6u.</t>
  </si>
  <si>
    <t>Gibre AD Rosa x6u.</t>
  </si>
  <si>
    <t>Gibre AD Verde Esmeralda x 6u.</t>
  </si>
  <si>
    <t>Gibre AD Verde Loro x6u.</t>
  </si>
  <si>
    <t>Kit CRAYOLA Fabrica de Emoji Marker</t>
  </si>
  <si>
    <t>Mezclador ONIX Oval x8 Cavidades</t>
  </si>
  <si>
    <t>Mezclador ONIX x6 Cavidades xu.</t>
  </si>
  <si>
    <t>Oleo AD Amarillo Brillante Claro x22ml.</t>
  </si>
  <si>
    <t>Oleo AD Amarillo Cadmio Claro x22ml.</t>
  </si>
  <si>
    <t>Oleo AD Amarillo Cadmio Limon x22ml.</t>
  </si>
  <si>
    <t>Oleo AD Amarillo Cadmio Oscuro x22ml.</t>
  </si>
  <si>
    <t>Oleo AD Amarillo Napoles Oscuro x22ml.</t>
  </si>
  <si>
    <t>Oleo AD Amarillo Permanente Claro x22ml.</t>
  </si>
  <si>
    <t>Oleo AD Amarillo Permanente Limon x22ml.</t>
  </si>
  <si>
    <t>Oleo AD Amarillo Permanente Oscuro x22ml.</t>
  </si>
  <si>
    <t>Oleo AD Amarillo Primario x22ml.</t>
  </si>
  <si>
    <t>Oleo AD Azul Celeste x22ml.</t>
  </si>
  <si>
    <t>Oleo AD Azul Ceruleo x22ml.</t>
  </si>
  <si>
    <t>Oleo AD Azul Cobalto Oscuro x22ml.</t>
  </si>
  <si>
    <t>Oleo AD Azul Ftalo x22ml.</t>
  </si>
  <si>
    <t>Oleo AD Azul Primario Cyan x22ml.</t>
  </si>
  <si>
    <t>Oleo AD Azul Real Oscuro x22ml.</t>
  </si>
  <si>
    <t>Oleo AD Azul Turquesa x22ml.</t>
  </si>
  <si>
    <t>Oleo AD Azul Ultramar Claro x22ml.</t>
  </si>
  <si>
    <t>Oleo AD Azul Ultramar Oscuro x22ml.</t>
  </si>
  <si>
    <t>Oleo AD Azul Prusia x22ml.</t>
  </si>
  <si>
    <t>Oleo AD Bermellon Oscuro x22ml.</t>
  </si>
  <si>
    <t>Oleo AD Bermellon Claro x22ml.</t>
  </si>
  <si>
    <t>Oleo AD Blanco de Titanio x22ml.</t>
  </si>
  <si>
    <t>Oleo AD Blanco de Titano x60ml.</t>
  </si>
  <si>
    <t>Oleo AD Blanco de Zinc x22ml.</t>
  </si>
  <si>
    <t>Oleo AD Blanco Titanio-Zinc x22ml.</t>
  </si>
  <si>
    <t>Oleo AD Carmin Permanente x22ml.</t>
  </si>
  <si>
    <t>Oleo AD Gris de Payne x22ml.</t>
  </si>
  <si>
    <t>Oleo AD Magenta x22ml.</t>
  </si>
  <si>
    <t>Oleo AD Negro de Marfil x22ml.</t>
  </si>
  <si>
    <t>Oleo AD Negro de Marfil x60ml.</t>
  </si>
  <si>
    <t>Oleo AD Negro de Marte x22ml.</t>
  </si>
  <si>
    <t>Oleo AD Naranja Cadmio x22ml.</t>
  </si>
  <si>
    <t>Oleo AD Naranja Napoles Rosado x22ml.</t>
  </si>
  <si>
    <t>Oleo AD Naranja Permanente Claro x22ml.</t>
  </si>
  <si>
    <t>Oleo AD Naranja Permanente Oscuro x22ml.</t>
  </si>
  <si>
    <t>Oleo AD Naranja Permanente Rojizo x22ml.</t>
  </si>
  <si>
    <t>Oleo AD Ocre Amarillo Claro x22ml.</t>
  </si>
  <si>
    <t>Oleo AD Ocre Amarillo x22ml.</t>
  </si>
  <si>
    <t>Oleo AD Pardo Van Dyck x22ml.</t>
  </si>
  <si>
    <t>Oleo AD Piel x22ml.</t>
  </si>
  <si>
    <t>Oleo AD Rojo Cadmio Claro x22ml.</t>
  </si>
  <si>
    <t>Oleo AD Rojo Cadmio Oscuro x22ml.</t>
  </si>
  <si>
    <t>Oleo AD Rojo Marte x22ml.</t>
  </si>
  <si>
    <t>Oleo AD Rojo Permanente Oscuro x22ml.</t>
  </si>
  <si>
    <t>Oleo AD Rosa Quinacridona x22ml.</t>
  </si>
  <si>
    <t>Oleo AD Tierra de Pozzuoli x22ml.</t>
  </si>
  <si>
    <t>Oleo AD Tierra Sierra Natural x22ml.</t>
  </si>
  <si>
    <t>058726-475</t>
  </si>
  <si>
    <t>Oleo AD Tierra Siera Tostada x22ml.</t>
  </si>
  <si>
    <t>Oleo AD Tierra Sombra Natural x22ml.</t>
  </si>
  <si>
    <t>Oleo AD Tierra Sombra Tostada x22ml.</t>
  </si>
  <si>
    <t>Oleo AD Verde Cadmio x22ml.</t>
  </si>
  <si>
    <t>Oleo AD Verde Cinabrio Amarillo x22ml.</t>
  </si>
  <si>
    <t>Oleo AD Verde Cinabrio Claro x22ml.</t>
  </si>
  <si>
    <t>Oleo AD Verde Ftalo x225ml.</t>
  </si>
  <si>
    <t>Oleo AD Verde Ingles x22ml.</t>
  </si>
  <si>
    <t>Oleo AD Verde Oxido de Cromo x22ml.</t>
  </si>
  <si>
    <t>Oleo AD Verde Permanente Oscuro x22ml.</t>
  </si>
  <si>
    <t>Oleo AD Verde Permanente Veronese x22ml.</t>
  </si>
  <si>
    <t>Oleo AD Verde Vejiga x22ml.</t>
  </si>
  <si>
    <t>Oleo AD Violeta de Cobalto x22ml.</t>
  </si>
  <si>
    <t>Oleo AD Violeta Permanente x22ml.</t>
  </si>
  <si>
    <t>Oleo AD Violeta Permanente Rojizo x22ml.</t>
  </si>
  <si>
    <t>Oleo AD Azul Cobalto Claro x22ml.</t>
  </si>
  <si>
    <t>Oleo AD Amarillo Primario x60ml.</t>
  </si>
  <si>
    <t>Paleta COLOR'PEPS Plastico xu.</t>
  </si>
  <si>
    <t>Pintorcito Salva Ropa Chico Talle 1/2</t>
  </si>
  <si>
    <t>Pintorcito Salva Ropa Extra Grande Talle 7/8</t>
  </si>
  <si>
    <t>Pintorcito Salva Ropa Grande Talle 5/6</t>
  </si>
  <si>
    <t>Pintorcito Salva Ropa Mediano Talle 3/4</t>
  </si>
  <si>
    <t>Set de Pinceles MATISSE Chanfleado Sintetico x6u.</t>
  </si>
  <si>
    <t>Set de Pinceles MATISSE Chato Sintetico x6u.</t>
  </si>
  <si>
    <t>Set de Pinceles MATISSE Lengua de Gato x6u.</t>
  </si>
  <si>
    <t>Set de Pinceles MATISSE Redondo Sintetico x6u.</t>
  </si>
  <si>
    <t>Set de Pinceles MATISSE Surtido Sintetico x6u.</t>
  </si>
  <si>
    <t>Tempera ALBA Cromática Magenta x10u.</t>
  </si>
  <si>
    <t>Tempera ALBA Cromática Cyan x200ml.</t>
  </si>
  <si>
    <t>Tempera ALBA Fluo Naranja x200ml.</t>
  </si>
  <si>
    <t>Tempera ALBA Fluo Rojo x200ml.</t>
  </si>
  <si>
    <t>Tempera ALBA Fluo Rosa x200ml.</t>
  </si>
  <si>
    <t>Tempera ALBA Fluo Azul x200ml.</t>
  </si>
  <si>
    <t>Tempera ALBA Tradicional Azul x200ml.</t>
  </si>
  <si>
    <t>Tempera ALBA Tradicional Celeste x200ml.</t>
  </si>
  <si>
    <t>Tempera ALBA Tradicional Marrón x200ml.</t>
  </si>
  <si>
    <t>Tempera ALBA Tradicional Violeta x200ml.</t>
  </si>
  <si>
    <t>Tempera ALBA Tradicional Marrón x10u.</t>
  </si>
  <si>
    <t>Tempera ALBA Tradicional Rojo Señal x10u.</t>
  </si>
  <si>
    <t>Tempera COLOR´S PEPS Amarillo Soles x200ml.</t>
  </si>
  <si>
    <t>Tempera COLOR´S PEPS Effects Azul Estrellas x200ml.</t>
  </si>
  <si>
    <t>Tempera COLOR´S PEPS Effects Rojo Corazón x200ml.</t>
  </si>
  <si>
    <t>Tempera COLOR`S PEPS Effects Verde Cesped x200cc.</t>
  </si>
  <si>
    <t>Tempera COLOR'PEPS Colores Fluo + Metal x5u. x75ml.</t>
  </si>
  <si>
    <t>Temperas COLOR'PEPS Surtidas x12u.</t>
  </si>
  <si>
    <t>Tempera COLOR PEP'S Colores Surtidos x6u. x75ml.</t>
  </si>
  <si>
    <t>Tempera COLOR'PEPS x12u. Surtido Tradicional</t>
  </si>
  <si>
    <t>Tempera CRAYOLA Estuche x6u.</t>
  </si>
  <si>
    <t>Tempera CRAYOLA Glitter Estuche x6u.</t>
  </si>
  <si>
    <t>Pintura JOVI Oro Botella x500ml.</t>
  </si>
  <si>
    <t>Pintura JOVI Plateado Botella x500ml.</t>
  </si>
  <si>
    <t>Tempera COLOR PEPS Azul Metal x200g.</t>
  </si>
  <si>
    <t>Tempera COLOR PEPS Metal Oro x200ml.</t>
  </si>
  <si>
    <t>Tempera COLOR PEPS Rojo Metal x200g.</t>
  </si>
  <si>
    <t>Tempera PEPS´COLOR Metal Plata x250g.</t>
  </si>
  <si>
    <t>Tempera COLOR PEPS Azul Marino x200g.</t>
  </si>
  <si>
    <t>Tempera COLOR PEPS Rojo Beso x200g.</t>
  </si>
  <si>
    <t>Tempera MODEL Doypack x 500gr. Negro</t>
  </si>
  <si>
    <t>Tempera MODEL Pote x250g. Amarillo Medio</t>
  </si>
  <si>
    <t>Tempera MODEL Pote x250g. Azul</t>
  </si>
  <si>
    <t>Tempera MODEL Pote x250g. Blanco</t>
  </si>
  <si>
    <t>Tempera MODEL Pote x250g. Magenta</t>
  </si>
  <si>
    <t>Tempera MODEL Pote x250g. Naranja</t>
  </si>
  <si>
    <t>Tempera MODEL Pote x250g. Rojo Señal</t>
  </si>
  <si>
    <t>Tempera MODEL Pote x250g. Verde Medio</t>
  </si>
  <si>
    <t>Tempera MODEL Pote x250g. Violeta</t>
  </si>
  <si>
    <t>Tempera MODEL Pote x250g. Celeste</t>
  </si>
  <si>
    <t>Tempera MODEL 10u. x8ml. Amarillo Medio</t>
  </si>
  <si>
    <t>Tempera MODEL 10u. x8ml. Azul</t>
  </si>
  <si>
    <t>Tempera MODEL 10u. x8ml. Blanco</t>
  </si>
  <si>
    <t>Tempera MODEL 10u. x8ml. Celeste</t>
  </si>
  <si>
    <t>Tempera MODEL 10u. x8ml. Magenta</t>
  </si>
  <si>
    <t>Tempera MODEL 10u. x8ml. Marron</t>
  </si>
  <si>
    <t>Tempera MODEL 10u. x8ml. Negro</t>
  </si>
  <si>
    <t>Tempera MODEL 10u. x8ml. Rojo</t>
  </si>
  <si>
    <t>Tempera MODEL 10u. x8ml. Surtido</t>
  </si>
  <si>
    <t>Tempera MODEL 10u. x8ml. Verde Claro</t>
  </si>
  <si>
    <t>Tempera MODEL 10u. x8ml. Violeta</t>
  </si>
  <si>
    <t>Tempera PLAYCOLOR Fluo Azul x250g.</t>
  </si>
  <si>
    <t>Tempera PLAYCOLOR Fluo Amarillo x250g.</t>
  </si>
  <si>
    <t>Tempera PLAYCOLOR COLOR Fluo Naranja x250g.</t>
  </si>
  <si>
    <t>Tempera PLAYCOLOR Fluo Rojo x250g.</t>
  </si>
  <si>
    <t>Tempera PLAYCOLOR Fluo Rosa x250g.</t>
  </si>
  <si>
    <t>Tempera PLAYCOLOR Fluo Verde x250g.</t>
  </si>
  <si>
    <t>Tempera PLAYCOLOR Pote x750g.Azul</t>
  </si>
  <si>
    <t>Tempera PLAYCOLOR Pote x750g.Blanco</t>
  </si>
  <si>
    <t>Tempera PLAYCOLOR Pote x750g.Celeste</t>
  </si>
  <si>
    <t>Tempera PLAYCOLOR Pote x750g.Magenta</t>
  </si>
  <si>
    <t>Tempera PLAYCOLOR Pote x750g.Marron</t>
  </si>
  <si>
    <t>Tempera PLAYCOLOR Pote x750g.Naranja</t>
  </si>
  <si>
    <t>Tempera PLAYCOLOR Pote x750g.Negro</t>
  </si>
  <si>
    <t>Tempera PLAYCOLOR Pote x750g. Rojo Señal</t>
  </si>
  <si>
    <t>Tempera PLAYCOLOR Pote x750g.Verde Medio</t>
  </si>
  <si>
    <t>Tempera PLAYCOLOR Pote x750g.Violeta</t>
  </si>
  <si>
    <t>Tempera PLAY COLOR Surtidas Pastel x6u.</t>
  </si>
  <si>
    <t>Tempera PLAYCOLOR Blanco x10u.</t>
  </si>
  <si>
    <t>Tempera PLAYCOLOR Amarillo Medio x10u.</t>
  </si>
  <si>
    <t>Tempera PLAYCOLOR Azul Ultramar x10u.</t>
  </si>
  <si>
    <t>Tempera PLAY COLOR Azul Medianox10u.</t>
  </si>
  <si>
    <t>Tempera PLAYCOLOR Celeste x10u.</t>
  </si>
  <si>
    <t>Tempera PLAYCOLOR Marrón x10u.</t>
  </si>
  <si>
    <t>Tempera PLAYCOLOR Naranja x10u.</t>
  </si>
  <si>
    <t>Tempera PLAYCOLOR Negro x10u.</t>
  </si>
  <si>
    <t>Tempera PLAYCOLOR Rojo Bermellon x10u.</t>
  </si>
  <si>
    <t>Tempera PLAYCOLOR Rojo Señal x10u.</t>
  </si>
  <si>
    <t>Tempera PLAYCOLOR Rosa/Magenta x10u.</t>
  </si>
  <si>
    <t>Tempera PLAYCOLOR Surtidas x10u.</t>
  </si>
  <si>
    <t>Tempera PLAYCOLOR Verde Claro x10u.</t>
  </si>
  <si>
    <t>Tempera PLAYCOLOR Verde Oscuro x10u.</t>
  </si>
  <si>
    <t>Tempera PLAYCOLOR Violeta x10u.</t>
  </si>
  <si>
    <t>Tempera PLAYCOLOR Blanca x300g.</t>
  </si>
  <si>
    <t>Tempera PLAYCOLOR Celeste x300g.</t>
  </si>
  <si>
    <t>Tempera PLAYCOLOR Magenta/Rosa x300g.</t>
  </si>
  <si>
    <t>Tempera PLAYCOLOR Marron x300g.</t>
  </si>
  <si>
    <t>Tempera PLAYCOLOR Naranja x300g.</t>
  </si>
  <si>
    <t>Tempera PLAYCOLOR Amarillo Limón x250g.</t>
  </si>
  <si>
    <t>Tempera PLAYCOLOR Amarillo x250g.</t>
  </si>
  <si>
    <t>Tempera PLAYCOLOR Azul Ultramar x300g.</t>
  </si>
  <si>
    <t>Tempera PLAYCOLOR Azul x300g.</t>
  </si>
  <si>
    <t>Tempera PLAYCOLOR Rojo Bermellón x250g.</t>
  </si>
  <si>
    <t>Tempera PLAYCOLOR Verde Medio x250g.</t>
  </si>
  <si>
    <t>Tempera PLAYCOLOR Verde Oscuro x300gs</t>
  </si>
  <si>
    <t>Tempera PLAYCOLOR Violeta x250g.</t>
  </si>
  <si>
    <t>Tempera PLAYCOLOR Negro x250g.</t>
  </si>
  <si>
    <t>Tempera PLAY COLOR Fluo x6u.</t>
  </si>
  <si>
    <t>Marcador Tempera Sólida Metálica x 6u.</t>
  </si>
  <si>
    <t>Marcador Tempera Sólida x 24u.Surtida</t>
  </si>
  <si>
    <t>Temperas Surtidas Estcuche x10u.</t>
  </si>
  <si>
    <t xml:space="preserve">VARIOS DE LIBRERIA </t>
  </si>
  <si>
    <t>Caja Exhibidora MOOVING Glitter Tape MAW Pastel</t>
  </si>
  <si>
    <t>Circulo Pedagógico Cromático xu.</t>
  </si>
  <si>
    <t>Corcho en Plancha 60 x 90cm. x3mm.</t>
  </si>
  <si>
    <t>Etiquetadora de Precios EZCO 8 Dígitos</t>
  </si>
  <si>
    <t>Etiquetadora de Precios MOTEX MX-550 6 Dígitos</t>
  </si>
  <si>
    <t>Exhibidor MAPED De Productos Pastel</t>
  </si>
  <si>
    <t>Flauta Plástica Moderna Soprano xu.</t>
  </si>
  <si>
    <t>Imán en Tira</t>
  </si>
  <si>
    <t>Imán en Lámina Autoadhesivo 20 x 30cm. x5h.</t>
  </si>
  <si>
    <t>Monedas x12mm.</t>
  </si>
  <si>
    <t>Monedas x14mm.</t>
  </si>
  <si>
    <t>Monedas x18mm.</t>
  </si>
  <si>
    <t>Monedas x20mm.</t>
  </si>
  <si>
    <t>Monedas x25mm.</t>
  </si>
  <si>
    <t>Imanes Creative Planche Estampada</t>
  </si>
  <si>
    <t>Kit SIMBALL Acuarelas y Lapices de Colores xu.</t>
  </si>
  <si>
    <t>Kit SIMBALL Delta y Lapices de Colores xu.</t>
  </si>
  <si>
    <t>Kit SIMBALL Innovation Borrables y Crayones xu.</t>
  </si>
  <si>
    <t>Kit SIMBALL Sketch y Mini Glitter xu.</t>
  </si>
  <si>
    <t>Lupa MAPED x75mm.</t>
  </si>
  <si>
    <t>Lupa MATISSE Aro De Plástico x50mm.</t>
  </si>
  <si>
    <t>Lupa MATISSE x100mm.</t>
  </si>
  <si>
    <t>Lupa MATISSE x60mm.</t>
  </si>
  <si>
    <t>Pinceleta Sintetica MATISSE N°1</t>
  </si>
  <si>
    <t>Pinceleta Sintética MATISSE N°2</t>
  </si>
  <si>
    <t>Pinceleta Sintética MATISSE N°3</t>
  </si>
  <si>
    <t>Pinceleta Sintética MATISSE N°4</t>
  </si>
  <si>
    <t>Pinceleta Sintética MATISSE N°5</t>
  </si>
  <si>
    <t>Pinceleta Sintética MATISSE N°6</t>
  </si>
  <si>
    <t>Pinceleta Sintética MATISSE N°7</t>
  </si>
  <si>
    <t>Pinceleta Sintética MATISSE N°8</t>
  </si>
  <si>
    <t>Pinceleta Sintética MATISSE N°9</t>
  </si>
  <si>
    <t>PISTOLA ETIQUETADORA PARA PRENDAS ARROW 9F FINA</t>
  </si>
  <si>
    <t>Plancha Simil Acetato 35x50 x20micr. xu.</t>
  </si>
  <si>
    <t>Plancha Siímil Acetato 50 x 70mm. x200 Micrones xu.</t>
  </si>
  <si>
    <t>Porta Clip MATISSE 6,5 x 3,5cm. Negro</t>
  </si>
  <si>
    <t>Porta Lapices Escolar DELI 2 Colores 87 mm x 76 mm</t>
  </si>
  <si>
    <t>Porta Lapices MATISSE 8x9,7cm. Negro</t>
  </si>
  <si>
    <t>Porta Taco MATISSE 9x9x6cm. Negro</t>
  </si>
  <si>
    <t>Racionador IBICO para Cinta de Embalar</t>
  </si>
  <si>
    <t>SELF Lamina Acetato 50cm. x 70cm. Cristal x10 Hojas</t>
  </si>
  <si>
    <t>SELF Hojas Para Plastificar En frio 50cm. x 37cm. Plancha x10h.</t>
  </si>
  <si>
    <t>SELF Lamina Transparente Rollo de 45cm. x 10m.</t>
  </si>
  <si>
    <t>SELF Lamina Transparente Rollo de 45cm. x 2m.</t>
  </si>
  <si>
    <t>Tabla Periodica</t>
  </si>
  <si>
    <t>Tablero PIZZINI 6 Posiciones 50 x 60cm. + Productos</t>
  </si>
  <si>
    <t>Tablero PIZZINI 6 Posiciones con Portatablero 50 x 60cm.</t>
  </si>
  <si>
    <t>Tubo Porta Planos Chico xu.</t>
  </si>
  <si>
    <t>Tubo Para Planos Diámetro 6x6cm.</t>
  </si>
  <si>
    <t xml:space="preserve">GEOMETRIA </t>
  </si>
  <si>
    <t>Compas EZCO FIDDO Plastico Por Unidad.</t>
  </si>
  <si>
    <t>Compas EZCO Progression Metal x unid.</t>
  </si>
  <si>
    <t>Compas KID'Z Plastico 360º xu.</t>
  </si>
  <si>
    <t>Compas MAPED Kid'z 360º Agility Con Abrazadera xu.</t>
  </si>
  <si>
    <t>Compás MAPED Kid´z para Lapiz</t>
  </si>
  <si>
    <t>Campás MAPED Kid´z Plástico</t>
  </si>
  <si>
    <t>Compás MAPED Study 110 x2 Piezas</t>
  </si>
  <si>
    <t>Compás MAPED Study Portamina</t>
  </si>
  <si>
    <t>Compas MAPED Study Stop con Estuche xu.</t>
  </si>
  <si>
    <t>Compas De Madera</t>
  </si>
  <si>
    <t>Compás PIZZINI Escolar Metálico xu.</t>
  </si>
  <si>
    <t>Compás PIZZINI Escolar Metálico x118mm xu.</t>
  </si>
  <si>
    <t>Compás PIZZINI Metálico para Lapiz xu.</t>
  </si>
  <si>
    <t>Compás PIZZINI Técnico con Adaptador 140mm.</t>
  </si>
  <si>
    <t>Compás PIZZINI Técnico con Prolongación 155mm.</t>
  </si>
  <si>
    <t>Compas Para Marcador de Pizarra Blanca xu.</t>
  </si>
  <si>
    <t>Escalímetro PIZZINI 170/1</t>
  </si>
  <si>
    <t>Escuadra con Transportador Económico 20 x 60cm. (3702)</t>
  </si>
  <si>
    <t>Escuadra MAPED 60°x 21cm xu.</t>
  </si>
  <si>
    <t>Escuadra MDF Modista</t>
  </si>
  <si>
    <t>Escuadra MDF x 60cm.</t>
  </si>
  <si>
    <t>Escuadra PIZZINI 20 x 45º (3732)</t>
  </si>
  <si>
    <t>Escuadra PIZZINI 20 x 60º</t>
  </si>
  <si>
    <t>Escuadra PIZZINI 20 x 60º x10u. (3722)</t>
  </si>
  <si>
    <t>Escuadra PIZZINI 25 x 60º (3732)</t>
  </si>
  <si>
    <t>Escuadra PIZZINI 30 x 45º (3732)</t>
  </si>
  <si>
    <t>Escuadra PIZZINI 30 x 60º (3732)</t>
  </si>
  <si>
    <t>Escuadra PIZZINI 30 x 60º xu. (3722)</t>
  </si>
  <si>
    <t>Letrografo PROARTE Escolar 1 x 25cm.</t>
  </si>
  <si>
    <t>Letrografo PROARTE Escolar 0.9 x 21cm.</t>
  </si>
  <si>
    <t>Letrografo PIZZINI 5880-10</t>
  </si>
  <si>
    <t>Letrografo PIZZINI 5880-14</t>
  </si>
  <si>
    <t>Letrografo PIZZINI 1.7cm.</t>
  </si>
  <si>
    <t>Letrografo PIZZINI 2cm.</t>
  </si>
  <si>
    <t>Letrografo PIZZINI 2.5cm.</t>
  </si>
  <si>
    <t>Letrografo PIZZINI 3cm.</t>
  </si>
  <si>
    <t>Letrografo PIZZINI 5880-3</t>
  </si>
  <si>
    <t>Letrografo PIZZINI 5880-5</t>
  </si>
  <si>
    <t>Multiescuadra PIZZINI 20 x 45º xu.</t>
  </si>
  <si>
    <t>Pistoletes Juego x3u.</t>
  </si>
  <si>
    <t>Plantilla Circulos 5801</t>
  </si>
  <si>
    <t>Plantilla Eclipses Nº1 5806</t>
  </si>
  <si>
    <t>Plantilla Figuras Geométricas 5804</t>
  </si>
  <si>
    <t>Regla MAPED Cristal Eco x15cm.</t>
  </si>
  <si>
    <t>Regla MAPED Cristal Eco x20cm.</t>
  </si>
  <si>
    <t>Regla MAPED Cristal Eco x30cm.</t>
  </si>
  <si>
    <t>Regla MAPED Irrompible x 15 cm.</t>
  </si>
  <si>
    <t>Regla MAPED Twist´n Flex Decor x15cm.</t>
  </si>
  <si>
    <t>Regla MAPED Twist´n Flex Decor x20cm.</t>
  </si>
  <si>
    <t>Regla MAPED Twist´n Flex x30cm.</t>
  </si>
  <si>
    <t>Regla MAPED Twist´n Pulse x20cm.</t>
  </si>
  <si>
    <t>Regla MAPED Twist´N Flex Decor x30cm</t>
  </si>
  <si>
    <t>Regla MDF Para Pizarron x 1 mt.</t>
  </si>
  <si>
    <t>Regla Metalica DELI x15cm.</t>
  </si>
  <si>
    <t>Regla Metalica DELI x20cm.</t>
  </si>
  <si>
    <t>Regla Metálica ONIX x30cm.</t>
  </si>
  <si>
    <t>Regla PIZZINI x15cm. x10u.</t>
  </si>
  <si>
    <t>Regla PIZZINI x20cm. x10u.</t>
  </si>
  <si>
    <t>Regla PIZZINI x30cm. x10u.</t>
  </si>
  <si>
    <t>Regla PIZZINI T x50cm.</t>
  </si>
  <si>
    <t>Regla PIZZINI T x60cm.</t>
  </si>
  <si>
    <t>Regla PIZZINI Verde x20cm.</t>
  </si>
  <si>
    <t>Regla PIZZINI Verde x30cm.</t>
  </si>
  <si>
    <t>Regla PIZZINI Verde x40cm.</t>
  </si>
  <si>
    <t>Regla PIZZINI Verde x50cm.</t>
  </si>
  <si>
    <t>Regla PIZZINI Verde x60cm.</t>
  </si>
  <si>
    <t>Regla Tipo Acrílico Escolar x20cm.</t>
  </si>
  <si>
    <t>Regla Tipo Acrílico Escolar x30cm.</t>
  </si>
  <si>
    <t>Set Geométrico MAPED Twist´n Flex x3 Piezas x15cm.</t>
  </si>
  <si>
    <t>Set Geométrico MAPED 4P Stick'Art</t>
  </si>
  <si>
    <t>Set Geométrico MAPED x3 Piezas</t>
  </si>
  <si>
    <t>Set Geométrico PIZZINI Pastel x3u.</t>
  </si>
  <si>
    <t>Set Geométrico PIZZINI x3u.</t>
  </si>
  <si>
    <t>Set Geométrico MAPED 3 Piezas Zurdos</t>
  </si>
  <si>
    <t>Set Geometrico ITO Cristal x3pzs.</t>
  </si>
  <si>
    <t>Transportador MAPED x180º xu.</t>
  </si>
  <si>
    <t>Transportador MDF</t>
  </si>
  <si>
    <t>Transportador PIZZINI x180º</t>
  </si>
  <si>
    <t>Transportador PIZZINI x180º x10u.</t>
  </si>
  <si>
    <t>Transportador PIZZINI x360º</t>
  </si>
  <si>
    <t>Transportador Tipo Acrílico x180º</t>
  </si>
  <si>
    <t>Tripledecímetro PIZZINI x30cm.</t>
  </si>
  <si>
    <t xml:space="preserve">ESCARAPELAS Y BANDERAS </t>
  </si>
  <si>
    <t>Bandera Con Sol NUEVO MILENIO 135 x 216cm.</t>
  </si>
  <si>
    <t>Bandera con Sol NUEVO MILENIO 60 x 96 cm.</t>
  </si>
  <si>
    <t>Bandera con Sol NUEVO MILENIO 75x120 cm.</t>
  </si>
  <si>
    <t>Bandera Con Sol NUEVO MILENIO 90 x144 cm.</t>
  </si>
  <si>
    <t>Bandera Plastica Argentina 25 x 35cm. x10u.</t>
  </si>
  <si>
    <t>Bandera Plastica Argentina con Sol 40 x 60cm. x10u.</t>
  </si>
  <si>
    <t>Banderas Plásticas Grandes x25u.</t>
  </si>
  <si>
    <t>Cinta Argentina Nº12</t>
  </si>
  <si>
    <t>Escarapela Nº 106 Lazo x24u.</t>
  </si>
  <si>
    <t>Escarapela Nº 108 Moño Doble con Colita x24u.</t>
  </si>
  <si>
    <t>Escarapela Nº 110 Moño Plano Doble x24u.</t>
  </si>
  <si>
    <t>Escarapela YANINA Cinta x36u.</t>
  </si>
  <si>
    <t>Escarapela YANINA Redonda x24u.</t>
  </si>
  <si>
    <t xml:space="preserve">BANDAS ELASTICAS </t>
  </si>
  <si>
    <t>Bandas Elásticas SUPER BANDS x150g.</t>
  </si>
  <si>
    <t>Bandas Elasticas SUPER BANDS x30g.</t>
  </si>
  <si>
    <t>Bandas Elásticas SUPER BANDS Ancha x500g.</t>
  </si>
  <si>
    <t>Bandas Elásticas FLEXIBANDS x100g.</t>
  </si>
  <si>
    <t>Bandas Elásticas FLEXIBANDS x1k.</t>
  </si>
  <si>
    <t>Bandas Elásticas FLEXIBANDS x250g.</t>
  </si>
  <si>
    <t>Bandas Elásticas FLEXIBANDS x500g.</t>
  </si>
  <si>
    <t>Bandas Elásticas FLEXIBANDS x50g.</t>
  </si>
  <si>
    <t>Bandas Elásticas MOOVING MAW Mania Rubber Bands x16g.</t>
  </si>
  <si>
    <t>Bandas Elásticas SUPER BANDS x100g.</t>
  </si>
  <si>
    <t>Bandas Elásticas SUPER BANDS x50g.</t>
  </si>
  <si>
    <t>Bandas Elásticas SUPER BANDS x60g.</t>
  </si>
  <si>
    <t xml:space="preserve">CINTAS ADHESIVAS </t>
  </si>
  <si>
    <t>Cinta Adhesiva BOPP 48mm x 100mts. Transparente</t>
  </si>
  <si>
    <t>Cinta Adhesiva BOPP 48mm x 50mts. Transparente</t>
  </si>
  <si>
    <t>Cinta Adhesiva STIKO para Embalar Marrón 48mm. x50mts.</t>
  </si>
  <si>
    <t>Cinta Adhesiva para Embalar STIKO Transparente 48mm. x50mts.</t>
  </si>
  <si>
    <t>Cinta Adhesiva Invisible con Racionador 12mm. x30mts. x6u.</t>
  </si>
  <si>
    <t>Cinta Adhesiva SELLOX de Papel 12mm. x40mts.</t>
  </si>
  <si>
    <t>Cinta Adhesiva STIKO de Papel 18mm. x40mts.</t>
  </si>
  <si>
    <t>Cinta Adhesiva SELLOX de Papel 24mm. x40mts.</t>
  </si>
  <si>
    <t>Cinta Adhesiva STIKO de Papel 36mm. x40mts.</t>
  </si>
  <si>
    <t>Cinta Adhesiva SELLOX Papel 48mm. x40mts.</t>
  </si>
  <si>
    <t>Cinta Adhesiva STIKO 12mm. x30mts.</t>
  </si>
  <si>
    <t>Cinta Adhesiva STIKO 12mm. x60mts.</t>
  </si>
  <si>
    <t>Cinta Adhesiva STIKO 12mm. x7mts. x12u.</t>
  </si>
  <si>
    <t>Cinta Adhesiva STIKO 18mm. x25mts.</t>
  </si>
  <si>
    <t>Cinta Adhesiva STIKO Transparente 24mm. x50mts.</t>
  </si>
  <si>
    <t>Cinta Adhesiva STIKO Pack Blanco 48mm. x50mts.</t>
  </si>
  <si>
    <t>Cinta Adhesiva STIKO Bifaz x10mts.</t>
  </si>
  <si>
    <t>Cinta Adhesiva STIKO Bifaz 18mm. x25mts.</t>
  </si>
  <si>
    <t>Cinta Adhesiva STIKO Bifaz 24mm. x30mts.</t>
  </si>
  <si>
    <t>Cinta Adhesiva STIKO Mágica 18mm. x30mts.</t>
  </si>
  <si>
    <t>Cinta Adhesiva STIKO Escolar Papel 18mm. x20m.</t>
  </si>
  <si>
    <t>Cinta AUCA Demarcatoria Amarilla y Negra x48mm x50m</t>
  </si>
  <si>
    <t>Cinta AUCA Amarilla 48mm x50m</t>
  </si>
  <si>
    <t>Cinta AUCA Azul 48mm x50m</t>
  </si>
  <si>
    <t>Cinta AUCA Blanca 48mm x50m</t>
  </si>
  <si>
    <t>Cinta AUCA Naranja 48mm x50m</t>
  </si>
  <si>
    <t>Cinta AUCA Roja 48mm x50m</t>
  </si>
  <si>
    <t>Cinta AUCA Verde 48mm x50m</t>
  </si>
  <si>
    <t>Cinta Enmascarar TEK BOND 12mm x 50 mts</t>
  </si>
  <si>
    <t>Cinta Enmascarar TEK BOND 18mm x 50 mts</t>
  </si>
  <si>
    <t>Cinta Enmascarar TEK BOND 24mm x 50 mts</t>
  </si>
  <si>
    <t>Cinta Enmascarar TEK BOND 36mm x 50 mts</t>
  </si>
  <si>
    <t>Cinta Enmascarar TEK BOND 48mm x 50 mts</t>
  </si>
  <si>
    <t>Cinta Blanca Impresa Fragil 48mm. x50m.</t>
  </si>
  <si>
    <t>Cinta Transparente Impresa Fragil 48mm. x50m.</t>
  </si>
  <si>
    <t>Portarollo Chico</t>
  </si>
  <si>
    <t>Portarollo EZCO Chico</t>
  </si>
  <si>
    <t>Portarollo EZCO Grande</t>
  </si>
  <si>
    <t>Portarollo EZCO Mediano</t>
  </si>
  <si>
    <t>Portarollo Grande</t>
  </si>
  <si>
    <t>Portarollo Grande Extra Pesado</t>
  </si>
  <si>
    <t>Portarollo Mini EAGLE T-5119C</t>
  </si>
  <si>
    <t>Portarollo MIT xu.</t>
  </si>
  <si>
    <t>Portarollo NEW CLOR x30mts.</t>
  </si>
  <si>
    <t>Portarollo NEW CLOR x30 y 60mts.</t>
  </si>
  <si>
    <t>Washi Tape MOOVING Harry Potter Casas x1,5m. x 5m. Display</t>
  </si>
  <si>
    <t>Washi Tape MOOVING Stickers Redondos Harry Potter</t>
  </si>
  <si>
    <t>Washi Tape MOOVING Harry Potter x1.5cm.x3m.x3u.</t>
  </si>
  <si>
    <t xml:space="preserve">ADHESIVOS </t>
  </si>
  <si>
    <t>Adhesivo Vinilico MODEL x1000g.</t>
  </si>
  <si>
    <t>Adhesivo Vinilico MODEL x250g.</t>
  </si>
  <si>
    <t>Adhesivo Vinilico MODEL x30g.</t>
  </si>
  <si>
    <t>Adhesivo Vinilico MODEL x500g.</t>
  </si>
  <si>
    <t>Adhesivo Vinilico MODEL x50g.</t>
  </si>
  <si>
    <t>Adhesivo Instantáneo TEK BOND Super Cola Gel x 3g</t>
  </si>
  <si>
    <t>adhesivo Instantáneo TEK BOND Super Cola Tubo x 5g</t>
  </si>
  <si>
    <t>Adhesivo Instantáneo TEK BOND Super Cola x 3g</t>
  </si>
  <si>
    <t>Adhesivo en Barra MICRO x8g.</t>
  </si>
  <si>
    <t>Adhesivo en Barra MICRO x21g.</t>
  </si>
  <si>
    <t>Adhesivo en Barra MICRO x36g.</t>
  </si>
  <si>
    <t>Adhesivo en Barra UHU x21g.</t>
  </si>
  <si>
    <t>Adhesivo en Barra UHU x40g.</t>
  </si>
  <si>
    <t>Adhesivo en Barra UHU x8.2g.</t>
  </si>
  <si>
    <t>Adhesivo en Barra VOLIBARRA x10g.</t>
  </si>
  <si>
    <t>Adhesivo en Barra VOLIBARRA x22g.</t>
  </si>
  <si>
    <t>Adhesivo en Barra VOLIBARRA x40g.</t>
  </si>
  <si>
    <t>Adhesivo SUPRABOND de Contacto Transparente Blister x25ml.</t>
  </si>
  <si>
    <t>Adhesivo ÉCCOLE x9g.</t>
  </si>
  <si>
    <t>Adhesivo ELMER'S Escolar x118ml.</t>
  </si>
  <si>
    <t>Adhesivo IBI CRAFT Silicona Liquida x100ml.</t>
  </si>
  <si>
    <t>Adhesivo IBI CRAFT Silicona Liquida x30ml.</t>
  </si>
  <si>
    <t>Adhesivo IBI CRAFT Silicona Liquida x60ml.</t>
  </si>
  <si>
    <t>Adhesivo Instantáneo TEK BOND Super Cola x 12 unid x 2g</t>
  </si>
  <si>
    <t>Adhesivo Instantáneo TEK BOND Super Cola x 2 Grs</t>
  </si>
  <si>
    <t>Adhesivo Instantáneo TEK BOND UV x 4g.</t>
  </si>
  <si>
    <t>Adhesivo MI SILICONA Pax Líquida x250ml.</t>
  </si>
  <si>
    <t>Adhesivo MI SILICONA Pegote Pax Líquida x100ml.</t>
  </si>
  <si>
    <t>Adhesivo MI SILICONA Pegote Pax Líquida x30ml.</t>
  </si>
  <si>
    <t>Adhesivo PLASTICOLA Nº1 con Brillo Surtido x6u. x38g.</t>
  </si>
  <si>
    <t>Adhesivo PLASTICOLA con Brillo Surtido x40g. x12u.</t>
  </si>
  <si>
    <t>Adhesivo PLASTICOLA Nº2 con Brillo Surtido x6u. x38g.</t>
  </si>
  <si>
    <t>Adhesivo PLASTICOLA con Brillo Azul x38g.</t>
  </si>
  <si>
    <t>Adhesivo PLASTICOLA con Brillo Dorado x38g.</t>
  </si>
  <si>
    <t>Adhesivo PLASTICOLA con Brillo Iridiscente x38g.</t>
  </si>
  <si>
    <t>Adhesivo PLASTICOLA con Brillo Magenta x38g.</t>
  </si>
  <si>
    <t>Adhesivo PLASTICOLA con Brillo Negro x38g.</t>
  </si>
  <si>
    <t>Adhesivo PLASTICOLA con Brillo Naranja x38g.</t>
  </si>
  <si>
    <t>Adhesivo PLASTICOLA con Brillo Plata x38g.</t>
  </si>
  <si>
    <t>Adhesivo PLASTICOLA con Brillo Violeta x38g.</t>
  </si>
  <si>
    <t>Adhesivo PLASTICOLA con Brillo Roja x38g.</t>
  </si>
  <si>
    <t>Adhesivo PLASTICOLA con Brillo Turquesa x38g.</t>
  </si>
  <si>
    <t>Adhesivo PLASTICOLA con Brillo Verde x38g.</t>
  </si>
  <si>
    <t>Adhesivo PLASTICOLA con Brillo Verde Manzana x40g.</t>
  </si>
  <si>
    <t>Adhesivo PLASTICOLA Color Pastel x40gr. x12u. Surtido</t>
  </si>
  <si>
    <t>Adhesivo PLASTICOLA Color Amarillo x40g.</t>
  </si>
  <si>
    <t>Adhesivo PLASTICOLA Color Azul x40g.</t>
  </si>
  <si>
    <t>Adhesivo PLASTICOLA Color Blanca x40g.</t>
  </si>
  <si>
    <t>Adhesivo PLASTICOLA Color Celeste x40g.</t>
  </si>
  <si>
    <t>Adhesivo PLASTICOLA Color Negro x40g.</t>
  </si>
  <si>
    <t>Adhesivo PLASTICOLA Color Naranja x40g.</t>
  </si>
  <si>
    <t>Adhesivo PLASTICOLA Color Roja x40g.</t>
  </si>
  <si>
    <t>Adhesivo PLASTICOLA Color Verde x40g.</t>
  </si>
  <si>
    <t>Adhesivo PLASTICOLA Color Surtido Nº2 x40g. x12u.</t>
  </si>
  <si>
    <t>Adhesivo PLASTICOLA Color Surtido Nº1 x40g. x12u.</t>
  </si>
  <si>
    <t>Adhesivo PLASTICOLA Fluo Amarillo x40g.</t>
  </si>
  <si>
    <t>Adhesivo PLASTICOLA Fluo Azul x40g.</t>
  </si>
  <si>
    <t>Adhesivo PLASTICOLA Fluo Naranja x40g.</t>
  </si>
  <si>
    <t>Adhesivo PLASTICOLA Fluo Rosa x40g.</t>
  </si>
  <si>
    <t>Adhesivo PLASTICOLA Fluo Verde x40g.</t>
  </si>
  <si>
    <t>Adhesivo PLASTICOLA Colores Pastel Surtidos x230cc.</t>
  </si>
  <si>
    <t>Adhesivo PLASTICOLA Colores Surtidos x230cc.</t>
  </si>
  <si>
    <t>Adhesivo PLASTICOLA Fluo Surtidos x230cc.</t>
  </si>
  <si>
    <t>Adhesivo PLASTICOLA x40g.</t>
  </si>
  <si>
    <t>Adhesivo PLASTICOLA Transparente x30g.</t>
  </si>
  <si>
    <t>Adhesivo STA x100g.</t>
  </si>
  <si>
    <t>Adhesivo STA x1k.</t>
  </si>
  <si>
    <t>Adhesivo STA x250g.</t>
  </si>
  <si>
    <t>Adhesivo STA x30g.</t>
  </si>
  <si>
    <t>Adhesivo STA x500g.</t>
  </si>
  <si>
    <t>Adhesivo STA x50g.</t>
  </si>
  <si>
    <t>Adhesivo SIMBALL Glitter Iridiscente x 6u.</t>
  </si>
  <si>
    <t>Adhesivo SIMBALL Glitter Plata x 6u.</t>
  </si>
  <si>
    <t>Adhesivo SIMBALL Glitter Verde Flúo x 6u.</t>
  </si>
  <si>
    <t>Adhesivo SIMBALL Glitter Verde x 6u.</t>
  </si>
  <si>
    <t>Adhesivo SIMBALL Glitter Surtido x 12u.</t>
  </si>
  <si>
    <t>Adhesivo SEÑORITA con Brillo Negro x30g.</t>
  </si>
  <si>
    <t>Adhesivo SEÑORITA con Brillo Azul x30g.</t>
  </si>
  <si>
    <t>Adhesivo SEÑORITA con Brillo Dorado x30g.</t>
  </si>
  <si>
    <t>Adhesivo SEÑORITA con Brillo Fucsia x30g.</t>
  </si>
  <si>
    <t>Adhesivo SEÑORITA con Brillo Iridiscente x30g.</t>
  </si>
  <si>
    <t>Adhesivo SEÑORITA con Brillo Naranja x30g.</t>
  </si>
  <si>
    <t>Adhesivo SEÑORITA con Brillo Plata x30g.</t>
  </si>
  <si>
    <t>Adhesivo SEÑORITA con Brillo Purpura/Violeta x30g.</t>
  </si>
  <si>
    <t>Adhesivo SEÑORITA con Brillo Rojo x30g.</t>
  </si>
  <si>
    <t>Adhesivo SEÑORITA con Brillo Turquesa x30g.</t>
  </si>
  <si>
    <t>Adhesivo SEÑORITA con Brillo Verde x30g.</t>
  </si>
  <si>
    <t>Adhesivo SEÑORITA con Brillo Surtido x30g. x12u.</t>
  </si>
  <si>
    <t>Adhesivo SEÑORITA Color Celeste x30g.</t>
  </si>
  <si>
    <t>Adhesivo SEÑORITA Color Rosa x30g.</t>
  </si>
  <si>
    <t>Adhesivo SEÑORITA Color Azul x30g.</t>
  </si>
  <si>
    <t>Adhesivo SEÑORITA Color Negro x30g.</t>
  </si>
  <si>
    <t>Adhesivo SEÑORITA Color Surtido x30g. x12u.</t>
  </si>
  <si>
    <t>Adhesivo SEÑORITA Color Marrón x30g.</t>
  </si>
  <si>
    <t>Adhesivo SEÑORITA Color Naranja x30g.</t>
  </si>
  <si>
    <t>Adhesivo SEÑORITA Color Rojo x30g.</t>
  </si>
  <si>
    <t>Adhesivo SEÑORITA Color Verde x30g.</t>
  </si>
  <si>
    <t>Adhesivo SEÑORITA Color Violeta x30g.</t>
  </si>
  <si>
    <t>Adhesivo SEÑORITA Color Amarillo x30g.</t>
  </si>
  <si>
    <t>Adhesivo SEÑORITA Fluo Surtido x30g. x12u.</t>
  </si>
  <si>
    <t>Adhesivo SUPRABOND Afix Doble Faz Blister x16u.</t>
  </si>
  <si>
    <t>Adhesivo SUPRABOND Afix Doble Faz Rollo x2mts.</t>
  </si>
  <si>
    <t>Adhesivo SUPRABOND Contacto Extra Fuerte x25ml.</t>
  </si>
  <si>
    <t>Adhesivo SUPRABOND Contacto Extra Fuerte x50ml.</t>
  </si>
  <si>
    <t>Adhesivo VOLIGOMA x30ml.</t>
  </si>
  <si>
    <t>Adhesivo VOLIGOMA x50ml.</t>
  </si>
  <si>
    <t>Adhesivo En Barra SUPRABOND Triangular x25g.</t>
  </si>
  <si>
    <t>Adhesivo en Barra SUPRABOND x40g.</t>
  </si>
  <si>
    <t>Adhesivo SUPRABOND Instantáneo x2g.</t>
  </si>
  <si>
    <t>Adhesivo Silicona SUPRABOND Transparente x225ml.</t>
  </si>
  <si>
    <t>Adhesivo SUPERPOX Acero x25g.</t>
  </si>
  <si>
    <t>Adhesivo SUPRABOND Ultra Transparente x50ml.</t>
  </si>
  <si>
    <t>Adhesivo SUPRABOND Para Zapatillas x10g.</t>
  </si>
  <si>
    <t>Barra STA Fina De Silicona x20u.</t>
  </si>
  <si>
    <t>Barra Adhesiva GIOTTO x 21g.</t>
  </si>
  <si>
    <t>Barra Adhesiva GIOTTO x 36g.</t>
  </si>
  <si>
    <t>Barra Adhesiva GIOTTO x 8g.</t>
  </si>
  <si>
    <t>Barra Adhesiva STA Gruesa x1k. (37u. Aprox.)</t>
  </si>
  <si>
    <t>Barra Adhesiva STA Largo Fino x1k. (80u. Aprox.)</t>
  </si>
  <si>
    <t>Barra Adhesiva SUPRABOND Largas Fina x500g.</t>
  </si>
  <si>
    <t>Barra Adhesiva SUPRABOND Largas Gruesa x500g.</t>
  </si>
  <si>
    <t>Glitter Glue ELMER'S Glow In The Dark Natural x147ml.</t>
  </si>
  <si>
    <t>Glitter Glue ELMER'S Glow In The Dark Pink x147ml.</t>
  </si>
  <si>
    <t>Glitter Glue ELMER'S Glow In The Dark Turquesa x147ml.</t>
  </si>
  <si>
    <t>Glitter Glue ELMER'S x177ml. Amarillo</t>
  </si>
  <si>
    <t>Glitter Glue ELMER'S x 177ml. Negro</t>
  </si>
  <si>
    <t>Glitter Glue ELMER'S x177ml. Plata</t>
  </si>
  <si>
    <t>Glitter Glue ELMER'S x177ml. ROJO</t>
  </si>
  <si>
    <t>Glitter Glue ELMER'S x177ml. Rosa</t>
  </si>
  <si>
    <t>Opaque Glue ELMER'S x147ml. Azul</t>
  </si>
  <si>
    <t>Opaque Glue ELMER'S x177ml. Verde</t>
  </si>
  <si>
    <t>Pegamento EL PULPITO x50g.</t>
  </si>
  <si>
    <t>Pegamento FASTIX x25g.</t>
  </si>
  <si>
    <t>Pegamento LA GOTITA Gel x3ml.</t>
  </si>
  <si>
    <t>Pegamento LA GOTITA x2ml.</t>
  </si>
  <si>
    <t>Pegamento MAPED Purpurina x10,5ml</t>
  </si>
  <si>
    <t>Pegamento POXI-RAN x23g.</t>
  </si>
  <si>
    <t>Pegamento POXILINA 10' x70g.</t>
  </si>
  <si>
    <t>Pegamento POXIPOL Gris x21g.</t>
  </si>
  <si>
    <t>Pegamento POXIPOL Transparente x16g.</t>
  </si>
  <si>
    <t>Pegamento UHU Frasco Facil x 90ml.</t>
  </si>
  <si>
    <t>Pegamento UHU Universal Gel x31ml.</t>
  </si>
  <si>
    <t>Pegamento UHU Universal x60ml.</t>
  </si>
  <si>
    <t>Pegamento UHU Universal x125ml.</t>
  </si>
  <si>
    <t>Pegamento UHU Universal x20ml.</t>
  </si>
  <si>
    <t>Pegamento UHU Universal x35ml.</t>
  </si>
  <si>
    <t>Pegamento UNIPOX Stick x40g.</t>
  </si>
  <si>
    <t>Pegamento UNIPOX x100ml.</t>
  </si>
  <si>
    <t>Pegamento UNIPOX x25ml.</t>
  </si>
  <si>
    <t>Pistola Encoladora ERPA HX100</t>
  </si>
  <si>
    <t>Pistola Encoladora ERPA PX300</t>
  </si>
  <si>
    <t>Pistola Encoladora SD-102 x11mm.</t>
  </si>
  <si>
    <t>Pistola Encoladora SD-E x7mm.</t>
  </si>
  <si>
    <t>Silicona Líquida STA x100g. xu.</t>
  </si>
  <si>
    <t>Silicona Líquida STA x30g. xu.</t>
  </si>
  <si>
    <t>Silicona UNIPOX Gel x24ml.</t>
  </si>
  <si>
    <t xml:space="preserve">PALITOS HELADO-BROCHETTES </t>
  </si>
  <si>
    <t>Palito de Helado Color x50u.</t>
  </si>
  <si>
    <t>Palito de Helado Natural x50u.</t>
  </si>
  <si>
    <t>Palitos para Brochette en Bolsa x100u.</t>
  </si>
  <si>
    <t>Palitos EZCO Para Souvenir Bolsa x50u. x25cm.</t>
  </si>
  <si>
    <t xml:space="preserve">GOMA EVA </t>
  </si>
  <si>
    <t>Goma Eva Amarillo 56 x 42cm. x 10u.</t>
  </si>
  <si>
    <t>Goma Eva Amarillo Fuerte 56 x 42cm. x 10u.</t>
  </si>
  <si>
    <t>Goma Eva Azul 56 x 42cm. x 10u.</t>
  </si>
  <si>
    <t>Goma Eva Blanca 56 x 42cm. x 10u.</t>
  </si>
  <si>
    <t>Goma Eva Celeste 56 x 42cm. x 10u.</t>
  </si>
  <si>
    <t>Goma Eva Fucsia 56 x 42cm. x 10u.</t>
  </si>
  <si>
    <t>Goma Eva Gris 56 x 42cm. x 10u.</t>
  </si>
  <si>
    <t>Goma Eva Marrón 56 x 42cm. x 10u.</t>
  </si>
  <si>
    <t>Goma Eva Naranja 56 x 42cm. x 10u.</t>
  </si>
  <si>
    <t>Goma Eva Negro 56 x 42cm. x 10u.</t>
  </si>
  <si>
    <t>Goma Eva Pastel Agua Marina 56 x 42cm. x10u.</t>
  </si>
  <si>
    <t>Goma Eva Pastel Arena 56 x 42cm. x10u.</t>
  </si>
  <si>
    <t>Goma Eva Pastel Durazno 56 x 42cm. x10u.</t>
  </si>
  <si>
    <t>Goma Eva Pastel Lavanda 56 x 42cm. x10u.</t>
  </si>
  <si>
    <t>Goma Eva Pastel Lima 56 x 42cm. x10u.</t>
  </si>
  <si>
    <t>Goma Eva Pastel Limon 56 x 42cm. x10u.</t>
  </si>
  <si>
    <t>Goma Eva Pastel Rosa Crema 56 x 42cm. x10u.</t>
  </si>
  <si>
    <t>Goma Eva Pastel Terracota 56 x 42cm. x10u</t>
  </si>
  <si>
    <t>Goma Eva Piel 56 x 42cm. x 10u.</t>
  </si>
  <si>
    <t>Goma Eva Rojo 56 x 42cm. x 10u.</t>
  </si>
  <si>
    <t>Goma Eva Rosa/Fucsia 56 x 42cm. x 10u.</t>
  </si>
  <si>
    <t>Goma Eva Salmón 56 x 42cm. x 10u.</t>
  </si>
  <si>
    <t>Goma Eva Verde Manzana 56 x 42cm. x 10u.</t>
  </si>
  <si>
    <t>Goma Eva Verde Navidad 56 x 42cm. x 10u.</t>
  </si>
  <si>
    <t>Goma Eva Verde 56 x 42cm. x 10u.</t>
  </si>
  <si>
    <t>Goma Eva Violeta 56 x 42cm. x 10u.</t>
  </si>
  <si>
    <t>Goma Eva Amarillo 56 x 42cm. x5mm. x 7u.</t>
  </si>
  <si>
    <t>Goma Eva Amarillo Fuerte 56 x 42cm. x5mm. x 7u.</t>
  </si>
  <si>
    <t>Goma Eva Azul 56 x 42cm. x5mm. x 7u.</t>
  </si>
  <si>
    <t>Goma Eva Blanco 56 x 42cm. x5mm. x 7u.</t>
  </si>
  <si>
    <t>Goma Eva Celeste 56 x 42cm. x5mm. x 7u.</t>
  </si>
  <si>
    <t>Goma Eva Naranja 56 x 42cm. x5mm. x 7u.</t>
  </si>
  <si>
    <t>Goma Eva Negro 56 x 42cm. x5mm. x 7u.</t>
  </si>
  <si>
    <t>Goma Eva Piel 56 x 42cm. x5mm. x 7u.</t>
  </si>
  <si>
    <t>Goma Eva Rojo 56 x 42cm. x5mm. x 7u.</t>
  </si>
  <si>
    <t>Goma Eva Verde 56 x 42cm. x5mm. x 7u.</t>
  </si>
  <si>
    <t>Goma Eva Violeta 56 x 42cm. x5mm. x 7u.</t>
  </si>
  <si>
    <t>Goma Eva ASAMBLEA 60 x 40cm. x10u. Color Amarillo</t>
  </si>
  <si>
    <t>Goma Eva ASAMBLEA 60 x 40cm. x10u. Color Azul Cielo</t>
  </si>
  <si>
    <t>Goma Eva ASAMBLEA 60 x 40cm. x10u. Color Azul Oscuro</t>
  </si>
  <si>
    <t>Goma Eva ASAMBLEA 60 x 40cm. x10u. Color Blanco</t>
  </si>
  <si>
    <t>Goma Eva ASAMBLEA 60 x 40cm. x10u. Color Celeste</t>
  </si>
  <si>
    <t>Goma Eva ASAMBLEA 60 x 40cm. x10u. Color Fucsia</t>
  </si>
  <si>
    <t>Goma Eva ASAMBLEA 60 x 40cm. x10u. Color Gris</t>
  </si>
  <si>
    <t>Goma Eva ASAMBLEA 60 x 40cm. x10u. Color Marrón</t>
  </si>
  <si>
    <t>Goma Eva ASAMBLEA 60 x 40cm. x10u. Color Negro</t>
  </si>
  <si>
    <t>Goma Eva ASAMBLEA 60 x 40cm. x10u. Color Piel</t>
  </si>
  <si>
    <t>Goma Eva ASAMBLEA 60 x 40cm. x10u. Color Rojo</t>
  </si>
  <si>
    <t>Goma Eva ASAMBLEA 60 x 40cm. x10u. Color Rosa</t>
  </si>
  <si>
    <t>Goma Eva ASAMBLEA 60 x 40cm. x10u. Color Verde Manzana</t>
  </si>
  <si>
    <t>Goma Eva Autoadhesiva 21X29.7cm x 10u Colores Surtidos</t>
  </si>
  <si>
    <t>Goma Eva Super Glitter Color Amarillo 40 x 60cm. x10u.</t>
  </si>
  <si>
    <t>Goma Eva Super Glitter Color Azul Oscuro 40 x 60cm. x10u.</t>
  </si>
  <si>
    <t>Goma Eva Super Glitter Color Blanco 40 x 60cm. x10u.</t>
  </si>
  <si>
    <t>Goma Eva Super Glitter Color Celeste 40 x 60cm. x10u.</t>
  </si>
  <si>
    <t>Goma Eva Super Glitter Color Fucsia 40 x 60cm. x10u.</t>
  </si>
  <si>
    <t>Goma Eva Super Glitter Iridiscente Color Amarillo 40 x 60cm. x10u.</t>
  </si>
  <si>
    <t>Goma Eva Super Glitter Iridiscente Color Blanco 40 x 60cm. x10u.</t>
  </si>
  <si>
    <t>Goma Eva Super Glitter Iridiscente Color Negro 40 x 60cm. x10u.</t>
  </si>
  <si>
    <t>Goma Eva Super Glitter Iridiscente Color Naranja 40 x 60cm. x10u.</t>
  </si>
  <si>
    <t>Goma Eva Super Glitter Iridiscente Color Verde 40 x 60cm. x10u.</t>
  </si>
  <si>
    <t>Goma Eva Super Glitter Color Lila 40 x 60cm. x10u.</t>
  </si>
  <si>
    <t>Goma Eva Super Glitter Color Limon Pastel 40 x 60cm. x10u.</t>
  </si>
  <si>
    <t>Goma Eva Super Glitter Color Marrón/Cobre 40 x 60cm. x10u.</t>
  </si>
  <si>
    <t>Goma Eva Super Glitter Color Negro 40 x 60cm. x10u.</t>
  </si>
  <si>
    <t>Goma Eva Super Glitter Color Naranja 40 x 60cm. x10u.</t>
  </si>
  <si>
    <t>Goma Eva Super Glitter Color Oro 40 x 60cm. x10u.</t>
  </si>
  <si>
    <t>Goma Eva Super Glitter Color Plata 40 x 60cm. x10u.</t>
  </si>
  <si>
    <t>Goma Eva Super Glitter Color Púrpura/Violeta 40 x 60cm. x10u.</t>
  </si>
  <si>
    <t>Goma Eva Super Glitter Color Rojo 40 x 60cm. x10u.</t>
  </si>
  <si>
    <t>Goma Eva Super Glitter Color Rosa 40 x 60cm. x10u.</t>
  </si>
  <si>
    <t>Goma Eva Super Glitter Color Verde 40 x 60cm. x10u.</t>
  </si>
  <si>
    <t>Goma Eva Super Glitter Color Verde Claro/Agua 40 x 60cm. x10u.</t>
  </si>
  <si>
    <t>Goma Eva Super Glitter Color Verde Pastel 40 x 60cm. x10u.</t>
  </si>
  <si>
    <t>Goma Eva Super Glitter Adhesivo Color Amarillo x5u.</t>
  </si>
  <si>
    <t>Goma Eva Super Glitter Adhesivo Color Azul x5u.</t>
  </si>
  <si>
    <t>Goma Eva Super Glitter Adhesiva Blanco x5u.</t>
  </si>
  <si>
    <t>Goma Eva Super Glitter Adhesivo Color Celeste x5u.</t>
  </si>
  <si>
    <t>Goma Eva Super Glitter Adhesivo Color Fucsia x5u.</t>
  </si>
  <si>
    <t>Goma Eva Super Glitter Adhesivo Color Marrón x5u.</t>
  </si>
  <si>
    <t>Goma Eva Super Glitter Adhesivo Color Naranja x5u.</t>
  </si>
  <si>
    <t>Goma Eva Super Glitter Adhesivo Color Negro x5u.</t>
  </si>
  <si>
    <t>Goma Eva Super Glitter Adhesivo Color Púrpura x5u.</t>
  </si>
  <si>
    <t>Goma Eva Super Glitter Adhesivo Color Verde Claro x5u.</t>
  </si>
  <si>
    <t>Goma Eva Super Glitter Adhesivo Color Verde x5u.</t>
  </si>
  <si>
    <t>Goma Eva Toalla Color Azul 40 x 60cm. x10u.</t>
  </si>
  <si>
    <t>Goma Eva Toalla Color Blanco 40 x 60cm. x10u.</t>
  </si>
  <si>
    <t>Goma Eva Toalla Color Celeste 40 x 60cm. x10u.</t>
  </si>
  <si>
    <t>Goma Eva Toalla Color Negro 40 x 60cm. x10u.</t>
  </si>
  <si>
    <t>Goma Eva Toalla Color Rosa 40 x 60cm. x10u.</t>
  </si>
  <si>
    <t xml:space="preserve">ARTISTICA </t>
  </si>
  <si>
    <t>Adhesivo Multipropósito ETERNA x100ml.</t>
  </si>
  <si>
    <t>Adhesivo Multipropósito ETERNA x40ml.</t>
  </si>
  <si>
    <t>Agrietador ARTÍSTICA DIBU Cracking Medium x 50ml.</t>
  </si>
  <si>
    <t>Atril De Mesa Simple</t>
  </si>
  <si>
    <t>Atril de Pintor Simple</t>
  </si>
  <si>
    <t>Barniz ETERNA CPK x125ml.</t>
  </si>
  <si>
    <t>Barniz General ETERNA Brillante x125ml.</t>
  </si>
  <si>
    <t>Barniz Poliuretánico ETERNA x125ml.</t>
  </si>
  <si>
    <t>Barniz y Diluyente ARTISTICA DIBU Brillante x 50ml.</t>
  </si>
  <si>
    <t>Barniz y Diluyente ARTISTICA DIBU Mate x 50ml.</t>
  </si>
  <si>
    <t>Barniz y Diluyente ARTISTICA DIBU Semi-Mate x 50ml.</t>
  </si>
  <si>
    <t>Barniz y Diluyente ETERNA Brillante x125ml.</t>
  </si>
  <si>
    <t>Barniz y Diluyente ETERNA Satinado x125ml.</t>
  </si>
  <si>
    <t>Base Acrílica ARTISTICA DIBU Blanco Titanio x 200ml.</t>
  </si>
  <si>
    <t>Base Acrílica ARTISTICA DIBU Negro x 200ml.</t>
  </si>
  <si>
    <t>Base Acrilica ETERNA Negro x700ml.</t>
  </si>
  <si>
    <t>Base Acrílica ETERNA Amarillo Bebé x200ml.</t>
  </si>
  <si>
    <t>Base Acrílica ETERNA Amarillo Medio x200ml.</t>
  </si>
  <si>
    <t>Base Acrílica ETERNA Anaranjado x200ml.</t>
  </si>
  <si>
    <t>Base Acrílica ETERNA Azul Cobalto x200ml.</t>
  </si>
  <si>
    <t>Base Acrílica ETERNA Azul Talo x200ml.</t>
  </si>
  <si>
    <t>Base Acrílica ETERNA Blanco Cálido x200ml.</t>
  </si>
  <si>
    <t>Base Acrílica ETERNA Blanco Titanio x200ml.</t>
  </si>
  <si>
    <t>Base Acrílica ETERNA Bermeyón x200ml.</t>
  </si>
  <si>
    <t>Base Acrílica ETERNA Calipso x200ml.</t>
  </si>
  <si>
    <t>Base Acrílica ETERNA Carmín x200ml.</t>
  </si>
  <si>
    <t>Base Acrílica ETERNA Celeste Bebé x200ml.</t>
  </si>
  <si>
    <t>Base Acrílica ETERNA Fucsia x200ml.</t>
  </si>
  <si>
    <t>Base Acrílica ETERNA Gris Niebla x200ml.</t>
  </si>
  <si>
    <t>Base Acrílica ETERNA Lila Bebé x200ml.</t>
  </si>
  <si>
    <t>Base Acrílica ETERNA Maíz x200ml.</t>
  </si>
  <si>
    <t>Base Acrílica ETERNA Negro x200ml.</t>
  </si>
  <si>
    <t>Base Acrílica ETERNA Ocre x200ml.</t>
  </si>
  <si>
    <t>Base Acrílica ETERNA Rojo Fuego x200ml.</t>
  </si>
  <si>
    <t>Base Acrílica ETERNA Rojo Óxido x200ml.</t>
  </si>
  <si>
    <t>Base Acrílica ETERNA Rosa Bebé x200ml.</t>
  </si>
  <si>
    <t>Base Acrílica ETERNA Rosa Country x200ml.</t>
  </si>
  <si>
    <t>Base Acrílica ETERNA Sambayón x200ml.</t>
  </si>
  <si>
    <t>Base Acrílica ETERNA Tierra Siena Natural x200ml.</t>
  </si>
  <si>
    <t>Base Acrílica ETERNA Tierra Siena Tostada x200ml.</t>
  </si>
  <si>
    <t>Base Acrílica ETERNA Tierra Sombra Natural x200ml.</t>
  </si>
  <si>
    <t>Base Acrílica ETERNA Tierra Sombra Tostada x200ml.</t>
  </si>
  <si>
    <t>Base Acrílica ETERNA Verde Bambú x200ml.</t>
  </si>
  <si>
    <t>Base Acrílica ETERNA Verde Musgo x200ml.</t>
  </si>
  <si>
    <t>Base Acrílica ETERNA Verde Manzana x200ml.</t>
  </si>
  <si>
    <t>Base Acrílica ETERNA Violeta x200ml.</t>
  </si>
  <si>
    <t>Bastidores 18x24cm.</t>
  </si>
  <si>
    <t>Bastidor 20 x 20cm.</t>
  </si>
  <si>
    <t>Bastidor 20 x 30cm.</t>
  </si>
  <si>
    <t>Bastidor 24x30cm.</t>
  </si>
  <si>
    <t>Bastidor 27 x 35cm.</t>
  </si>
  <si>
    <t>Bastidor 30 x 30cm.</t>
  </si>
  <si>
    <t>Bastidor 30 x 40cm.</t>
  </si>
  <si>
    <t>Bastidor 30 x 60cm.</t>
  </si>
  <si>
    <t>Bastidor 40 x 40cm.</t>
  </si>
  <si>
    <t>Bastidor 40 x 50cm.</t>
  </si>
  <si>
    <t>Bastidor 40 x 60cm.</t>
  </si>
  <si>
    <t>Bastidor 50 x 50cm.</t>
  </si>
  <si>
    <t>Bastidor 50 x 60cm.</t>
  </si>
  <si>
    <t>Bastidor 50 x 70cm.</t>
  </si>
  <si>
    <t>Bastidor 60 x 80cm.</t>
  </si>
  <si>
    <t>Bastidor 70 cm. x 1m.</t>
  </si>
  <si>
    <t>Bastidor 80 x 100cm.</t>
  </si>
  <si>
    <t>Bastidor Boceteado 8 Puntos 30 x 30cm.</t>
  </si>
  <si>
    <t>Bastidor Boceteado Calavera 30 x 30cm.</t>
  </si>
  <si>
    <t>Bastidor Boceteado Estrella 30 x30cm.</t>
  </si>
  <si>
    <t>Bastidor Boceteado Flor 30 x 30cm.</t>
  </si>
  <si>
    <t>Bastidor Boceteado Hoja 30 x 30cm.</t>
  </si>
  <si>
    <t>Bastidor Boceteado Mandala 39 30 x 30cm.</t>
  </si>
  <si>
    <t>Bastidor Boceteado Mandala 40 30 x 30cm.</t>
  </si>
  <si>
    <t>Bastidor Boceteado Puntilla 30 x 30cm.</t>
  </si>
  <si>
    <t>Bastidor Boceteado Sol 30 x 30cm.</t>
  </si>
  <si>
    <t>Bastidor Redondo x30cm.</t>
  </si>
  <si>
    <t>Bastidor Redondo x40cm.</t>
  </si>
  <si>
    <t>Carbonilla ARTÍSTICA DIBU De 3-7mm. Surtido x 8u.</t>
  </si>
  <si>
    <t>Carbonilla ETERNA Nº0 x10u.</t>
  </si>
  <si>
    <t>Carbonilla ETERNA Nº1 x10u.</t>
  </si>
  <si>
    <t>Carbonilla ETERNA Nº2 x5u.</t>
  </si>
  <si>
    <t>Carbonilla ETERNA Nº3 x5u.</t>
  </si>
  <si>
    <t>Carbonilla ETERNA Nº4 x3u.</t>
  </si>
  <si>
    <t>Craquelador ARTÍSTICA DIBU Base 1 x 50ml.</t>
  </si>
  <si>
    <t>Esmalte Acrílico ETERNA Amarillo Limón x50ml.</t>
  </si>
  <si>
    <t>Esmalte Acrílico ETERNA Amarillo Medio x50ml.</t>
  </si>
  <si>
    <t>Esmalte Acrílico ETERNA Anaranjado x50ml.</t>
  </si>
  <si>
    <t>Esmalte Acrílico ETERNA Azul Cobalto x50ml.</t>
  </si>
  <si>
    <t>Esmalte Acrílico ETERNA Azul Talo x50ml.</t>
  </si>
  <si>
    <t>Esmalte Acrílico ETERNA Azul Ultramar x50ml.</t>
  </si>
  <si>
    <t>Esmalte Acrílico ETERNA Base Perlada x50ml.</t>
  </si>
  <si>
    <t>Esmalte Acrílico ETERNA Bermeyón x50ml.</t>
  </si>
  <si>
    <t>Esmalte Acrílico ETERNA Borravino x50ml.</t>
  </si>
  <si>
    <t>Esmalte Acrílico ETERNA Carmín x50ml.</t>
  </si>
  <si>
    <t>Esmalte Acrílico ETERNA Cereza x50ml.</t>
  </si>
  <si>
    <t>Esmalte Acrílico ETERNA Chocolate x50ml.</t>
  </si>
  <si>
    <t>Esmalte Acrílico ETERNA Cobre x50ml.</t>
  </si>
  <si>
    <t>Esmalte Acrílico ETERNA Fucsia x50ml.</t>
  </si>
  <si>
    <t>Esmalte Acrílico ETERNA Gris Payne x50ml.</t>
  </si>
  <si>
    <t>Esmalte Acrílico ETERNA Lavanda x50ml.</t>
  </si>
  <si>
    <t>Esmalte Acrílico ETERNA Magenta x50ml.</t>
  </si>
  <si>
    <t>Esmalte Acrílico ETERNA Negro x50ml.</t>
  </si>
  <si>
    <t>Esmalte Acrílico ETERNA Ocre x50ml.</t>
  </si>
  <si>
    <t>Esmalte Acrílico ETERNA Oro Ducado x50ml.</t>
  </si>
  <si>
    <t>Esmalte Acrílico ETERNA Oro Rico x50ml.</t>
  </si>
  <si>
    <t>Esmalte Acrílico ETERNA Plata x50ml.</t>
  </si>
  <si>
    <t>Esmalte Acrílico ETERNA Púrpura x50ml.</t>
  </si>
  <si>
    <t>Esmalte Acrílico ETERNA Rojo Cadmio x50ml.</t>
  </si>
  <si>
    <t>Esmalte Acrílico ETERNA Rojo Fuego x50ml.</t>
  </si>
  <si>
    <t>Esmalte Acrílico ETERNA Rojo Óxido x50ml.</t>
  </si>
  <si>
    <t>Esmalte Acrílico ETERNA Sambayón x50ml.</t>
  </si>
  <si>
    <t>Esmalte Acrílico ETERNA Terracota x50ml.</t>
  </si>
  <si>
    <t>Esmalte Acrílico ETERNA Tierra Sombra Tostada x50ml.</t>
  </si>
  <si>
    <t>Fibro Facil Entelado 24 x 30cm.</t>
  </si>
  <si>
    <t>Fibro Facil Entelado 27 x 35cm.</t>
  </si>
  <si>
    <t>Fibro Facil Entelado 30 x 40cm.</t>
  </si>
  <si>
    <t>Fibro Facil Entelado 40 x 50cm.</t>
  </si>
  <si>
    <t>Fibro Facil Entelado 50 x 60cm.</t>
  </si>
  <si>
    <t>Maquillaje ARTÍSTICA DIBU Neblina Fijado x 100ml.</t>
  </si>
  <si>
    <t>Gel Fijador AD Para Maquillaje x60ml</t>
  </si>
  <si>
    <t>Gel Retardador Acrílico ARTÍSTICA DIBU x 50ml.</t>
  </si>
  <si>
    <t>Gesso Acrílico ETERNA Blanco x250ml.</t>
  </si>
  <si>
    <t>Gesso Artesanato ARTÍSTICA DIBU Blanco x 100ml.</t>
  </si>
  <si>
    <t>Juego De Espátulas ARTÍSTICA DIBU De Plástico x5u.</t>
  </si>
  <si>
    <t>Juego De Estecas ARTÍSTICA DIBU De Plástico x 4u.</t>
  </si>
  <si>
    <t>Juego de Estecas TURK de Acero Inoxidable x4u.</t>
  </si>
  <si>
    <t>Juego de Estecas TURK de Madera 150mm. x4u.</t>
  </si>
  <si>
    <t>Juego de Estecas TURK de Madera 200mm. x4u.</t>
  </si>
  <si>
    <t>Kit Craquelador ARTÍSTICA DIBU 2 Componentes x 50ml.</t>
  </si>
  <si>
    <t>Maquillaje Teatral ARTÍSTICA DIBU Amarillo Medio x 40ml.</t>
  </si>
  <si>
    <t>Maquillaje Teatral ARTÍSTICA DIBU Azul x 40ml.</t>
  </si>
  <si>
    <t>Maquillaje Teatral ARTÍSTICA DIBU Blanco x 40ml.</t>
  </si>
  <si>
    <t>Maquillaje Teatral ARTÍSTICA DIBU Celeste x 40ml.</t>
  </si>
  <si>
    <t>Maquillaje Teatral ARTÍSTICA DIBU Cobre x 40ml.</t>
  </si>
  <si>
    <t>Maquillaje Teatral ARTÍSTICA DIBU Marrón x 40ml.</t>
  </si>
  <si>
    <t>Maquillaje Teatral ARTÍSTICA DIBU Naranja x 40ml.</t>
  </si>
  <si>
    <t>Maquillaje Teatral ARTÍSTICA DIBU Negro x 40ml.</t>
  </si>
  <si>
    <t>Maquillaje Teatral ARTÍSTICA DIBU Oro x 40ml.</t>
  </si>
  <si>
    <t>Maquillaje Teatral ARTÍSTICA DIBU Plata x 40ml.</t>
  </si>
  <si>
    <t>Maquillaje Teatral ARTÍSTICA DIBU Rojo Fuego x 40ml.</t>
  </si>
  <si>
    <t>Maquillaje Teatral ARTÍSTICA DIBU Rosa x 40ml.</t>
  </si>
  <si>
    <t>Maquillaje Teatral ARTÍSTICA DIBU Verde Manzana x 40ml.</t>
  </si>
  <si>
    <t>Maquillaje Teatral ARTÍSTICA DIBU Verde x 40ml.</t>
  </si>
  <si>
    <t>Maquillaje Teatral ARTÍSTICA DIBU Violeta x 40ml.</t>
  </si>
  <si>
    <t>Paleta de Pintor Ovalada 23 x 30cm.</t>
  </si>
  <si>
    <t>Pincel Sintético DIBU Chanfle 146 x 6u. N°00</t>
  </si>
  <si>
    <t>Pincel Sintético DIBU Chanfle 146 x 6u. N°0</t>
  </si>
  <si>
    <t>Pincel Sintético DIBU Chanfle 146 x 6u. N°10</t>
  </si>
  <si>
    <t>PINCEL SINTETICO DIBU CHANFLE(ANGULAR)x146x6u.N°12</t>
  </si>
  <si>
    <t>Pincel Sintético DIBU Chanfle 146 x 6u. N°2</t>
  </si>
  <si>
    <t>Pincel Sintético DIBU Chanfle 146x6u.N°4</t>
  </si>
  <si>
    <t>Pincel Sintético DIBU Chanfle 146 Nº6 x 6u.</t>
  </si>
  <si>
    <t>Pincel Sintético DIBU Chanfle x 6u. N°8</t>
  </si>
  <si>
    <t>Pincel Sintético DIBU Chato 140 x 6u. N°0</t>
  </si>
  <si>
    <t>Pincel Sintético DIBU Chato 140 x 6u. N°1</t>
  </si>
  <si>
    <t>PINCEL SINTETICO DIBU CHATO 140x6u.N°10</t>
  </si>
  <si>
    <t>PINCEL SINTETICO DIBU CHATO 140x6u.N°12</t>
  </si>
  <si>
    <t>Pincel Sintético DIBU Chato 140 x 6u. N°14</t>
  </si>
  <si>
    <t>Pincel Sintético DIBU Chato 140 N°2 x 6u.</t>
  </si>
  <si>
    <t>Pincel Sintético DIBU Chato 140 N°3 x 6u.</t>
  </si>
  <si>
    <t>Pincel Sintético DIBU Chato 140 x 6u. N°4</t>
  </si>
  <si>
    <t>Pincel Sintético DIBU Chato 140 N°5 x 6u.</t>
  </si>
  <si>
    <t>Pincel Sintético DIBU Chato 140 x 6u. N°6</t>
  </si>
  <si>
    <t>Pincel Sintético DIBU Chato 140 x 6u. N°8</t>
  </si>
  <si>
    <t>Pincel Sintético DIBU Lengua De Gato 150 x 6u. N°0</t>
  </si>
  <si>
    <t>Pincel Sintético DIBU Lengua De Gato 150 x 6u. N°10</t>
  </si>
  <si>
    <t>Pincel Sintético DIBU Lengua de Gato 150 N°12 x 6u.</t>
  </si>
  <si>
    <t>Pincel Sintético DIBU Lengua De Gato 150 x 6u. N°2</t>
  </si>
  <si>
    <t>Pincel Sintético DIBU Lengua De Gato 150 x 6u. N°4</t>
  </si>
  <si>
    <t>Pincel Sintético DIBU Lengua De Gato 150 x 6u. N°6</t>
  </si>
  <si>
    <t>Pincel Sintético DIBU Lengua De Gato 150 N°8 x6u.</t>
  </si>
  <si>
    <t>Pinceles Chatos VAN ORLEY Nº18 xu.</t>
  </si>
  <si>
    <t>Pinceles Chatos Van Orley Nº0 x12u.</t>
  </si>
  <si>
    <t>Pinceles Chatos Van Orley Nº1 x12u.</t>
  </si>
  <si>
    <t>Pinceles Chatos Van Orley Nº10 x12u.</t>
  </si>
  <si>
    <t>Pinceles Chatos Van Orley Nº11 x12u.</t>
  </si>
  <si>
    <t>Pinceles Chatos Van Orley Nº12 x12u.</t>
  </si>
  <si>
    <t>Pinceles Chatos Van Orley Nº2 x12u.</t>
  </si>
  <si>
    <t>Pinceles Chatos Van Orley Nº3 x12u.</t>
  </si>
  <si>
    <t>Pinceles Chatos Van Orley Nº4 x12u.</t>
  </si>
  <si>
    <t>Pinceles Chatos Van Orley Nº5 x12u.</t>
  </si>
  <si>
    <t>Pinceles Chatos Van Orley Nº6 x12u.</t>
  </si>
  <si>
    <t>Pinceles Chatos Van Orley Nº7 x12u.</t>
  </si>
  <si>
    <t>Pinceles Chatos Van Orley Nº8 x12u.</t>
  </si>
  <si>
    <t>Pinceles Chatos Van Orley Nº9 x12u.</t>
  </si>
  <si>
    <t>Pinceles PICCASITO del 1 al 6 x6u.</t>
  </si>
  <si>
    <t>Pinceles Nº10 x12u.</t>
  </si>
  <si>
    <t>Pinceles Nº11 x12u.</t>
  </si>
  <si>
    <t>Pinceles Nº12 x12u.</t>
  </si>
  <si>
    <t>Pinceles Nº2 x12u.</t>
  </si>
  <si>
    <t>Pinceles Nº3 x12u.</t>
  </si>
  <si>
    <t>Pinceles Nº4 x12u.</t>
  </si>
  <si>
    <t>Pinceles Nº5 x12u.</t>
  </si>
  <si>
    <t>Pinceles Nº6 x12u.</t>
  </si>
  <si>
    <t>Pinceles Nº7 x12u.</t>
  </si>
  <si>
    <t>Pinceles Nº8 x12u.</t>
  </si>
  <si>
    <t>Pinceles Nº9 x12u.</t>
  </si>
  <si>
    <t>Pinceles Nº0 x12u.</t>
  </si>
  <si>
    <t>Pinceles Nº1 x12u.</t>
  </si>
  <si>
    <t>Pinceleta Cerda Blanca N°4</t>
  </si>
  <si>
    <t>Pinceleta Cerda Naranja Nº11 xu.</t>
  </si>
  <si>
    <t>Pinceleta Cerda Naranja Nº5 xu.</t>
  </si>
  <si>
    <t>Pinceleta Cerda Naranja Nº8/9 xu.</t>
  </si>
  <si>
    <t>Pinceleta Cerda Naranja Nº4 xu.</t>
  </si>
  <si>
    <t>Pinceleta Cerda Naranja N°6 xu.</t>
  </si>
  <si>
    <t>Pintura Acrílica Decorativa ARTÍSTICA DIBU Amarillo Cadmio x 60ml.</t>
  </si>
  <si>
    <t>Pintura Acrílica Decorativa ARTÍSTICA DIBU Amarillo Cadmio Claro x 60ml.</t>
  </si>
  <si>
    <t>Pintura Acrílica Decorativa ARTÍSTICA DIBU Amarillo Claro x 60ml.</t>
  </si>
  <si>
    <t>Pintura Acrílica Decorativa ARTÍSTICA DIBU Amarillo Flúo x 60ml.</t>
  </si>
  <si>
    <t>Pintura Acrílica Decorativa ARTÍSTICA DIBU Amarillo Medio x 60ml.</t>
  </si>
  <si>
    <t>Pintura Acrílica Decorativa ARTÍSTICA DIBU Amarillo Nápoles x 60ml.</t>
  </si>
  <si>
    <t>Pintura Acrílica Decorativa ARTÍSTICA DIBU Amarillo Oro x 60ml.</t>
  </si>
  <si>
    <t>Pintura Acrílica Decorativa ARTÍSTICA DIBU Amarillo Pastel x 60ml.</t>
  </si>
  <si>
    <t>Pintura Acrílica Decorativa ARTÍSTICA DIBU Amarillo Sol x 60ml.</t>
  </si>
  <si>
    <t>Pintura Acrílica Decorativa ARTÍSTICA DIBU Arena x 60ml.</t>
  </si>
  <si>
    <t>Pintura Acrílica Decorativa ARTÍSTICA DIBU Azul Ceniza x 60ml.</t>
  </si>
  <si>
    <t>Pintura Acrílica Decorativa ARTÍSTICA DIBU Azul Cerúleo x 60ml.</t>
  </si>
  <si>
    <t>Pintura Acrílica Decorativa ARTÍSTICA DIBU Azul Cobalto x 60ml.</t>
  </si>
  <si>
    <t>Pintura Acrílica Decorativa ARTÍSTICA DIBU Azul Country x 60ml.</t>
  </si>
  <si>
    <t>Pintura Acrílica Decorativa ARTÍSTICA DIBU Azul Esmeralda x 60ml.</t>
  </si>
  <si>
    <t>Pintura Acrílica Decorativa ARTÍSTICA DIBU Azul Flúo x 60ml.</t>
  </si>
  <si>
    <t>Pintura Acrílica Decorativa ARTÍSTICA DIBU Azul Francés Claro x 60ml.</t>
  </si>
  <si>
    <t>Pintura Acrílica Decorativa ARTÍSTICA DIBU Azul Ftalo x 60ml.</t>
  </si>
  <si>
    <t>Pintura Acrílica Decorativa ARTÍSTICA DIBU Azul Naval x 60ml.</t>
  </si>
  <si>
    <t>Pintura Acrílica Decorativa ARTÍSTICA DIBU Azul Ultramar x 60ml.</t>
  </si>
  <si>
    <t>Pintura Acrílica Decorativa ARTÍSTICA DIBU Azul Celeste x 60ml.</t>
  </si>
  <si>
    <t>Pintura Acrílica Decorativa ARTÍSTICA DIBU Azul Petróleo x 60ml.</t>
  </si>
  <si>
    <t>Pintura Acrílica Decorativa ARTÍSTICA DIBU Azul Uniforme x 60ml.</t>
  </si>
  <si>
    <t>Pintura Acrílica Decorativa ARTÍSTICA DIBU Blanco Antiguo x 60ml.</t>
  </si>
  <si>
    <t>Pintura Acrílica Decorativa ARTÍSTICA DIBU Blanco Perlado x 60ml.</t>
  </si>
  <si>
    <t>Pintura Acrílica Decorativa ARTÍSTICA DIBU Blanco Titanio x 60ml.</t>
  </si>
  <si>
    <t>Pintura Acrílica Decorativa ARTÍSTICA DIBU Blanco De Zinc x 60ml.</t>
  </si>
  <si>
    <t>Pintura Acrílica Decorativa ARTÍSTICA DIBU Bermellón x 60ml.</t>
  </si>
  <si>
    <t>Pintura Acrílica Decorativa ARTÍSTICA DIBU Borravino x 60ml.</t>
  </si>
  <si>
    <t>Pintura Acrílica Decorativa ARTÍSTICA DIBU Capuchino x 60ml.</t>
  </si>
  <si>
    <t>Pintura Acrílica Decorativa ARTÍSTICA DIBU Caramelo x 60ml.</t>
  </si>
  <si>
    <t>Pintura Acrílica Decorativa ARTÍSTICA DIBU Carmín x 60ml.</t>
  </si>
  <si>
    <t>Pintura Acrílica Decorativa ARTÍSTICA DIBU Chocolate x 60ml.</t>
  </si>
  <si>
    <t>Pintura Acrílica Decorativa ARTÍSTICA DIBU Cobre x 60ml.</t>
  </si>
  <si>
    <t>Pintura Acrílica Decorativa ARTÍSTICA DIBU Damasco x 60ml.</t>
  </si>
  <si>
    <t>Pintura Acrílica Decorativa ARTÍSTICA DIBU Durazno x 60ml.</t>
  </si>
  <si>
    <t>Pintura Acrílica Decorativa ARTÍSTICA DIBU Escarlata x 60ml.</t>
  </si>
  <si>
    <t>Pintura Acrílica Decorativa ARTÍSTICA DIBU Glaciar x 60ml.</t>
  </si>
  <si>
    <t>Pintura Acrílica Decorativa ARTÍSTICA DIBU Gris Claro x 60ml.</t>
  </si>
  <si>
    <t>Pintura Acrílica Decorativa ARTÍSTICA DIBU Gris Delfín x 60ml.</t>
  </si>
  <si>
    <t>Pintura Acrílica Decorativa ARTÍSTICA DIBU Gris Elefante x 60ml.</t>
  </si>
  <si>
    <t>Pintura Acrílica Decorativa ARTÍSTICA DIBU Gris De Payne x 60ml.</t>
  </si>
  <si>
    <t>Pintura Acrílica Decorativa ARTÍSTICA DIBU Gris Topo x 60ml.</t>
  </si>
  <si>
    <t>Pintura Acrílica Decorativa ARTÍSTICA DIBU Jacarandá x 60ml.</t>
  </si>
  <si>
    <t>Pintura Acrílica Decorativa ARTÍSTICA DIBU Kaki x 60ml.</t>
  </si>
  <si>
    <t>Pintura Acrílica Decorativa ARTÍSTICA DIBU Lavanda x 60ml.</t>
  </si>
  <si>
    <t>Pintura Acrílica Decorativa ARTÍSTICA DIBU Lavanda Pastel x 60ml.</t>
  </si>
  <si>
    <t>Pintura Acrílica Decorativa ARTÍSTICA DIBU Lila x 60ml.</t>
  </si>
  <si>
    <t>Pintura Acrílica Decorativa ARTÍSTICA DIBU Luz De Luna x 60ml.</t>
  </si>
  <si>
    <t>Pintura Acrílica Decorativa ARTÍSTICA DIBU Magenta x 60ml.</t>
  </si>
  <si>
    <t>Pintura Acrílica Decorativa ARTÍSTICA DIBU Maíz x 60ml.</t>
  </si>
  <si>
    <t>Pintura Acrílica Decorativa ARTÍSTICA DIBU Mandarina x 60ml.</t>
  </si>
  <si>
    <t>Pintura Acrílica Decorativa ARTÍSTICA DIBU Manteca x 60ml.</t>
  </si>
  <si>
    <t>Pintura Acrílica Decorativa ARTÍSTICA DIBU Marfil x 60ml.</t>
  </si>
  <si>
    <t>Pintura Acrílica Decorativa ARTÍSTICA DIBU Manzana Pastel x 60ml.</t>
  </si>
  <si>
    <t>Pintura Acrílica Decorativa ARTÍSTICA DIBU Negro x 60ml.</t>
  </si>
  <si>
    <t>Pintura Acrílica Decorativa ARTÍSTICA DIBU Negro Óxido x 60ml.</t>
  </si>
  <si>
    <t>Pintura Acrílica Decorativa ARTÍSTICA DIBU Naranja Flúox 60ml.</t>
  </si>
  <si>
    <t>Pintura Acrílica Decorativa ARTÍSTICA DIBU Naranja Pastel x 60ml.</t>
  </si>
  <si>
    <t>Pintura Acrílica Decorativa ARTÍSTICA DIBU Naranja Permanente x 60ml.</t>
  </si>
  <si>
    <t>Pintura Acrílica Decorativa ARTÍSTICA DIBU Ocre Amarillo x 60ml.</t>
  </si>
  <si>
    <t>Pintura Acrílica Decorativa ARTÍSTICA DIBU Oro Antiguo x 60ml.</t>
  </si>
  <si>
    <t>Pitura Acrilica AD Oro Imperio x60ml.</t>
  </si>
  <si>
    <t>Pintura Acrílica Decorativa ARTÍSTICA DIBU Oro Rico x 60ml</t>
  </si>
  <si>
    <t>Pintura Acrílica Decorativa ARTÍSTICA DIBU Peltre x 60ml.</t>
  </si>
  <si>
    <t>Pintura Acrílica Decorativa ARTÍSTICA DIBU Perlado Acero x 60ml.</t>
  </si>
  <si>
    <t>Pintura Acrílica Decorativa ARTÍSTICA DIBU Perlado Amarillo x 60ml.</t>
  </si>
  <si>
    <t>Pintura Acrílica Decorativa ARTÍSTICA DIBU Perlado Azul x 60ml.</t>
  </si>
  <si>
    <t>Pintura Acrílica Decorativa ARTÍSTICA DIBU Perlado Naranja x 60ml.</t>
  </si>
  <si>
    <t>Pintura Acrílica Decorativa ARTÍSTICA DIBU Perlado Rosa x 60ml.</t>
  </si>
  <si>
    <t>Pintura Acrílica Decorativa ARTÍSTICA DIBU Perlado Verde x 60ml.</t>
  </si>
  <si>
    <t>Pintura Acrílica Decorativa ARTÍSTICA DIBU Perlado Violeta x 60ml.</t>
  </si>
  <si>
    <t>Pintura Acrílica Decorativa ARTÍSTICA DIBU Piel x 60ml.</t>
  </si>
  <si>
    <t>Pintura Acrílica Decorativa ARTÍSTICA DIBU Plata x 60ml.</t>
  </si>
  <si>
    <t>Pintura Acrílica Decorativa ARTÍSTICA DIBU Rojo Cadmio Claro x 60ml.</t>
  </si>
  <si>
    <t>Pintura Acrílica Decorativa ARTÍSTICA DIBU Rojo Ceibo x 60ml.</t>
  </si>
  <si>
    <t>Pintura Acrílica Decorativa ARTÍSTICA DIBU Rojo Claro x 60ml.</t>
  </si>
  <si>
    <t>Pintura Acrílica Decorativa ARTÍSTICA DIBU Rojo Fuego x 60ml.</t>
  </si>
  <si>
    <t>Pintura Acrílica Decorativa ARTÍSTICA DIBU Rojo x60ml.</t>
  </si>
  <si>
    <t>Pintura Acrílica Decorativa ARTÍSTICA DIBU Rojo Cadmio x 60ml.</t>
  </si>
  <si>
    <t>Pintura Acrílica Decorativa ARTÍSTICA DIBU Rojo Flúo x 60ml.</t>
  </si>
  <si>
    <t>Pintura Acrílica Decorativa ARTÍSTICA DIBU Rojo Óxido x 60ml.</t>
  </si>
  <si>
    <t>Pintura Acrílica Decorativa ARTÍSTICA DIBU Rosa x 60ml.</t>
  </si>
  <si>
    <t>Pintura Acrílica Decorativa ARTÍSTICA DIBU Rosa Bebé x 60ml.</t>
  </si>
  <si>
    <t>Pintura Acrílica Decorativa ARTÍSTICA DIBU Rosa Campestre x 60ml.</t>
  </si>
  <si>
    <t>Pintura Acrílica Decorativa ARTÍSTICA DIBU Rosa Chicle x 60ml.</t>
  </si>
  <si>
    <t>Pintura Acrílica Decorativa ARTÍSTICA DIBU Rosa Country x 60ml.</t>
  </si>
  <si>
    <t>Pintura Acrílica Decorativa ARTÍSTICA DIBU Rosa Flúo x 60ml.</t>
  </si>
  <si>
    <t>Pintura Acrílica Decorativa ARTÍSTICA DIBU Rosa Pálido x 60ml.</t>
  </si>
  <si>
    <t>Pintura Acrílica Decorativa ARTÍSTICA DIBU Rosa Primavera x 60ml.</t>
  </si>
  <si>
    <t>Pintura Acrílica Decorativa ARTÍSTICA DIBU Rosa Viejo x 60ml.</t>
  </si>
  <si>
    <t>Pintura Acrílica Decorativa ARTÍSTICA DIBU Siena Natural x 60ml.</t>
  </si>
  <si>
    <t>Pintura Acrílica Decorativa ARTÍSTICA DIBU Siena Tostada x 60ml.</t>
  </si>
  <si>
    <t>Pintura Acrílica Decorativa ARTÍSTICA DIBU Sombra Natural x 60ml.</t>
  </si>
  <si>
    <t>Pintura Acrílica Decorativa ARTÍSTICA DIBU Sombra Tostada x 60ml.</t>
  </si>
  <si>
    <t>Pintura Acrílica Decorativa ARTÍSTICA DIBU Topacio x 60ml.</t>
  </si>
  <si>
    <t>Pintura Acrílica Decorativa ARTÍSTICA DIBU Turquesa x 60ml.</t>
  </si>
  <si>
    <t>Pintura Acrílica Decorativa ARTÍSTICA DIBU Turquesa Claro x 60ml.</t>
  </si>
  <si>
    <t>Pintura Acrílica Decorativa ARTÍSTICA DIBU Ultramar Profundo x 60ml.</t>
  </si>
  <si>
    <t>Pintura Acrílica Decorativa ARTÍSTICA DIBU Verde Agua x 60ml.</t>
  </si>
  <si>
    <t>Pintura Acrílica Decorativa ARTÍSTICA DIBU Verde Bebé x 60ml.</t>
  </si>
  <si>
    <t>Pintura Acrílica Decorativa ARTÍSTICA DIBU Verde Cadmio x 60ml.</t>
  </si>
  <si>
    <t>Pintura Acrílica Decorativa ARTÍSTICA DIBU Verde Flúo x 60ml.</t>
  </si>
  <si>
    <t>Pintura Acrílica Decorativa ARTÍSTICA DIBU Verde Foresta x 60ml.</t>
  </si>
  <si>
    <t>Pintura Acrílica Decorativa ARTÍSTICA DIBU Verde Ftalo x 60ml.</t>
  </si>
  <si>
    <t>Pintura Acrílica Decorativa ARTÍSTICA DIBU Verde Hoja x 60ml.</t>
  </si>
  <si>
    <t>Pintura Acrílica Decorativa ARTÍSTICA DIBU Verde Musgo x 60ml.</t>
  </si>
  <si>
    <t>Pintura Acrílica Decorativa ARTÍSTICA DIBU Verde Manzana x 60ml.</t>
  </si>
  <si>
    <t>Pintura Acrílica Decorativa ARTÍSTICA DIBU Verde Oliva x 60ml.</t>
  </si>
  <si>
    <t>Pintura Acrílica Decorativa ARTÍSTICA DIBU Verde Óxido Cromo x 60ml.</t>
  </si>
  <si>
    <t>Pintura Acrílica Decorativa ARTÍSTICA DIBU Verde Pastel x 60ml.</t>
  </si>
  <si>
    <t>Pintura Acrílica Decorativa ARTÍSTICA DIBU Verde Pino x 60ml.</t>
  </si>
  <si>
    <t>Pintura Acrílica Decorativa ARTÍSTICA DIBU Violeta Colonial x 60ml.</t>
  </si>
  <si>
    <t>Pintura Acrílica Decorativa ARTÍSTICA DIBU Violeta Permanente x 60ml.</t>
  </si>
  <si>
    <t>Pintura Acrílica Decorativa ARTÍSTICA DIBU Violeta Rojizo x 60ml.</t>
  </si>
  <si>
    <t>Pintura Acrílica Decorativa ARTÍSTICA DIBU Wengue x 60ml.</t>
  </si>
  <si>
    <t>Pintura Acrílica ETERNA Amarillo Cadmio x250ml.</t>
  </si>
  <si>
    <t>Pintura Acrílica ETERNA Amarillo Dorado x250ml.</t>
  </si>
  <si>
    <t>Pintura Acrílica ETERNA Amarillo Limón x250ml.</t>
  </si>
  <si>
    <t>Pintura Acrílica ETERNA Amarillo Medio x250ml.</t>
  </si>
  <si>
    <t>Pintura Acrilica ETERNA Amarillo Napoles x250ml.</t>
  </si>
  <si>
    <t>Pintura Acrílica ETERNA Amarillo Verdoso x250ml.</t>
  </si>
  <si>
    <t>Pintura Acrílica ETERNA Anaranjado x250ml.</t>
  </si>
  <si>
    <t>Pintura Acrílica ETERNA Arrayán x250ml.</t>
  </si>
  <si>
    <t>Pintura Acrílica ETERNA Azul Cobalto x250ml.</t>
  </si>
  <si>
    <t>Pintura Acrílica ETERNA Azul Ultramar x250ml.</t>
  </si>
  <si>
    <t>Pintura Acrílica ETERNA Blanco Cálido x250ml.</t>
  </si>
  <si>
    <t>Pintura Acrílica ETERNA Blanco Perlado x250ml.</t>
  </si>
  <si>
    <t>Pintura Acrílica ETERNA Blanco Titanio x250ml.</t>
  </si>
  <si>
    <t>Pintura Acrílica ETERNA Bermeyón x250ml.</t>
  </si>
  <si>
    <t>Pintura Acrílica ETERNA Carne Claro x250ml.</t>
  </si>
  <si>
    <t>Pintura Acrílica ETERNA Celeste Bandera x250ml.</t>
  </si>
  <si>
    <t>Pintura Acrílica ETERNA Celeste Country x250ml.</t>
  </si>
  <si>
    <t>Pintura Acrílica ETERNA Celeste Bebé x250ml.</t>
  </si>
  <si>
    <t>Pintura Acrílica ETERNA Chocolate x250ml.</t>
  </si>
  <si>
    <t>Pintura Acrílica ETERNA Cian x250ml.</t>
  </si>
  <si>
    <t>Pintura Acrílica ETERNA Durazno x250ml.</t>
  </si>
  <si>
    <t>Pintura Acrílica ETERNA Fucsia x250ml.</t>
  </si>
  <si>
    <t>Pintura Acrílica ETERNA Hueso x250ml.</t>
  </si>
  <si>
    <t>Pintura Acrílica ETERNA Lacre x250ml.</t>
  </si>
  <si>
    <t>Pintura Acrílica ETERNA Lavanda x250ml.</t>
  </si>
  <si>
    <t>Pintura Acrílica ETERNA Lirio x250ml.</t>
  </si>
  <si>
    <t>Pintura Acrílica ETERNA Magenta x250ml.</t>
  </si>
  <si>
    <t>Pintura Acrílica ETERNA Negro x250ml.</t>
  </si>
  <si>
    <t>Pintura Acrílica ETERNA Ocre x250ml.</t>
  </si>
  <si>
    <t>Pintura Acrílica ETERNA Rojo Cadmio x250ml.</t>
  </si>
  <si>
    <t>Pintura Acrílica ETERNA Rojo Navideño x250ml.</t>
  </si>
  <si>
    <t>Pintura Acrílica ETERNA Rosa Bebé x250ml.</t>
  </si>
  <si>
    <t>Pintura Acrílica ETERNA Rosa Country x250ml.</t>
  </si>
  <si>
    <t>Pintura Acrílica ETERNA Tierra Siena Natural x250ml.</t>
  </si>
  <si>
    <t>Pintura Acrílica ETERNA Tierra Siena Tostada x250ml.</t>
  </si>
  <si>
    <t>Pintura Acrílica ETERNA Tierra Sombra Natural x250ml.</t>
  </si>
  <si>
    <t>Pintura Acrílica ETERNA Tierra Sombra Tostada x250ml.</t>
  </si>
  <si>
    <t>Pintura Acrílica ETERNA Turquesa x250ml.</t>
  </si>
  <si>
    <t>Pintura Acrílica ETERNA Verde Country x250ml.</t>
  </si>
  <si>
    <t>Pintura Acrílica ETERNA Verde Inglés x250ml.</t>
  </si>
  <si>
    <t>Pintura Acrílica ETERNA Verde Manzana x250ml.</t>
  </si>
  <si>
    <t>Pintura Acrílica ETERNA Carne Claro x40ml.</t>
  </si>
  <si>
    <t>Pintura Acrílica ETERNA Amarillo Cadmio x50ml.</t>
  </si>
  <si>
    <t>Pintura Acrílica ETERNA Amarillo Dorado x50ml.</t>
  </si>
  <si>
    <t>Pintura Acrílica ETERNA Amarillo Limón x50ml.</t>
  </si>
  <si>
    <t>Pintura Acrílica ETERNA Amarillo Nápoles x50ml.</t>
  </si>
  <si>
    <t>Pintura Acrílica ETERNA Amarillo Verdoso x50ml.</t>
  </si>
  <si>
    <t>Pintura Acrílica ETERNA Amarillo Bebé x50ml.</t>
  </si>
  <si>
    <t>Pintura Acrílica ETERNA Amarillo Medio x50ml.</t>
  </si>
  <si>
    <t>Pintura Acrílica ETERNA Anaranjado x50ml.</t>
  </si>
  <si>
    <t>Pintura Acrílica ETERNA Arcilla x50ml.</t>
  </si>
  <si>
    <t>Pintura Acrílica ETERNA Arrayán x50ml.</t>
  </si>
  <si>
    <t>Pintura Acrílica ETERNA Azul Cobalto x50ml.</t>
  </si>
  <si>
    <t>Pintura Acrílica ETERNA Azul Perlado x50ml.</t>
  </si>
  <si>
    <t>Pintura Acrílica ETERNA Azul Prusia x50ml.</t>
  </si>
  <si>
    <t>Pintura Acrílica ETERNA Azul Talo Alfa x50ml.</t>
  </si>
  <si>
    <t>Pintura Acrílica ETERNA Azul Talo Beta x50ml.</t>
  </si>
  <si>
    <t>Pintura Acrílica ETERNA Azul Ultramar x50ml.</t>
  </si>
  <si>
    <t>Pintura Acrílica ETERNA Azul Uniformado x50ml.</t>
  </si>
  <si>
    <t>Pintura Acrílica ETERNA Azul Victoriano x50ml.</t>
  </si>
  <si>
    <t>Pintura Acrílica ETERNA Blanco Cálido x50ml.</t>
  </si>
  <si>
    <t>Pintura Acrílica ETERNA Blanco Perlado x50ml.</t>
  </si>
  <si>
    <t>Pintura Acrílica ETERNA Blanco Titanio x50ml.</t>
  </si>
  <si>
    <t>Pintura Acrílica ETERNA Bermeyón x50ml.</t>
  </si>
  <si>
    <t>Pintura Acrílica ETERNA Borravino x50ml.</t>
  </si>
  <si>
    <t>Pintura Acrílica ETERNA Calipso x50ml.</t>
  </si>
  <si>
    <t>Pintura Acrílica ETERNA Carmín x50ml.</t>
  </si>
  <si>
    <t>Pintura Acrílica ETERNA Celeste Bandera x50ml.</t>
  </si>
  <si>
    <t>Pintura Acrílica ETERNA Celeste Country x50ml.</t>
  </si>
  <si>
    <t>Pintura Acrílica ETERNA Celeste Bahía x50ml.</t>
  </si>
  <si>
    <t>Pintura Acrílica ETERNA Celeste Bebé x50ml.</t>
  </si>
  <si>
    <t>Pintura Acrílica ETERNA Cereza x50ml.</t>
  </si>
  <si>
    <t>Pintura Acrílica ETERNA Chocolate x50ml.</t>
  </si>
  <si>
    <t>Pintura Acrílica ETERNA Cian x50ml.</t>
  </si>
  <si>
    <t>Pintura Acrílica ETERNA Cobre x50ml.</t>
  </si>
  <si>
    <t>Pintura Acrílica ETERNA Coral x50ml.</t>
  </si>
  <si>
    <t>Pintura Acrílica ETERNA Durazno x50ml.</t>
  </si>
  <si>
    <t>Pintura Acrílica ETERNA Fluo Amarillo x50ml.</t>
  </si>
  <si>
    <t>Pintura Acrílica ETERNA Fluo Naranja x50ml.</t>
  </si>
  <si>
    <t>Pintura Acrílica ETERNA Fluo Rojo x50ml.</t>
  </si>
  <si>
    <t>Pintura Acrílica ETERNA Fluo Rosa x50ml.</t>
  </si>
  <si>
    <t>Pintura Acrílica ETERNA Fluo Verde x50ml.</t>
  </si>
  <si>
    <t>Pintura Acrílica ETERNA Fluo Violeta x50ml.</t>
  </si>
  <si>
    <t>Pintura Acrílica ETERNA Fucsia x50ml.</t>
  </si>
  <si>
    <t>Pintura Acrílica ETERNA Gris Niebla x50ml.</t>
  </si>
  <si>
    <t>Pintura Acrílica ETERNA Gris Payne x50ml.</t>
  </si>
  <si>
    <t>Pintura Acrílica ETERNA Gris Perla x50ml.</t>
  </si>
  <si>
    <t>Pintura Acrílica ETERNA Hueso x50ml.</t>
  </si>
  <si>
    <t>Pintura Acrílica ETERNA Lacre x50ml.</t>
  </si>
  <si>
    <t>Pintura Acrílica ETERNA Lavanda x50ml.</t>
  </si>
  <si>
    <t>Pintura Acrílica ETERNA Lila Bebé x50ml.</t>
  </si>
  <si>
    <t>Pintura Acrílica ETERNA Lirio x50ml.</t>
  </si>
  <si>
    <t>Pintura Acrílica ETERNA Magenta Perlado x50ml.</t>
  </si>
  <si>
    <t>Pintura Acrílica ETERNA Magenta x50ml.</t>
  </si>
  <si>
    <t>Pintura Acrílica ETERNA Maíz x50ml.</t>
  </si>
  <si>
    <t>Pintura Acrílica ETERNA Mostaza x50ml.</t>
  </si>
  <si>
    <t>Pintura Acrílica ETERNA Negro x50ml.</t>
  </si>
  <si>
    <t>Pintura Acrílica ETERNA Ocre x50ml.</t>
  </si>
  <si>
    <t>Pintura Acrílica ETERNA Oro Antiguo x50ml.</t>
  </si>
  <si>
    <t>Pintura Acrílica ETERNA Oro Ducado x50ml.</t>
  </si>
  <si>
    <t>Pintura Acrílica ETERNA Oro Negro x50ml.</t>
  </si>
  <si>
    <t>Pintura Acrílica ETERNA Oro Rico x50ml.</t>
  </si>
  <si>
    <t>Pintura Acrílica ETERNA Oro Rojo x50ml.</t>
  </si>
  <si>
    <t>Pintura Acrílica ETERNA Peltre x50ml.</t>
  </si>
  <si>
    <t>Pintura Acrílica ETERNA Plata x50ml.</t>
  </si>
  <si>
    <t>Pintura Acrílica ETERNA Púrpura x50ml.</t>
  </si>
  <si>
    <t>Pintura Acrílica ETERNA Rojo Cadmio x50ml.</t>
  </si>
  <si>
    <t>Pintura Acrílica ETERNA Rojo Fuego x50ml.</t>
  </si>
  <si>
    <t>Pintura Acrílica ETERNA Rojo Navideño x50ml.</t>
  </si>
  <si>
    <t>Pintura Acrílica ETERNA Rojo Óxido x50ml.</t>
  </si>
  <si>
    <t>Pintura Acrílica ETERNA Rosa Bebé x50ml.</t>
  </si>
  <si>
    <t>Pintura Acrílica ETERNA Rosa Country x50ml.</t>
  </si>
  <si>
    <t>Pintura Acrílica ETERNA Rosado x50ml.</t>
  </si>
  <si>
    <t>Pintura Acrílica ETERNA Sambayón x50ml.</t>
  </si>
  <si>
    <t>Pintura Acrílica ETERNA Terracota x50ml.</t>
  </si>
  <si>
    <t>Pintura Acrílica ETERNA Tierra Siena Natural x50ml.</t>
  </si>
  <si>
    <t>Pintura Acrílica ETERNA Tierra Siena Tostada x50ml.</t>
  </si>
  <si>
    <t>Pintura Acrílica ETERNA Tierra Sombra Natural x50ml.</t>
  </si>
  <si>
    <t>Pintura Acrílica ETERNA Tierra Sombra Tostada x50ml.</t>
  </si>
  <si>
    <t>Pintura Acrílica ETERNA Tornasol Dorado x50ml.</t>
  </si>
  <si>
    <t>Pintura Acrílica ETERNA Turquesa x50ml.</t>
  </si>
  <si>
    <t>Pintura Acrílica ETERNA Verde Bambú x50ml.</t>
  </si>
  <si>
    <t>Pintura Acrílica ETERNA Verde Bebé x50ml.</t>
  </si>
  <si>
    <t>Pintura Acrílica ETERNA Verde Country x50ml.</t>
  </si>
  <si>
    <t>Pintura Acrílica ETERNA Verde Inglés x50ml.</t>
  </si>
  <si>
    <t>Pintura Acrílica ETERNA Verde Lima x50ml.</t>
  </si>
  <si>
    <t>Pintura Acrílica ETERNA Verde Musgo x50ml.</t>
  </si>
  <si>
    <t>Pintura Acrílica ETERNA Verde Manzana x50ml.</t>
  </si>
  <si>
    <t>Pintura Acrílica ETERNA Verde Oliva x50ml.</t>
  </si>
  <si>
    <t>Pintura Acrílica ETERNA Verde Perlado x50ml.</t>
  </si>
  <si>
    <t>Pintura Acrílica ETERNA Verde Talo x50ml.</t>
  </si>
  <si>
    <t>Pintura Acrílica ETERNA Violeta Perlado x50ml.</t>
  </si>
  <si>
    <t>Pintura Acrílica ETERNA Violeta x50ml.</t>
  </si>
  <si>
    <t>Pintura Al Horno ARTISTICA DIBU x40ml.Amarillo Oro</t>
  </si>
  <si>
    <t>Pintura Al Horno ARTISTICA DIBU x40ml.Cyan</t>
  </si>
  <si>
    <t>Pintura Al Horno ARTISTICA DIBU x40ml.Ocre Amarillo</t>
  </si>
  <si>
    <t>Pintura para Tela ETERNA Amarillo Bebé x37ml.</t>
  </si>
  <si>
    <t>Pintura para Tela ETERNA Amarillo Cadmio x37ml.</t>
  </si>
  <si>
    <t>Pintura para Tela ETERNA Amarillo Dorado x37ml.</t>
  </si>
  <si>
    <t>Pintura para Tela ETERNA Amarillo Limón x37ml.</t>
  </si>
  <si>
    <t>Pintura para Tela ETERNA Amarillo Medio x37ml.</t>
  </si>
  <si>
    <t>Pintura para Tela ETERNA Amarillo Nápoles x37ml.</t>
  </si>
  <si>
    <t>Pintura para Tela ETERNA Anaranjado x37ml.</t>
  </si>
  <si>
    <t>Pintura para Tela ETERNA Arcilla x37ml.</t>
  </si>
  <si>
    <t>Pintura para Tela ETERNA Arrayan x37ml.</t>
  </si>
  <si>
    <t>Pintura para Tela ETERNA Azul Cobalto x37ml.</t>
  </si>
  <si>
    <t>Pintura para Tela ETERNA Azul Perlado x37ml.</t>
  </si>
  <si>
    <t>Pintura para Tela ETERNA Azul Prusia x37ml.</t>
  </si>
  <si>
    <t>Pintura para Tela ETERNA Azul Talo x37ml.</t>
  </si>
  <si>
    <t>Pintura para Tela ETERNA Azul Ultramar x37ml.</t>
  </si>
  <si>
    <t>Pintura para Tela ETERNA Azul Uniforme x37ml.</t>
  </si>
  <si>
    <t>Pintura para Tela ETERNA Blanco Cálido x37ml.</t>
  </si>
  <si>
    <t>Pintura para Tela ETERNA Blanco Perlado x37ml.</t>
  </si>
  <si>
    <t>Pintura para Tela ETERNA Blanco de Titanio x37ml.</t>
  </si>
  <si>
    <t>Pintura para Tela ETERNA Bermeyón x37ml.</t>
  </si>
  <si>
    <t>Pintura para Tela ETERNA Borravino x37ml.</t>
  </si>
  <si>
    <t>Pintura para Tela ETERNA Calipso x37ml.</t>
  </si>
  <si>
    <t>Pintura para Tela ETERNA Carne Claro x37ml.</t>
  </si>
  <si>
    <t>Pintura para Tela ETERNA Cedro x37ml.</t>
  </si>
  <si>
    <t>Pintura para Tela ETERNA Celeste Bahía x37ml.</t>
  </si>
  <si>
    <t>Pintura para Tela ETERNA Celeste Country x37ml.</t>
  </si>
  <si>
    <t>Pintura para Tela ETERNA Celeste Bebé x37ml.</t>
  </si>
  <si>
    <t>Pintura para Tela ETERNA Celeste Bandera x37ml.</t>
  </si>
  <si>
    <t>Pintura para Tela ETERNA Cereza x37ml.</t>
  </si>
  <si>
    <t>Pintura para Tela ETERNA Chocolate x37ml.</t>
  </si>
  <si>
    <t>Pintura para Tela ETERNA Cian x37ml.</t>
  </si>
  <si>
    <t>Pintura para Tela ETERNA Cobre x37ml.</t>
  </si>
  <si>
    <t>Pintura para Tela ETERNA Coral x37ml.</t>
  </si>
  <si>
    <t>Pintura para Tela ETERNA Durazno x37ml.</t>
  </si>
  <si>
    <t>Pintura para Tela ETERNA Fucsia x37ml.</t>
  </si>
  <si>
    <t>Pintura para Tela ETERNA Gris Niebla x37ml.</t>
  </si>
  <si>
    <t>Pintura para Tela ETERNA Hueso x37ml.</t>
  </si>
  <si>
    <t>Pintura para Tela ETERNA Incoloro x37ml.</t>
  </si>
  <si>
    <t>Pintura para Tela ETERNA Lacre x37ml.</t>
  </si>
  <si>
    <t>Pintura para Tela ETERNA Lavanda x37ml.</t>
  </si>
  <si>
    <t>Pintura para Tela ETERNA Lila Bebé x37ml.</t>
  </si>
  <si>
    <t>Pintura para Tela ETERNA Magenta Perlado x37ml.</t>
  </si>
  <si>
    <t>Pintura para Tela ETERNA Magenta x37ml.</t>
  </si>
  <si>
    <t>Pintura para Tela ETERNA Maíz x37ml.</t>
  </si>
  <si>
    <t>Pintura para Tela ETERNA Marrón Africano x37ml.</t>
  </si>
  <si>
    <t>Pintura para Tela ETERNA Negro x37ml.</t>
  </si>
  <si>
    <t>Pintura para Tela ETERNA Ocre x37ml.</t>
  </si>
  <si>
    <t>Pintura para Tela ETERNA Oro Antiguo x37ml.</t>
  </si>
  <si>
    <t>Pintura para Tela ETERNA Oro Ducado x37ml.</t>
  </si>
  <si>
    <t>Pintura para Tela ETERNA Oro Rico x37ml.</t>
  </si>
  <si>
    <t>Pintura para Tela ETERNA Oro Rojo x37ml.</t>
  </si>
  <si>
    <t>Pintura para Tela ETERNA Peltre x37ml.</t>
  </si>
  <si>
    <t>Pintura para Tela ETERNA Plata x37ml.</t>
  </si>
  <si>
    <t>Pintura para Tela ETERNA Púrpura x37ml.</t>
  </si>
  <si>
    <t>Pintura para Tela ETERNA Rojo Cadmio x37ml.</t>
  </si>
  <si>
    <t>Pintura para Tela ETERNA Rojo Fluo x37ml.</t>
  </si>
  <si>
    <t>Pintura para Tela ETERNA Rojo Fuego x37ml.</t>
  </si>
  <si>
    <t>Pintura para Tela ETERNA Rojo Navideño x37ml.</t>
  </si>
  <si>
    <t>Pintura para Tela ETERNA Rosa Bebé x37ml.</t>
  </si>
  <si>
    <t>Pintura para Tela ETERNA Rosa Country x37ml.</t>
  </si>
  <si>
    <t>Pintura para Tela ETERNA Sambayón x37ml.</t>
  </si>
  <si>
    <t>Pintura para Tela ETERNA Tierra Siena Natural x37ml.</t>
  </si>
  <si>
    <t>Pintura para Tela ETERNA Tierra Siena Tostada x37ml.</t>
  </si>
  <si>
    <t>Pintura para Tela ETERNA Tierra Sombra Natural x37ml.</t>
  </si>
  <si>
    <t>Pintura para Tela ETERNA Tierra Sombra Tostada x37ml.</t>
  </si>
  <si>
    <t>Pintura para Tela ETERNA Terracota x37ml.</t>
  </si>
  <si>
    <t>Pintura para Tela ETERNA Tornasol Dorado x37ml.</t>
  </si>
  <si>
    <t>Pintura para Tela ETERNA Turquesa x37ml.</t>
  </si>
  <si>
    <t>Pintura para Tela ETERNA Verde Bebé x37ml.</t>
  </si>
  <si>
    <t>Pintura para Tela ETERNA Verde Claro x37ml.</t>
  </si>
  <si>
    <t>Pintura para Tela ETERNA Verde Country x37ml.</t>
  </si>
  <si>
    <t>Pintura para Tela ETERNA Verde Fluo x37ml.</t>
  </si>
  <si>
    <t>Pintura para Tela ETERNA Verde Inglés x37ml.</t>
  </si>
  <si>
    <t>Pintura para Tela ETERNA Verde Lima x37ml.</t>
  </si>
  <si>
    <t>Pintura para Tela ETERNA Verde Musgo x37ml.</t>
  </si>
  <si>
    <t>Pintura para Tela ETERNA Verde Manzana x37ml.</t>
  </si>
  <si>
    <t>Pintura para Tela ETERNA Verde Oliva x37ml.</t>
  </si>
  <si>
    <t>Pintura para Tela ETERNA Verde Perlado x37ml.</t>
  </si>
  <si>
    <t>Pintura para Tela ETERNA Verde Talo x37ml.</t>
  </si>
  <si>
    <t>Pintura para Tela ETERNA Violeta Perlado x37ml.</t>
  </si>
  <si>
    <t>Pintura para Tela ETERNA Violeta x37ml.</t>
  </si>
  <si>
    <t>Retardador Secado ETERNA x125ml.</t>
  </si>
  <si>
    <t>Rodillo ARTÍSTICA DIBU Esponja Bastón</t>
  </si>
  <si>
    <t>Rodillo ARTÍSTICA DIBU Esponja Circular</t>
  </si>
  <si>
    <t>Rodillo ARTÍSTICA DIBU Esponja Cuadritos</t>
  </si>
  <si>
    <t>Rodillo DIBU Esponja x 25mm.</t>
  </si>
  <si>
    <t>Rodillo ARTÍSTICA DIBU Esponja Liso x 25mm.</t>
  </si>
  <si>
    <t>Rodillo DIBU Esponja x 40 mm.</t>
  </si>
  <si>
    <t>Set TURK Bastidor 30x30cm. Mandala + Atril</t>
  </si>
  <si>
    <t>Set TURK Bastidor 30x30cm. Profesional Mini + Atril</t>
  </si>
  <si>
    <t>Set TURK Bastidor Infantil 24x30cm. Elefante + Atril</t>
  </si>
  <si>
    <t>Set TURK Bastidor Infantil 30x30cm. Jirafa + Atril</t>
  </si>
  <si>
    <t>Set Bastidor TK3 40 x 50cm. + Atril</t>
  </si>
  <si>
    <t>Taponador ARTÍSTICA DIBU Esponja x 20mm.</t>
  </si>
  <si>
    <t>Taponador ARTÍSTICA DIBU Esponja x 30mm.</t>
  </si>
  <si>
    <t>Taponador ARTÍSTICA DIBU Esponja x 40mm.</t>
  </si>
  <si>
    <t>Yeso TURK Tipo Paris x1Kg.</t>
  </si>
  <si>
    <t xml:space="preserve">CARTUCHERAS </t>
  </si>
  <si>
    <t>Canopla Cordura Plana Chica Holográfica</t>
  </si>
  <si>
    <t>Canopla Cordura Plana Fantasia Chica</t>
  </si>
  <si>
    <t>Canopla Cordura Plana Holográfica</t>
  </si>
  <si>
    <t>Canopla Cordura Plana Lisa</t>
  </si>
  <si>
    <t>Canopla MOOVING Estuche con Bolsillo Golden Rose</t>
  </si>
  <si>
    <t>Canopla MOOVING Licencia 2 Pisos AFA</t>
  </si>
  <si>
    <t>Canopla MOOVING Licencia 2 Pisos Jurassic World</t>
  </si>
  <si>
    <t>Canopla MOOVING Licencia 2 Pisos Quitapesares</t>
  </si>
  <si>
    <t>Canopla MOOVING Licencia Sobre Mesh A5 HARRY POTTER 4 Casas</t>
  </si>
  <si>
    <t>Canopla MOOVING Licencia Rectangular Goma Eva con Cierre Como Quieres</t>
  </si>
  <si>
    <t>Canopla MOOVING Licencia Rectangular Goma Eva con Cierre Jurassic World</t>
  </si>
  <si>
    <t>Canopla MOOVING Licencia Rectangular Goma Eva DOBLE Con Cierre Marvel</t>
  </si>
  <si>
    <t>Canopla MOOVING Licencia Rectangular Goma Eva DOBLE Con Cierre Pastel</t>
  </si>
  <si>
    <t>Canopla Mooving Licencia Tubo Metalizada Mickey Mouse</t>
  </si>
  <si>
    <t>Canopla MOOVING Licencia 1 Piso AFA</t>
  </si>
  <si>
    <t>Canopla MOOVING Licencia 1 Piso Jurassic World</t>
  </si>
  <si>
    <t>Canopla MOOVING Licencia 1 Piso Quitapesares</t>
  </si>
  <si>
    <t>Canopla MOOVING Chic Box xu.</t>
  </si>
  <si>
    <t>Canopla MOOVING Como Quieres Box xu.</t>
  </si>
  <si>
    <t>Canopla MOOVING Como Quieres Rectangular xu.</t>
  </si>
  <si>
    <t>Canopla MOOVING Disney 100 Rectangular xu.</t>
  </si>
  <si>
    <t>Canopla MOOVING Marvel Box xu.</t>
  </si>
  <si>
    <t>Canopla MOOVING Mickey Mouse Box xu.</t>
  </si>
  <si>
    <t>Canopla MOOVING Pastel Box xu.</t>
  </si>
  <si>
    <t>Canopla MOOVING Quitapesares Box xu.</t>
  </si>
  <si>
    <t>Canopla MOOVING Trend Chic xu.</t>
  </si>
  <si>
    <t>Canopla TALBOT Big Pocket Panda Love 2 Cierres</t>
  </si>
  <si>
    <t>Canopla TALBOT Canvas Eyes 1 Cierre</t>
  </si>
  <si>
    <t>Canopla TALBOT Gold</t>
  </si>
  <si>
    <t>Canopla TALBOT Neoprene Palta Party 1 Cierre</t>
  </si>
  <si>
    <t>Canopla TALBOT Oval Dibujitos 1 Cierre</t>
  </si>
  <si>
    <t>Canopla TALBOT Oval Lentuelas Sweet Boom 1 Cierre</t>
  </si>
  <si>
    <t>Canopla TALBOT Plana PVC Neón 1 Cierre</t>
  </si>
  <si>
    <t>Canopla TALBOT PVC Transparente 1 Cierre</t>
  </si>
  <si>
    <t>Canopla TALBOT Printing Palta Party 1 Cierre</t>
  </si>
  <si>
    <t>Canopla TALBOT Shine</t>
  </si>
  <si>
    <t>Canopla Tubo Fantasia</t>
  </si>
  <si>
    <t>Canopla Tubo Grande Holográfica</t>
  </si>
  <si>
    <t>Canopla Tubo Grande Lisa</t>
  </si>
  <si>
    <t>Canopla Tubo Holográfica</t>
  </si>
  <si>
    <t>Canopla Tubo Lisa</t>
  </si>
  <si>
    <t>Cartuchera MOOVING Eva Marvel xu.</t>
  </si>
  <si>
    <t>Cartuchera MOOVING Open! Chic</t>
  </si>
  <si>
    <t>Cartuchera MOOVING Open! Pastel</t>
  </si>
  <si>
    <t>Cartuchera Plana Lisa xu.</t>
  </si>
  <si>
    <t xml:space="preserve">PIZARRA, BORRADOR Y TIZAS </t>
  </si>
  <si>
    <t>Borrador de Paño</t>
  </si>
  <si>
    <t>Borrador PELIKAN para Pizarra Blanca</t>
  </si>
  <si>
    <t>Borrador para Pizarra Blanca SIPA con Iman xu.</t>
  </si>
  <si>
    <t>Borrador para Pizarra Blanca con Porta Marcador xu.</t>
  </si>
  <si>
    <t>Borrador PIZZINI + 3 Marcadores</t>
  </si>
  <si>
    <t>Pizarra MATISSE Para Marcador 20 x 30 cm.</t>
  </si>
  <si>
    <t>Pizarra MATISSE Para Marcador 30 x 40 cm.</t>
  </si>
  <si>
    <t>Pizarra MATISSE Para Marcador 40 x 60 cm.</t>
  </si>
  <si>
    <t>Pizarra MATISSE Para Marcador 60 x 90 cm.</t>
  </si>
  <si>
    <t>Pizarra MATISSE Para Marcador 50 x 70 cm.</t>
  </si>
  <si>
    <t>Pizarra MATISSE Mitad Corcho y Mitad para Marcador 40 x 60 cm.</t>
  </si>
  <si>
    <t>Pizarra Blanca para Colgar SAKURA 180x120cm.</t>
  </si>
  <si>
    <t>Pizarra Sakura 30 x 40cm. Blanca</t>
  </si>
  <si>
    <t>Pizarra Sakura 45x60 Verde</t>
  </si>
  <si>
    <t>Pizarra SAKURA 60 x 80 Verde</t>
  </si>
  <si>
    <t>Pizarra Blanca para Colgar SAKURA 75x100cm.</t>
  </si>
  <si>
    <t>Set CRAYOLA Pizzara Dryerase + Bright Crayons</t>
  </si>
  <si>
    <t>Set Porta Tiza GIOTTO x6u.</t>
  </si>
  <si>
    <t>Tiza Blanca PLAYCOLOR x12u.</t>
  </si>
  <si>
    <t>Tiza Blanca PLAYCOLOR x144u.</t>
  </si>
  <si>
    <t>Tiza de Color PLAYCOLOR x12u.</t>
  </si>
  <si>
    <t>Tiza de Color PLAYCOLOR x144u.</t>
  </si>
  <si>
    <t>Tiza CRAYOLA Chalk Glitter x5u.</t>
  </si>
  <si>
    <t>Tiza en Polvo TURK x1Kg.</t>
  </si>
  <si>
    <t>Tiza Blanca GIOTTO x100u.</t>
  </si>
  <si>
    <t>Tiza de Color GIOTTO x100u.</t>
  </si>
  <si>
    <t>Tiza Blanca GIOTTO x10u.</t>
  </si>
  <si>
    <t>Tiza de Color GIOTTO x10u.</t>
  </si>
  <si>
    <t>Tiza Blanca TOYO x10u.</t>
  </si>
  <si>
    <t>Tiza Color TOYO x10u.</t>
  </si>
  <si>
    <t>Tizas CRAYOLA Chalk Lavable x12u.</t>
  </si>
  <si>
    <t>Tizas CRAYOLA Chalk Lavable x24u.</t>
  </si>
  <si>
    <t xml:space="preserve">MOCHILAS ESCOLARES </t>
  </si>
  <si>
    <t>Mochila CLASSIC 17'' xu.</t>
  </si>
  <si>
    <t>Mochila BLACK 17'' xu.</t>
  </si>
  <si>
    <t>Mochila FRESH 17'' xu.</t>
  </si>
  <si>
    <t>Mochila GRAFFITI 17'' xu.</t>
  </si>
  <si>
    <t xml:space="preserve">CINTAS PARA REGALO Y MOÑOS </t>
  </si>
  <si>
    <t>Cinta Washi Glitter x4mts.</t>
  </si>
  <si>
    <t>Cinta Washi Impresa x4mts.</t>
  </si>
  <si>
    <t>Dispenser Washi Tape xu.</t>
  </si>
  <si>
    <t>Washi Tape Box 3 Rollos x5mts. Black</t>
  </si>
  <si>
    <t>Washi Tape Box 3 Rollos x5mts. Blue</t>
  </si>
  <si>
    <t>Washi Tape Box 3 Rollos x5mts. Glitter</t>
  </si>
  <si>
    <t>Washi Tape Box 3 Rollos x5mts. Gold</t>
  </si>
  <si>
    <t>Washi Tape Box 3 Rollos x5mts. Lemmon</t>
  </si>
  <si>
    <t>Washi Tape Box 3 Rollos x5mts. Pattern</t>
  </si>
  <si>
    <t>Washi Tape Box 3 Rollos x5mts. Pink</t>
  </si>
  <si>
    <t>Washi Tape Box 3 Rollos x5mts. Red</t>
  </si>
  <si>
    <t>Washi Tape Box 6 Rollos x5mts. Rainbow</t>
  </si>
  <si>
    <t>Washi Tape Box 7 Rollos x5mts. Pastel</t>
  </si>
  <si>
    <t>Washi Tape Box 8 Rollos x5mts. Happy</t>
  </si>
  <si>
    <t>Washi Tape Box 8 Rollos x5mts. Love</t>
  </si>
  <si>
    <t xml:space="preserve">ESCRITURA </t>
  </si>
  <si>
    <t>Bolígrafo BIC 1mm. Azul x10 unidades</t>
  </si>
  <si>
    <t>Bolígrafo BIC 1mm. Negro x10 unidades</t>
  </si>
  <si>
    <t>Bolígrafo BIC 1mm. Rojo x10 unidades</t>
  </si>
  <si>
    <t>Bolígrafo BIC 1mm. Verde x10 unidades</t>
  </si>
  <si>
    <t>Bolígrafo BIC BU 3/2 Negro xu.</t>
  </si>
  <si>
    <t>Bolígrafo BIC Cristal 1.6mm Negro x2u.</t>
  </si>
  <si>
    <t>Bolígrafo BIC Cristal 1.6mm Azul xu.</t>
  </si>
  <si>
    <t>Bolígrafo BIC Cristal 1.6mm Negro xu.</t>
  </si>
  <si>
    <t>Boligrafo BIC Cristal Intenso 1.6x10u.</t>
  </si>
  <si>
    <t>Bolígrafo BIC Cristal Fashion Colores Surtidos x25u.</t>
  </si>
  <si>
    <t>Boligrafos BIC Cristal Medio Azul Estuche x10u.</t>
  </si>
  <si>
    <t>Boligrafos BIC Cristal Medio Negro Estuche x10u.</t>
  </si>
  <si>
    <t>Boligrafos BIC Cristal Medio Rojo Estuche x10u.</t>
  </si>
  <si>
    <t>Bolígrafo BIC Fashion Celeste/Turquesa x5u.</t>
  </si>
  <si>
    <t>Bolígrafo BIC Cristal Fashion Doradox5u.</t>
  </si>
  <si>
    <t>Bolígrafo BIC Fashion Lima x5u.</t>
  </si>
  <si>
    <t>Bolígrafo BIC Fashion Rosa x5u.</t>
  </si>
  <si>
    <t>Bolígrafo BIC Fino Azul x10u.</t>
  </si>
  <si>
    <t>Bolígrafo BIC Fino Negro x10u.</t>
  </si>
  <si>
    <t>Bolígrafo BIC Fino Rojo x10u.</t>
  </si>
  <si>
    <t>Boligrafo BIC Gelocity Gel Borrable Azul</t>
  </si>
  <si>
    <t>Boligrafo BIC Gelocity Gel Borrable Negro</t>
  </si>
  <si>
    <t>Boligrafo BIC Gelocity Gel Borrable Rojo</t>
  </si>
  <si>
    <t>Bolígrafo BIC Reaction Eco Retráctil Negro xu.</t>
  </si>
  <si>
    <t>Bolígrafo BIC Rondo Azul x1mm.</t>
  </si>
  <si>
    <t>Bolígrafo Borrable VIZION xu.</t>
  </si>
  <si>
    <t>Boligrafo CANDELA Rojo xu.</t>
  </si>
  <si>
    <t>Boligrafo CITY Retractil xu.Negro xu.</t>
  </si>
  <si>
    <t>Bolígrafo FABER-CASTELL Trilux Azul x10u.</t>
  </si>
  <si>
    <t>Bolígrafo FABER-CASTELL Trilux Negro x10u.</t>
  </si>
  <si>
    <t>Bolígrafo FABER-CASTELL Trilux Pote Colores Surtidos x48u.</t>
  </si>
  <si>
    <t>Bolígrafo FABER-CASTELL Trilux Rojo x10u.</t>
  </si>
  <si>
    <t>Bolígrafo FABER-CASTELL Trilux Colores Surtidos x4u.</t>
  </si>
  <si>
    <t>Bolígrafo FABER-CASTELL Trilux Colores Surtidos x5u.</t>
  </si>
  <si>
    <t>Bolígrafo FABER-CASTELL Trilux Verde x10u.</t>
  </si>
  <si>
    <t>Bolígrafo FABER-CASTELL Trilux Celeste x12u.</t>
  </si>
  <si>
    <t>Bolígrafo FABER-CASTELL Trilux Dorado x12u.</t>
  </si>
  <si>
    <t>Bolígrafo FABER-CASTELL Trilux Naranja x12u.</t>
  </si>
  <si>
    <t>Bolígrafo FABER-CASTELL Trilux Plateado x12u.</t>
  </si>
  <si>
    <t>Bolígrafo FABER-CASTELL Trilux Rojo x12u.</t>
  </si>
  <si>
    <t>Bolígrafo FABER-CASTELL Trilux Rosa x12u.</t>
  </si>
  <si>
    <t>Bolígrafo FABER-CASTELL Trilux Verde x12u.</t>
  </si>
  <si>
    <t>Bolígrafo FABER-CASTELL Trilux Verde Manzana x12u.</t>
  </si>
  <si>
    <t>Bolígrafo FABER-CASTELL Trilux Violeta x12u.</t>
  </si>
  <si>
    <t>Bolígrafo FANTASTIC Brave x12u. x7mm. Azul</t>
  </si>
  <si>
    <t>Bolígrafo FANTASTIC Classic x12u. x7mm. Azul</t>
  </si>
  <si>
    <t>Bolígrafo FANTASTIC Lady x12u. x7mm. Azul</t>
  </si>
  <si>
    <t>Bolígrafo FILGO Fastgrip Retráctil Azul x36u.</t>
  </si>
  <si>
    <t>Bolig. FILGO Gel Pop Pastel x6u.</t>
  </si>
  <si>
    <t>Boligrafo FILGO Pop Gel Estuche x10u.</t>
  </si>
  <si>
    <t>Bolígrafo FILGO Pop Gel Estuche x4u.</t>
  </si>
  <si>
    <t>Bolígrafo FILGO Stick x1mm. Azul</t>
  </si>
  <si>
    <t>Bolígrafo FILGO Stick x1mm. Negro</t>
  </si>
  <si>
    <t>Bolígrafo FILGO Stick x1mm. Rojo</t>
  </si>
  <si>
    <t>Bolígrafo FILGO Stick x1mm. Verde</t>
  </si>
  <si>
    <t>Bolígrafo Gel Base Azul</t>
  </si>
  <si>
    <t>Bolígrafo Gel Base Negro</t>
  </si>
  <si>
    <t>Bolígrafo Gel Base Rojo</t>
  </si>
  <si>
    <t>Boligrafo Gel Easy Borrable 0.7mm</t>
  </si>
  <si>
    <t>Bolígrafo Gel Fluo Amarillo xu.</t>
  </si>
  <si>
    <t>Bolígrafo Gel Fluo Celeste xu.</t>
  </si>
  <si>
    <t>Bolígrafo Gel Fluo Violeta xu.</t>
  </si>
  <si>
    <t>Bolígrafo Gel con Glitter Azul xu.</t>
  </si>
  <si>
    <t>Bolígrafo Gel con Glitter Celeste xu.</t>
  </si>
  <si>
    <t>Bolígrafo Gel con Glitter Cobre/Marrón xu.</t>
  </si>
  <si>
    <t>Bolígrafo Gel Metal Oro</t>
  </si>
  <si>
    <t>Bolígrafo Gel Metal Plata</t>
  </si>
  <si>
    <t>Bolígrafo Gel Pastel Blanco</t>
  </si>
  <si>
    <t>Bolígrafo Gel Rojo xu.</t>
  </si>
  <si>
    <t>Boligrafo Gel UNI-BALL Signo 120SP Glitter Azul</t>
  </si>
  <si>
    <t>Boligrafo Gel UNI-BALL SIGNO x3u.</t>
  </si>
  <si>
    <t>Bolígrafo Gel Verde xu.</t>
  </si>
  <si>
    <t>Bolígrafo MICRO City Retráctil Azul xu.</t>
  </si>
  <si>
    <t>Bolígrafo MICRO Dolche Azul xu.</t>
  </si>
  <si>
    <t>Bolígrafo MICRO Dolche Negro xu.</t>
  </si>
  <si>
    <t>Bolígrafo MICRO Dolche Rojo xu.</t>
  </si>
  <si>
    <t>Bolígrafo MICRO Dolche Colores Surtidos x10u.</t>
  </si>
  <si>
    <t>Bolígrafo MICRO Dolche Verde xu.</t>
  </si>
  <si>
    <t>Bolígrafo MICRO Vip Andes Azul Dorado xu.</t>
  </si>
  <si>
    <t>Bolígrafo MICRO Vip Merlino xu.</t>
  </si>
  <si>
    <t>Bolígrafo MICRO Vip Merlino Verde Metal xu.</t>
  </si>
  <si>
    <t>Bolígrafo MICRO Vip Urbano xu.</t>
  </si>
  <si>
    <t>Bolígrafo MICRO Ziro Retráctil Azul x30u.</t>
  </si>
  <si>
    <t>Bolígrafo MICRO Ziro Retráctil Negro x30u.</t>
  </si>
  <si>
    <t>Bolígrafo MOOVING HARRY POTTER xu.</t>
  </si>
  <si>
    <t>Bolígrafo MOOVING Maw Mickey &amp; Minnie</t>
  </si>
  <si>
    <t>Boligrafo PAPER MATE Economic Gel ''Fun'' Estuche x4u.</t>
  </si>
  <si>
    <t>Boligrafo PAPER MATE Economic Gel ''Vintage'' Estuche x8u.</t>
  </si>
  <si>
    <t>Bolígrafo PAPER MATE Inkjoy 100 ST VINTAGE x 16u.</t>
  </si>
  <si>
    <t>Bolígrafo PAPER MATE Flair Tropical Aromas x6u.</t>
  </si>
  <si>
    <t>Bolígrafo PAPER MATE Inkjoy Gel Azul x unidad</t>
  </si>
  <si>
    <t>Bolígrafo PAPER MATE Inkjoy Gel Negro x unidad</t>
  </si>
  <si>
    <t>Bolígrafo PAPER MATE Inkjoy Gel Surtido 1 x 6 unidades</t>
  </si>
  <si>
    <t>Boligrafo Retractil FILGO FastGrip Brillante 1.0</t>
  </si>
  <si>
    <t>Boligrafo Retractil FILGO FastGrip Brillante Flowpack x4u.</t>
  </si>
  <si>
    <t>Boligrafo Retractil FILGO FastGrip Clasico 1.0 Flowpack x4u.</t>
  </si>
  <si>
    <t>Boligrafo Retractil FILGO Ginza 1.0 Azul</t>
  </si>
  <si>
    <t>Boligrafo Retractil FILGO Ginza 1.0 Negro</t>
  </si>
  <si>
    <t>Boligrafo Retractil FILGO One 1.0 Azul</t>
  </si>
  <si>
    <t>Boligrafo Retractil FILGO One 1.0 Negro</t>
  </si>
  <si>
    <t>Bolígrafo SIMBALL Flow 3000 Rojo xu.</t>
  </si>
  <si>
    <t>Bolígrafo SIMBALL Flow 3000 Verde Manzana xu.</t>
  </si>
  <si>
    <t>Bolígrafo PELIKAN Tango Azul xu.</t>
  </si>
  <si>
    <t>Bolígrafo PELIKAN Tango Negro xu.</t>
  </si>
  <si>
    <t>Bolígrafo PELIKAN Tango Rojo xu.</t>
  </si>
  <si>
    <t>Boligrafo Retractil FILGO Fastrack Azul x36u.</t>
  </si>
  <si>
    <t>Boligrafo Retractil FILGO Fastrack Negro x36u.</t>
  </si>
  <si>
    <t>Carbónico PELIKAN para Mano Azul x10u.</t>
  </si>
  <si>
    <t>Carbónico PELIKAN para Mano Azul x50u.</t>
  </si>
  <si>
    <t>Carbónico PELIKAN para Máquina Negro x10u.</t>
  </si>
  <si>
    <t>Carbónico PELIKAN para Máquina Negro x50u.</t>
  </si>
  <si>
    <t>Cartuchos SIMBALL Cole x3u.</t>
  </si>
  <si>
    <t>Cartuchos Universal TRABI x6u.</t>
  </si>
  <si>
    <t>Portaminas FILGO Realgrip 0.5mm</t>
  </si>
  <si>
    <t>Portaminas FILGO Realgrip 0.7mm</t>
  </si>
  <si>
    <t>Juego MICRO Vip Urbano Bolígrafo + Roller a/Metálico</t>
  </si>
  <si>
    <t>Lapiz BIC Evolution x12u.</t>
  </si>
  <si>
    <t>Lapiz EZCO Con Goma x 12u.</t>
  </si>
  <si>
    <t>Lapiz FABER-CASTELL Eco Max Nº2 x12u.</t>
  </si>
  <si>
    <t>Lapiz GIOTTO Robercolor Negro x12u.</t>
  </si>
  <si>
    <t>LAPIZ GIOTTO SKINTONES 12 TONOS</t>
  </si>
  <si>
    <t>Lapiz GOLDFABER 2B x12u.</t>
  </si>
  <si>
    <t>Lapiz GOLDFABER 2H x12u.</t>
  </si>
  <si>
    <t>Lapiz GOLDFABER 3B x12u.</t>
  </si>
  <si>
    <t>Lapiz GOLDFABER 3H x12u.</t>
  </si>
  <si>
    <t>Lapiz GOLDFABER 4B x12u.</t>
  </si>
  <si>
    <t>Lapiz GOLDFABER 4H x12u.</t>
  </si>
  <si>
    <t>Lapiz GOLDFABER 5B x12u.</t>
  </si>
  <si>
    <t>Lapiz GOLDFABER 6B x12u.</t>
  </si>
  <si>
    <t>Lapiz GOLDFABER B x12u.</t>
  </si>
  <si>
    <t>Lapiz GOLDFABER HB x12u.</t>
  </si>
  <si>
    <t>Lapiz GOLDFABER H x12u.</t>
  </si>
  <si>
    <t>Lapiz Grafito FABER Splash x12u.N°2 HB</t>
  </si>
  <si>
    <t>Lápiz Grafito FILGO Pinto HB x12u.</t>
  </si>
  <si>
    <t>Lapiz LYRA Grafito 2B x12u.</t>
  </si>
  <si>
    <t>Lapiz LYRA Grafito 6B x12u.</t>
  </si>
  <si>
    <t>Lapiz LYRA Grafito 7B x12u.</t>
  </si>
  <si>
    <t>Lapiz LYRA Grafito 8B x12u.</t>
  </si>
  <si>
    <t>Lapiz LYRA Grafito B x12u.</t>
  </si>
  <si>
    <t>Lapiz LYRA Grafito HB x12u.</t>
  </si>
  <si>
    <t>Lapiz LYRA Grafito HB x12u. Graduate</t>
  </si>
  <si>
    <t>Lapiz MAPED BLACK PEPS HBx12 unidades</t>
  </si>
  <si>
    <t>Lapiz MAPED Black Peps HB x72u.</t>
  </si>
  <si>
    <t>Lapiz MAPED Black Peps HB x12u.</t>
  </si>
  <si>
    <t>Lápiz MOOVING Harry Potter HB x6u.</t>
  </si>
  <si>
    <t>Lapiz NORIS Nº2 x12u.</t>
  </si>
  <si>
    <t>Lapiz Portamina FILGO Real Grip 0.5mm.</t>
  </si>
  <si>
    <t>Lapiz Portamina PIZZINI Metálico 1435/43 0.5mm. xu.</t>
  </si>
  <si>
    <t>Lapiz Portamina PIZZINI Metálico 1435 0.7mm. xu.</t>
  </si>
  <si>
    <t>Lapiz SIMBALL Grafito Innovation HB Con Goma x12u.</t>
  </si>
  <si>
    <t>Lapiz TOYO Glod HB Nº2 x12u.</t>
  </si>
  <si>
    <t>Lapiz TRABI Grafito 3B x12u.</t>
  </si>
  <si>
    <t>Lapiz TRABI Grafito 3H x12u.</t>
  </si>
  <si>
    <t>Lapiz TRABI Grafito 4B x12u.</t>
  </si>
  <si>
    <t>Lapiz TRABI Grafito 6B x12u.</t>
  </si>
  <si>
    <t>Lapiz TRABI Grafito B x12u.</t>
  </si>
  <si>
    <t>Lapiz TRABI Grafito de Resina con Goma HB x12u.</t>
  </si>
  <si>
    <t>Lapiz TRABI Grafito de Resina Rojo HB x12u.</t>
  </si>
  <si>
    <t>Lapiz TRABI Grafito H x12u.</t>
  </si>
  <si>
    <t>Lapiz TRABI Grafito HB x12u.</t>
  </si>
  <si>
    <t>Lapiz TRADITION 2B x12u.</t>
  </si>
  <si>
    <t>Lapiz TRADITION 2H x12u.</t>
  </si>
  <si>
    <t>Lapiz TRADITION 3B x12u.</t>
  </si>
  <si>
    <t>Lapiz TRADITION 3H x12u.</t>
  </si>
  <si>
    <t>Lapiz TRADITION 4B x12u.</t>
  </si>
  <si>
    <t>Lapiz TRADITION 4H x12u.</t>
  </si>
  <si>
    <t>Lapiz TRADITION 5B x12u.</t>
  </si>
  <si>
    <t>Lapiz TRADITION 6B x12u.</t>
  </si>
  <si>
    <t>Lapiz TRADITION B x12u.</t>
  </si>
  <si>
    <t>Lapiz TRADITION F x12u.</t>
  </si>
  <si>
    <t>Lapiz TRADITION H x12u.</t>
  </si>
  <si>
    <t>Lapiz TRADITION HB x12u.</t>
  </si>
  <si>
    <t>Lápiz-Goma STAEDTLER Rasor x12u.</t>
  </si>
  <si>
    <t>Boligrafo PAPER MATE Punta Media Fashion x4u.</t>
  </si>
  <si>
    <t>Boligrafo PAPER MATE Punta Media Surtido x4u.</t>
  </si>
  <si>
    <t>FLAIR TEENS Surtido 0,7mm. Estuche x24u.</t>
  </si>
  <si>
    <t>Minas DELI Nature 0,5mm HB</t>
  </si>
  <si>
    <t>Minas DELI Nature 0,7mm HB</t>
  </si>
  <si>
    <t>Minas DELI Scribe 0,7mm 2B</t>
  </si>
  <si>
    <t>Minas FABER-CASTELL Tubito 2B 0.5mm. x12u.</t>
  </si>
  <si>
    <t>Minas FABER-CASTELL Tubito 2H 0.5mm. x12u.</t>
  </si>
  <si>
    <t>Minas FABER-CASTELL Tubito B 0.5mm. x12u.</t>
  </si>
  <si>
    <t>Minas FABER-CASTELL Tubito H 0.5mm. x12u.</t>
  </si>
  <si>
    <t>Minas FABER-CASTELL Tubito HB 0.5mm. x12u.</t>
  </si>
  <si>
    <t>Minas FABER-CASTELL Tubito 2B 0.7mm. x12u.</t>
  </si>
  <si>
    <t>Minas FABER-CASTELL Tubito B 0.7mm. x12u.</t>
  </si>
  <si>
    <t>Minas FABER-CASTELL Tubito HB 0.7mm. x12u.</t>
  </si>
  <si>
    <t>Minas FILGO Gráficas Tubito 2B x2mm. x12u.</t>
  </si>
  <si>
    <t>Minas ITO Tubito HB x12u.</t>
  </si>
  <si>
    <t>Minas para Compás Tubito x8u.</t>
  </si>
  <si>
    <t>Minas PILOT Tubito B x12u.</t>
  </si>
  <si>
    <t>Minas MICRO Tubito 0.7 Bx12u.</t>
  </si>
  <si>
    <t>Minas PILOT Tubito x7mm. HB x12u.</t>
  </si>
  <si>
    <t>Minas PILOT Tubito 2B x12u.</t>
  </si>
  <si>
    <t>Plumines xu.</t>
  </si>
  <si>
    <t>Portaminas FILGO H-205 0.5mm</t>
  </si>
  <si>
    <t>Portaminas FILGO H-207 0.7mm</t>
  </si>
  <si>
    <t>Repuesto Bolígrafo Borrable VIZION x3u.</t>
  </si>
  <si>
    <t>Repuesto BorraMío Tinta Azul xu.</t>
  </si>
  <si>
    <t>Repuesto FILGO The Black Azul xu.</t>
  </si>
  <si>
    <t>Repuesto FILGO The Black Negro xu.</t>
  </si>
  <si>
    <t>Roller PELIKAN Borrable Locorrijo xu.</t>
  </si>
  <si>
    <t>Boligrafo BIC Gelocity Gel Borrable Azul xu.</t>
  </si>
  <si>
    <t>Boligrafo BIC Gelocity Gel Borrable Negro xu.</t>
  </si>
  <si>
    <t>Roller GENIO Borrable Azul Fun xu.</t>
  </si>
  <si>
    <t>Roller GENIO Borrable Azul xu.</t>
  </si>
  <si>
    <t>Roller FABER MAGIC Borrable por Unidad Cuerpo Azul</t>
  </si>
  <si>
    <t>Roller FABER MAGIC Borrable por Unidad Cuerpo Verde</t>
  </si>
  <si>
    <t>Roller FILGO Borraxion Gel Azul xu.</t>
  </si>
  <si>
    <t>Roller FILGO Borraxion Gel Go! xu.</t>
  </si>
  <si>
    <t>Roller FILGO Borraxion xun.ROJO (12)</t>
  </si>
  <si>
    <t>Roller FILGO Borraxion Rosa xu.</t>
  </si>
  <si>
    <t>Roller FILGO Borraxion Azul xu.</t>
  </si>
  <si>
    <t>Roller FILGO Borraxion Verde xu.</t>
  </si>
  <si>
    <t>Roller FILGO Borraxion Violeta xu.</t>
  </si>
  <si>
    <t>Roller FILGO Super Ball 0.7mm. Azul xu.</t>
  </si>
  <si>
    <t>Roller FILGO Super Ball 0.7mm. Celeste xu.</t>
  </si>
  <si>
    <t>Roller FILGO Super Ball 0.7mm. Negro xu.</t>
  </si>
  <si>
    <t>Roller FILGO Super Ball 0.7mm. Rojo xu.</t>
  </si>
  <si>
    <t>Roller FILGO Super Ball 0.7mm. Rosa xu.</t>
  </si>
  <si>
    <t>Roller FILGO Super Ball 0.7mm. Verde xu.</t>
  </si>
  <si>
    <t>Roller FILGO Super Ball 0.7mm. Violeta xu.</t>
  </si>
  <si>
    <t>Roller FILGO Super Gel 1mm. Azul xu.</t>
  </si>
  <si>
    <t>Roller FILGO Super Gel 1mm. Negro xu.</t>
  </si>
  <si>
    <t>Roller FILGO Super Gel 1mm. Rojo xu.</t>
  </si>
  <si>
    <t>Roller Gel BORRAX Negro xu.</t>
  </si>
  <si>
    <t>Roller gel BORRAXION Surtido xu.</t>
  </si>
  <si>
    <t>Roller Gel Pop FILGO Fluo x6u.</t>
  </si>
  <si>
    <t>Roller Gel Pop FILGO Glitter x10u.</t>
  </si>
  <si>
    <t>Roller Gel Pop FILGO Glitter x5u.</t>
  </si>
  <si>
    <t>Roller Gel Pop FILGO Metalizado x6u.</t>
  </si>
  <si>
    <t>Roller Genio 2G Azul xu.</t>
  </si>
  <si>
    <t>Roller Borrable SIMBALL 2G PRINCESS x unidad</t>
  </si>
  <si>
    <t>Roller MICRO Centro Tipo Gel 1mm. Rojo xu.</t>
  </si>
  <si>
    <t>Roller MICRO SP5 Azul xu.</t>
  </si>
  <si>
    <t>Roller MICRO SP5 Negro xu.</t>
  </si>
  <si>
    <t>Roller MICRO SP5 Rojo xu.</t>
  </si>
  <si>
    <t>Roller MICRO SP5 Verde xu.</t>
  </si>
  <si>
    <t>Roller MICRO Tank Pen Negro xu.</t>
  </si>
  <si>
    <t>Roller MICRO Tank Pen Rojo xu.</t>
  </si>
  <si>
    <t>Roller MICRO Tank Pen Verde xu.</t>
  </si>
  <si>
    <t>Roller MOOVING Outline Tinta Gel Retractil x6u.</t>
  </si>
  <si>
    <t>Roller MOOVING Silky Glitter Gel x5u.</t>
  </si>
  <si>
    <t>Roller MOOVING Silky Neon Tinta x5u.</t>
  </si>
  <si>
    <t>Roller Pilot Graph Frixion Borrable Con 2 Gomas</t>
  </si>
  <si>
    <t>Roller Pilot Graph Borrable Retráctil</t>
  </si>
  <si>
    <t>Roller SIGNO UM-120NM Metal Oro</t>
  </si>
  <si>
    <t>Roller SIGNO UM-120NM Metal Violeta</t>
  </si>
  <si>
    <t>Roller UNI-BALL Needle 0.5 Azul</t>
  </si>
  <si>
    <t>Roller UNI-BALL Needle Negro</t>
  </si>
  <si>
    <t>Roller UNI-BALL Needle 0.7 Azul</t>
  </si>
  <si>
    <t>Roller UNI-BALL Needle 0.7 Negro</t>
  </si>
  <si>
    <t>Roller UNI-BALL SIGNO Fine UM-100 Azul xu.</t>
  </si>
  <si>
    <t>Roller UNI-BALL SIGNO Fine UM-100 Celeste x12u.</t>
  </si>
  <si>
    <t>Roller UNI-BALL SIGNO Fine UM-120 Flúo Naranja x12u.</t>
  </si>
  <si>
    <t>Roller UNI-BALL SIGNO Fine UM-100 Marrón x12u.</t>
  </si>
  <si>
    <t>Roller UNI-BALL SIGNO Fine UM-100 Negro x12u.</t>
  </si>
  <si>
    <t>Roller UNI-BALL SIGNO Fine UM-100 Oro x12u.</t>
  </si>
  <si>
    <t>Roller UNI-BALL SIGNO Fine UM-100 Pastel Blanco x12u.</t>
  </si>
  <si>
    <t>Roller UNI-BALL SIGNO Fine UM-100 Plata x12u.</t>
  </si>
  <si>
    <t>Roller UNI-BALL SIGNO Fine UM-100 Rojo x12u.</t>
  </si>
  <si>
    <t>Roller UNI-BALL SIGNO Fine UM-100 Verde x12u.</t>
  </si>
  <si>
    <t>Roller UNI-BALL SIGNO UM-120AC Pastel Amarillo</t>
  </si>
  <si>
    <t>Roller UNI-BALL Vision Needle 0.5 Rojo</t>
  </si>
  <si>
    <t>Roller UNI-BALL Vision Needle 0.5 Verde</t>
  </si>
  <si>
    <t>Roller UNI-BALL Vision Needle 0.7 Rojo</t>
  </si>
  <si>
    <t>Roller UNI-BALL Vision Needle 0.7 Verde</t>
  </si>
  <si>
    <t>Set de bolígrafos MOOVING Harry Potter x4u.</t>
  </si>
  <si>
    <t>Tanque FANTASTIC x24u.</t>
  </si>
  <si>
    <t>ROLLER GENIO 2G FPACK X3</t>
  </si>
  <si>
    <t>Tanque GENIO Plus Fancy x12u.</t>
  </si>
  <si>
    <t>Tanque MICRO Ballpen Tipo PARKER Azul xu.</t>
  </si>
  <si>
    <t>Tanque Para Roller FABER MAGIC Borrablexu.</t>
  </si>
  <si>
    <t>Tanque PELIKAN LOCORRIJO Azul xu.</t>
  </si>
  <si>
    <t>Tanque Roller GENIO 2G Azul xu.</t>
  </si>
  <si>
    <t>Tanque Roller GENIO Azul Pack x3u.</t>
  </si>
  <si>
    <t>Tanque Roller GENIO Azul xu.</t>
  </si>
  <si>
    <t>Tanque Universal Plástico Negro</t>
  </si>
  <si>
    <t>Tanque FILGO Borraxion Azul xu.</t>
  </si>
  <si>
    <t>Tanque FILGO Borraxion Gel Azul xu.</t>
  </si>
  <si>
    <t>Tanque FILGO Borraxion Gel Negro xu.</t>
  </si>
  <si>
    <t>Tanque FILGO Borraxion Negro xu.</t>
  </si>
  <si>
    <t>Tanque FILGO Borraxion SE Gel Azul xu.</t>
  </si>
  <si>
    <t>Tanque FLEXIGRIP Azul x2u.</t>
  </si>
  <si>
    <t xml:space="preserve">BORRATINTAS Y CORRECTORES </t>
  </si>
  <si>
    <t>Borratinta JET Killer Blister x2.</t>
  </si>
  <si>
    <t>Corrector Cinta FILGO Line x6mt.</t>
  </si>
  <si>
    <t>Corrector en Cinta FILGO Line x12mts.</t>
  </si>
  <si>
    <t>Corrector LIQUID PAPER Frasco</t>
  </si>
  <si>
    <t>Corrector Lápiz EZCO GTS xu.</t>
  </si>
  <si>
    <t>Corrector FABER-CASTELL Lapiz x7ml.</t>
  </si>
  <si>
    <t>Corrector FILGO Lapiz x7ml.</t>
  </si>
  <si>
    <t>Corrector LIQUID PAPER Lapiz x7ml.</t>
  </si>
  <si>
    <t>Corrector SIMBALL Taiko Lapiz x7ml.</t>
  </si>
  <si>
    <t xml:space="preserve">ALFILERES, BROCHES Y CHINCHES </t>
  </si>
  <si>
    <t>Alfiler SIFAP Cabeza Plástica x50u.</t>
  </si>
  <si>
    <t>Alfileres Cabeza SIFAP Nº3 x85g.</t>
  </si>
  <si>
    <t>Alfileres SIFAP x50g.</t>
  </si>
  <si>
    <t>Binder Clips MOOVING OFFICE SET HARRY POTTER</t>
  </si>
  <si>
    <t>Display Binder Clips MOOVING HARRY POTTER x 32mm. x4u.</t>
  </si>
  <si>
    <t>Display Binder Clips MOOVING MAW Mania x 19mm. x12u.</t>
  </si>
  <si>
    <t>Display Binder Clips MOOVING MAW Mania x 25mm. x6u.</t>
  </si>
  <si>
    <t>Display Binder Clips MOOVING MAW Mania x 32mm. x4u.</t>
  </si>
  <si>
    <t>Binder Clips MOOVIN Pastel Glitter x 4u.</t>
  </si>
  <si>
    <t>Display Binder Clips MOOVING x 32mm. xu.</t>
  </si>
  <si>
    <t>Binder Clips PENGUIN x19mm.</t>
  </si>
  <si>
    <t>Broches Cocodrilo Metálico con Tira x 100u.</t>
  </si>
  <si>
    <t>Broches Cocodrilo Plástico con Tira x 100u.</t>
  </si>
  <si>
    <t>Broches Clips Jumbo x2u.</t>
  </si>
  <si>
    <t>Broches Clips SIFAP Forrado Nº3 x100u.</t>
  </si>
  <si>
    <t>Broches Clips SIFAP Forrado Nº4 x100u.</t>
  </si>
  <si>
    <t>Broches Clips SIFAP Forrado Nº6 x50u.</t>
  </si>
  <si>
    <t>Broches Clips SIFAP Gusti x100u.</t>
  </si>
  <si>
    <t>Broches Clips SIFAP Nº10 x5u.</t>
  </si>
  <si>
    <t>Broches Clips SIFAP Nº2 x100u.</t>
  </si>
  <si>
    <t>Broches Clips SIFAP Nº3 x100u.</t>
  </si>
  <si>
    <t>Broches Clips SIFAP Nº4 x100u.</t>
  </si>
  <si>
    <t>Broches Clips SIFAP Nº5 x100u.</t>
  </si>
  <si>
    <t>Broches Clips SIFAP Nº6 x50u.</t>
  </si>
  <si>
    <t>Broches Clips SIFAP Nº8 x50u.</t>
  </si>
  <si>
    <t>Broches De Madera Natural 25mm x 50u.</t>
  </si>
  <si>
    <t>Broches De Madera Natural 35mm x 50u.</t>
  </si>
  <si>
    <t>Broches Mariposa Nº10 x100u.</t>
  </si>
  <si>
    <t>Broches Mariposa Nº12 x100u.</t>
  </si>
  <si>
    <t>Broches Mariposa Nº14 x100u.</t>
  </si>
  <si>
    <t>Broches Mariposa Nº3 x100u.</t>
  </si>
  <si>
    <t>Broches Mariposa Nº4 x100u.</t>
  </si>
  <si>
    <t>Broches Mariposa Nº5 x100u.</t>
  </si>
  <si>
    <t>Broches Mariposa Nº6 x100u.</t>
  </si>
  <si>
    <t>Broches Mariposa Nº7 x100u.</t>
  </si>
  <si>
    <t>Broches Mariposa Nº8 x100u.</t>
  </si>
  <si>
    <t>Broches NEPACO Metal Nº2 x50u.</t>
  </si>
  <si>
    <t>Broches NEPACO Plástico x50u.</t>
  </si>
  <si>
    <t>Chinches SIFAP 3 Puntas x50u.</t>
  </si>
  <si>
    <t>Chinches SIFAP Forradas x80u.</t>
  </si>
  <si>
    <t>Chinches SIFAP Señal Galera x50u.</t>
  </si>
  <si>
    <t>Chinches SIFAP x25u.</t>
  </si>
  <si>
    <t>Chinches SIFAP x50u.</t>
  </si>
  <si>
    <t>Chinches SIFAP x100u.</t>
  </si>
  <si>
    <t>Clip MOOVING HARRY POTTER Jumbo Paper xu.</t>
  </si>
  <si>
    <t>Clip MOOVING MAW Mania Jumbo Paper xu.</t>
  </si>
  <si>
    <t>Clip MOOVING MAW Pastel Jumbo Paper xu.</t>
  </si>
  <si>
    <t>Glass Magnets MOOVING MAW Mania x6u.</t>
  </si>
  <si>
    <t>Magnetic MOOVING HARRY POTTER x3u.</t>
  </si>
  <si>
    <t>Maw Magnets MOOVING HARRY POTTER x4u.</t>
  </si>
  <si>
    <t>Maw Magnets MOOVING Mickey &amp; Minnie</t>
  </si>
  <si>
    <t>Broches Clips MOOVING Blister 33mm. xu.</t>
  </si>
  <si>
    <t>MOOVING Fun Push Pins MAW Mania Diseños Indistintos x50u.</t>
  </si>
  <si>
    <t>MOOVING Fun Paper Clip Varios Diseños xu.</t>
  </si>
  <si>
    <t>MOOVING Fun Push Pins Diseños Indistintos xu.</t>
  </si>
  <si>
    <t>MOOVING Imanes Magnets xu.</t>
  </si>
  <si>
    <t>Binder Clips Fun MOOVING HARRY POTTER x4u.</t>
  </si>
  <si>
    <t>Paper Clips Jumbo MOOVING Multicolor x 6u.</t>
  </si>
  <si>
    <t>Paper Clips MOOVING MAW HARRY POTTER con Forma x6u.</t>
  </si>
  <si>
    <t>Paper Clips MOOVING Jumbo Mickey &amp; Minnie Mouse</t>
  </si>
  <si>
    <t>Paper Clips MOOVING MAW Mania Mickey Mouse con Forma x6u.</t>
  </si>
  <si>
    <t>Paper Clips MOOVING MAW Mania Mickey Mouse x 50mm. x25u.</t>
  </si>
  <si>
    <t>Set Notas Adhesivas MOOVING HARRY POTTER</t>
  </si>
  <si>
    <t>Set Oficina MOOVING Como Quieres xu.</t>
  </si>
  <si>
    <t>Set Oficina MOOVING MAW Mania xu.</t>
  </si>
  <si>
    <t>Set Premium MOOVING MAW Disney 100 xu.</t>
  </si>
  <si>
    <t>Sticky MOOVING Mickey &amp; Minnie x3 Flechas MAW Pastel x25h.</t>
  </si>
  <si>
    <t xml:space="preserve">CALCULADORAS </t>
  </si>
  <si>
    <t>Calculadora CASIO 8 Dígitos HL - 4A</t>
  </si>
  <si>
    <t>Calculadora CASIO HL - 815 L - We</t>
  </si>
  <si>
    <t>Calculadora CASIO HL - 820 Lv - We</t>
  </si>
  <si>
    <t>Calculadora CASIO HL - 815L - PK</t>
  </si>
  <si>
    <t>Calculadora CASIO Escritorio Metal xu.</t>
  </si>
  <si>
    <t>Calculadora CASIO Escritorio Dorado xu.</t>
  </si>
  <si>
    <t>Calculadora CASIO Escritorio Azul Metal xu.</t>
  </si>
  <si>
    <t>Calculadora CASIO Mini Escritorio Negro xu.</t>
  </si>
  <si>
    <t>Calculadora CASIO Portátil Negro y Amarillo xu.</t>
  </si>
  <si>
    <t>Calculadora CASIO Portátil Blanco SL - 310Uc - Bk xu.</t>
  </si>
  <si>
    <t>Calculadora ECAL TC31 8 Digitos 115 x 66mm.</t>
  </si>
  <si>
    <t>Calculadora ECAL Científica TC82 240Funciones 160 x 85mm.</t>
  </si>
  <si>
    <t>Calculadora ECAL Científica TC82MS 240Funciones 160 x 85mm.</t>
  </si>
  <si>
    <t>Calculadora ECAL Científica TC82MS Color</t>
  </si>
  <si>
    <t>Calculadora ECAL Científica TC95MS 244 Funciones 165 x 88mm.</t>
  </si>
  <si>
    <t>Calculadora ECAL TC10 8 Digitos 147 x 145mm.</t>
  </si>
  <si>
    <t>Calculadora ECAL TC22 12 Dígitos 127 x 107 mm.</t>
  </si>
  <si>
    <t>Calculadora ECAL TC25 154 x 111mm.</t>
  </si>
  <si>
    <t>Calculadora ECAL TC34 150 x 122mm.</t>
  </si>
  <si>
    <t>Calculadora ECAL TC35 12 Dígitos 184 x 132mm.</t>
  </si>
  <si>
    <t>Calculadora ECAL TC36 8 Dígitos 107 x 655mm.</t>
  </si>
  <si>
    <t>Calculadora ECAL TC37 8 Dígitos 115 x 66mm.</t>
  </si>
  <si>
    <t>Calculadora ECAL TC46 12 Digitos 170x130mm</t>
  </si>
  <si>
    <t>Calculadora ECAL TC52 12 Dígitos 128 x 91mm.</t>
  </si>
  <si>
    <t>Calculadora ECAL TC53 12 Digitos 80x115mm.</t>
  </si>
  <si>
    <t>Calculadora ECAL TC55 8 Digitos 60x120mm.</t>
  </si>
  <si>
    <t>Calculadora ECAL TC56 110x180mm</t>
  </si>
  <si>
    <t>Calculadora ECAL TC57 8 Digitos 114 x 68mm.</t>
  </si>
  <si>
    <t>Calculadora ECAL TC58 12 Dígitos 100x150mm.</t>
  </si>
  <si>
    <t>Calculadora ECAL TC59 8 Digitos 114x63mm</t>
  </si>
  <si>
    <t>Calculadora ECAL TC60 8 Digitos 114 x 65 mm</t>
  </si>
  <si>
    <t>Calculadora ECAL TC62 100mmx145mm 12 Dígitos</t>
  </si>
  <si>
    <t>Calculadora ECAL TC63 105mmx160mm 12 Dígitos</t>
  </si>
  <si>
    <t xml:space="preserve">INSUMOS DE COMPUTACION </t>
  </si>
  <si>
    <t>Cartucho EPSON 195 Negro</t>
  </si>
  <si>
    <t>CARTUCHO EPSON 73N CYAN (EP 7322)</t>
  </si>
  <si>
    <t>Cartucho GTC T133A Amarillo</t>
  </si>
  <si>
    <t>Carpeta 3 Anillos AVERY Premiun Auto (17330)</t>
  </si>
  <si>
    <t>Cinta GTC Epson LX 350 Negra</t>
  </si>
  <si>
    <t>Cinta GTC Epson MX80 Negra</t>
  </si>
  <si>
    <t>Cinta GTC Okidata 182 Negra</t>
  </si>
  <si>
    <t>Cinta GTC Star Micronics SP 700 Negra</t>
  </si>
  <si>
    <t>Cartucho GTC GT-T297N para Epson XP231/431 Negro</t>
  </si>
  <si>
    <t>HP Cartucho Nº933 Magenta</t>
  </si>
  <si>
    <t>Cartucho XEROX P3250</t>
  </si>
  <si>
    <t xml:space="preserve">PLASTIFICADOS </t>
  </si>
  <si>
    <t>Bolsillo Pvc 70 x 110mm. x50u.</t>
  </si>
  <si>
    <t>Bolsillo PVC 83mm x 118mm x 50u.</t>
  </si>
  <si>
    <t>Bolsillo Pvc SIFAP 90 x 120mm. x50u.</t>
  </si>
  <si>
    <t>Identificador Pvc SIFAP 94 x 71mm. x50u.</t>
  </si>
  <si>
    <t>Plancha para Plastificar en Caliente A3 310mm. x 430mm. x150Micrones x20u.</t>
  </si>
  <si>
    <t>Plancha para Plastificar en Caliente A4 x20u.</t>
  </si>
  <si>
    <t>Plancha para Plastificar en Caliente Oficio x20u.</t>
  </si>
  <si>
    <t>Plancha para Plastificar en Frío 200 Micrones 50cmx70cmx10u.</t>
  </si>
  <si>
    <t>Plancha Polietileno Autoadhesiva 37cm. x 50cm. x10u.</t>
  </si>
  <si>
    <t>Porta Credencial con Clip 90 x 57mm. xu.</t>
  </si>
  <si>
    <t>Plancha para Plastificar en Caliente 68 x 100mm. x100u.</t>
  </si>
  <si>
    <t xml:space="preserve">MARCADORES </t>
  </si>
  <si>
    <t>Kit Marcadores SHARPIE Metalicos x3u.</t>
  </si>
  <si>
    <t>Kit SHARPIE Fiesta Neon x4u.</t>
  </si>
  <si>
    <t>Kit SHARPIE Surtido x3u.</t>
  </si>
  <si>
    <t>Kit SHARPIE Universitario x4u.</t>
  </si>
  <si>
    <t>Marcador PAPER MATE Flair Bold x6u.</t>
  </si>
  <si>
    <t>Marcador BRUSH EZCO Punta Pincel x 12 colores</t>
  </si>
  <si>
    <t>Marcador WINNER 123 Azul xu.</t>
  </si>
  <si>
    <t>Marcadores FABER Winner Brush 47 Negro x12u.</t>
  </si>
  <si>
    <t>Marcador WINNER 123 Rojo xu.</t>
  </si>
  <si>
    <t>Marcador WINNER 123 Verde xu.</t>
  </si>
  <si>
    <t>Marcador ACRYLIC POP Azul xu.</t>
  </si>
  <si>
    <t>Marcador ACRYLIC POP Blanco xu.</t>
  </si>
  <si>
    <t>Marcador ACRYLIC POP Borravino xu.</t>
  </si>
  <si>
    <t>Marcador ACRYLIC POP Celeste xu.</t>
  </si>
  <si>
    <t>Marcador ACRYLIC POP Fluo x4u.</t>
  </si>
  <si>
    <t>Marcador ACRYLIC POP Gris xu.</t>
  </si>
  <si>
    <t>Marcador ACRYLIC POP Gris Oscuro xu.</t>
  </si>
  <si>
    <t>Marcador ACRYLIC POP Magenta xu.</t>
  </si>
  <si>
    <t>Marcador ACRYLIC POP Marfil xu.</t>
  </si>
  <si>
    <t>Marcador ACRYLIC POP Marron xu.</t>
  </si>
  <si>
    <t>Marcador ACRYLIC POP Metalizado x8u.</t>
  </si>
  <si>
    <t>Marcador ACRYLIC POP Negro xu.</t>
  </si>
  <si>
    <t>Marcador ACRYLIC POP Naranja xu.</t>
  </si>
  <si>
    <t>Marcador ACRYLIC POP Oro xu.</t>
  </si>
  <si>
    <t>Marcador ACRYLIC POP Piel xu.</t>
  </si>
  <si>
    <t>Marcador ACRYLIC POP Plata xu.</t>
  </si>
  <si>
    <t>Marcador ACRYLIC POP Purpura xu.</t>
  </si>
  <si>
    <t>Marcador ACRYLIC POP Rojo xu.</t>
  </si>
  <si>
    <t>Marcador ACRYLIC POP Rosa xu.</t>
  </si>
  <si>
    <t>Marcador ACRYLIC POP Surtido x10u.</t>
  </si>
  <si>
    <t>Marcador ACRYLIC POP Surtido x6u.</t>
  </si>
  <si>
    <t>Marcador ACRYLIC POP Verde Limon xu.</t>
  </si>
  <si>
    <t>Marcador ACRYLIC POP Verde xu.</t>
  </si>
  <si>
    <t>Marcador al Agua FILGO 052 Punta Redonda Azul</t>
  </si>
  <si>
    <t>Marcador al Agua FILGO 052 Punta Redonda Negro</t>
  </si>
  <si>
    <t>Marcador al Agua FILGO 052 Punta Redonda Rojo</t>
  </si>
  <si>
    <t>Marcador al Agua FILGO 062 Punta Redonda Azul</t>
  </si>
  <si>
    <t>Marcadores BIC Marking Surtido x6u.</t>
  </si>
  <si>
    <t>Marcador FILGO Brush 035 Metalizado Estuche x6u.</t>
  </si>
  <si>
    <t>Marcador BRUSH COLOR PEPS Punta Pincel x 12 colores</t>
  </si>
  <si>
    <t>Marcadores COLOR'PEPS Purpurina Estuche x10u.</t>
  </si>
  <si>
    <t>Marcador CRAYOLA Clasicos Jumbo x10u.</t>
  </si>
  <si>
    <t>Marcador CRAYOLA Glitter x6u.</t>
  </si>
  <si>
    <t>Marcador CRAYOLA Metallic x8u.</t>
  </si>
  <si>
    <t>Marcador CRAYOLA Sello Emoji x10u.</t>
  </si>
  <si>
    <t>Marcador CRAYOLA Window Para Vidrio x8u.</t>
  </si>
  <si>
    <t>Marcador FILGO Detector de Billetes Falsos xu.</t>
  </si>
  <si>
    <t>Marcador PELIKAN Detector de Billetes Falsos xu.</t>
  </si>
  <si>
    <t>Marcador TRABI Detector de Billetes Falsos xu.</t>
  </si>
  <si>
    <t>Marcador EDDING Fibra 1200 Marrón</t>
  </si>
  <si>
    <t>Marcador EDDING 791 1.2mm. Plata</t>
  </si>
  <si>
    <t>Marcador EDDING 792 0.8mm. Dorado</t>
  </si>
  <si>
    <t>Marcador EDDING 792 0.8mm. Plata</t>
  </si>
  <si>
    <t>Marcador EDDING 180 al Agua Celeste</t>
  </si>
  <si>
    <t>Marcador EDDING 180 al Agua Rosa</t>
  </si>
  <si>
    <t>MARC.EDDING CHALK 4095xu.AMARILLO(10)</t>
  </si>
  <si>
    <t>Marcador EDDING Chalk 4095 Azul xu.</t>
  </si>
  <si>
    <t>Marcador EDDING Chalk 4095 Naranja xu.</t>
  </si>
  <si>
    <t>Marcador EDDING Chalk 4095 Rojo xu.</t>
  </si>
  <si>
    <t>Marcador EDDING Chalk 4095 Rosa xu.</t>
  </si>
  <si>
    <t>Marcador EDDING Chalk 4095 Verde xu.</t>
  </si>
  <si>
    <t>Marcador EDDING Chalk 4095 Verde Manzana xu.</t>
  </si>
  <si>
    <t>Marcador EDDING Fibra 400 Verde</t>
  </si>
  <si>
    <t>Marcador EDDING 100 Permanente Azul</t>
  </si>
  <si>
    <t>Marcador EDDING 100 Permanente Verde</t>
  </si>
  <si>
    <t>Marcador EDDING 130 Permanente Rojo</t>
  </si>
  <si>
    <t>Marcador EDDING T-Shirt 4600 Amarillo</t>
  </si>
  <si>
    <t>Marcador EDDING T-Shirt 4600 Naranja</t>
  </si>
  <si>
    <t>Marcador EDDING T-Shirt 4600 Rojo</t>
  </si>
  <si>
    <t>Marcador EDDING T-Shirt 4600 Rosa</t>
  </si>
  <si>
    <t>Marcador EDDING T-Shirt 4600 Verde</t>
  </si>
  <si>
    <t>Marcador EDDING T-Shirt 4600 Violeta</t>
  </si>
  <si>
    <t>Marc.EVERMARK Permanente Doble Punta Negro</t>
  </si>
  <si>
    <t>Marcadores EZCO Brush Neon x6u.</t>
  </si>
  <si>
    <t>Marcadores EZCO Brush Pastel x6u.</t>
  </si>
  <si>
    <t>Marcador FABER-CASTELL al Agua 57 Azul</t>
  </si>
  <si>
    <t>Marcador FABER-CASTELL al Agua 57 Negro</t>
  </si>
  <si>
    <t>Marcador FABER-CASTELL al Agua 57 Rojo</t>
  </si>
  <si>
    <t>Marcador FABER-CASTELL al Agua 57 Verde</t>
  </si>
  <si>
    <t>Marcadores FABER Caras y Colores x12u.+3 Tonos Piel</t>
  </si>
  <si>
    <t>Marcador FABER CASTELL Fiesta 45 Estuche x6u.</t>
  </si>
  <si>
    <t>Marcador FABER CASTELL Fiesta 45 Neon Estuche x6u.</t>
  </si>
  <si>
    <t>Marcador FABER Fiesta x12u.+4 Neon +2 Pastel</t>
  </si>
  <si>
    <t>Marcador FABER-CASTELL Largo x10u.</t>
  </si>
  <si>
    <t>Marcador FABER-CASTELL Largo Fiesta x20u.</t>
  </si>
  <si>
    <t>Marcadores FABER CASTELL Multimark 421-F Negro xu.</t>
  </si>
  <si>
    <t>Marcador FABER CASTELL MULTIMARK 421-M Negro xu.</t>
  </si>
  <si>
    <t>Marcador FABER-CASTELL para Pizarra 152 Azul</t>
  </si>
  <si>
    <t>Marcador FABER-CASTELL para Pizarra 152 Naranja</t>
  </si>
  <si>
    <t>Marcador FABER-CASTELL para Pizarra 152 Rojo</t>
  </si>
  <si>
    <t>Marcador FABER-CASTELL para Pizarra 152 Fucsia</t>
  </si>
  <si>
    <t>Marcador FABER-CASTELL para Pizarra 152 Verde</t>
  </si>
  <si>
    <t>Marcador FABER-CASTELL Permanente 52 Punta Redonda Azul</t>
  </si>
  <si>
    <t>Marcador FABER-CASTELL Permanente 52 Punta Redonda Negro</t>
  </si>
  <si>
    <t>Marcador FABER-CASTELL Permanente 52 Punta Redonda Rojo</t>
  </si>
  <si>
    <t>Marcador FABER-CASTELL Permanente 52 Punta Redonda Verde</t>
  </si>
  <si>
    <t>Marcador FABER-CASTELL Permanente 54 Punta Chata Azul</t>
  </si>
  <si>
    <t>Marcador FABER-CASTELL Permanente 54 Punta Chata Negro</t>
  </si>
  <si>
    <t>Marcador FABER-CASTELL Permanente 54 Punta Chata Rojo</t>
  </si>
  <si>
    <t>Marcador FABER-CASTELL Permanente 54 Punta Chata Verde</t>
  </si>
  <si>
    <t>Marcadores FABER Textliner 48 Amarillo xu.</t>
  </si>
  <si>
    <t>Marcadores FABER Textliner 48 Celeste xu.</t>
  </si>
  <si>
    <t>Marcadores FABER Textliner 48 Fucsia xu.</t>
  </si>
  <si>
    <t>Marcadores FABER Textliner 48 Naranja xu.</t>
  </si>
  <si>
    <t>Marcadores FABER Textliner 48 Verde xu.</t>
  </si>
  <si>
    <t>Marcador FILGO Brush 035 Negro xu.</t>
  </si>
  <si>
    <t>Marcador FILGO Brush Duo Clasico Estuche x6u.</t>
  </si>
  <si>
    <t>Marcador FILGO Brush Duo Galaxy Estuche x6u.</t>
  </si>
  <si>
    <t>Marcador FILGO Brush Duo Gris Estuche x4u.</t>
  </si>
  <si>
    <t>Marcador FILGO Brush Duo Pastel Estuche x4u.</t>
  </si>
  <si>
    <t>Marcador FILGO Brush Duo Piel Estuche x4u.</t>
  </si>
  <si>
    <t>Marcador FILGO Brush Duo Tropical Estuche x6u.</t>
  </si>
  <si>
    <t>Marcador FILGO Brush Pen Pastel Estuche x10u.</t>
  </si>
  <si>
    <t>Marcadores FILGO Pinto 2210 Surtido Estuche x10u.</t>
  </si>
  <si>
    <t>Marcadores FILGO Pinto 2210 Surtido Estuche x20u.</t>
  </si>
  <si>
    <t>Marcadores FILGO Pinto 2210 Surtido Estuche x6u.</t>
  </si>
  <si>
    <t>Marcadores FILGO Pinto 2220 Estuche x10u. Perfumado</t>
  </si>
  <si>
    <t>Marcadores FILGO Pinto 2220 Estuche x10u. Borrables</t>
  </si>
  <si>
    <t>Marcadores FILGO Pinto 2220 Estuche x10u. Mágico</t>
  </si>
  <si>
    <t>Marcadores FILGO Pinto 2220 Estuche x10u. Pastel</t>
  </si>
  <si>
    <t>Marcador FILGO Pinto 2220 Estuche x20u. Surtido</t>
  </si>
  <si>
    <t>Marcador FILGO Pinto 2220 Estuche x30u. Surtido</t>
  </si>
  <si>
    <t>Marcador FILGO PINTO 2220 Estuche x6u. Skin Tones</t>
  </si>
  <si>
    <t>Marcador FILGO PINTO 2220 Estuche x8u. Glitter Pastel</t>
  </si>
  <si>
    <t>Marcador FILGO PINTO 2220 Estuche x8u. Glitter</t>
  </si>
  <si>
    <t>Marcador FILGO PINTO 2220 Estuche x8u. Metalizado</t>
  </si>
  <si>
    <t>Marcadores FILGO Pinto 2220 Fluo Estuche x6u.</t>
  </si>
  <si>
    <t>Marcadores FILGO Pinto 2220 Surtido Estuche x10u.</t>
  </si>
  <si>
    <t>Marcadores FILGO Pinto 2220 Surtido Estuche x6u.</t>
  </si>
  <si>
    <t>Marcadores FILGO Pinto Jumbo Amarillo</t>
  </si>
  <si>
    <t>Marcadores FILGO Pinto Jumbo Azul</t>
  </si>
  <si>
    <t>Marcadores FILGO Pinto Jumbo Celeste</t>
  </si>
  <si>
    <t>Marcadores FILGO Pinto Jumbo Marron</t>
  </si>
  <si>
    <t>Marcadores FILGO Pinto Jumbo Negro</t>
  </si>
  <si>
    <t>Marcadores FILGO Pinto Jumbo Naranja</t>
  </si>
  <si>
    <t>Marcadores FILGO Pinto Jumbo Rojo</t>
  </si>
  <si>
    <t>Marcador FILGO Pinto Jumbo Rosa</t>
  </si>
  <si>
    <t>Marcador FILGO Pinto Jumbo Surtido Estcuhe x10u.</t>
  </si>
  <si>
    <t>Marcador FILGO Jumbo Surtido Estuche x6u.</t>
  </si>
  <si>
    <t>Marcadores FILGO Pinto Jumbo Verde</t>
  </si>
  <si>
    <t>Marcador FILGO Pinto Jumbo Violeta</t>
  </si>
  <si>
    <t>Marcadores GIOTTO x50u. Stilnovo + 40u. Turbo Color</t>
  </si>
  <si>
    <t>Marcador GIOTTO Bebé x12u.</t>
  </si>
  <si>
    <t>Marcador GIOTTO Bebé x6u.</t>
  </si>
  <si>
    <t>Marcador GIOTTO Giant Pastel</t>
  </si>
  <si>
    <t>Marcador GIOTTO Turbo Glitter x8u.</t>
  </si>
  <si>
    <t>Marcador GIOTTO Turbo Maxi Amarillo xu.</t>
  </si>
  <si>
    <t>Marcador GIOTTO Turbo Maxi Azul xu.</t>
  </si>
  <si>
    <t>Marcador GIOTTO Turbo Maxi Marrón xu.</t>
  </si>
  <si>
    <t>Marcador GIOTTO Turbo Maxi Naranja xu.</t>
  </si>
  <si>
    <t>Marcador GIOTTO Turbo Maxi Rosa xu.</t>
  </si>
  <si>
    <t>Marcador GIOTTO Turbo Maxi Verde xu.</t>
  </si>
  <si>
    <t>Marcador GIOTTO Turbo Maxi Violeta xu.</t>
  </si>
  <si>
    <t>Marcador GIOTTO Turbo Maxi x10u.</t>
  </si>
  <si>
    <t>Marcador GIOTTO Turbo Maxi x20u.</t>
  </si>
  <si>
    <t>Marcador GIOTTO Turbo Maxi x6u.</t>
  </si>
  <si>
    <t>Marcador GIOTTO Turbo Scent x8u.</t>
  </si>
  <si>
    <t>Marcadores GIOTTO Turbo Color Skintones x12u.</t>
  </si>
  <si>
    <t>Marcador GIOTTO Turbo x10u.</t>
  </si>
  <si>
    <t>Marcador GIOTTO Turbo x20u.</t>
  </si>
  <si>
    <t>Marcador GIOTTO Turbo x6u.</t>
  </si>
  <si>
    <t>Marcador GIOTTO Turbo xu. Negro</t>
  </si>
  <si>
    <t>Marcadores ITO Permanente Punta Redonda Azul</t>
  </si>
  <si>
    <t>Marcadores ITO Permanente Punta Redonda Negro</t>
  </si>
  <si>
    <t>Marcadores ITO Permanente Punta Redonda Rojo</t>
  </si>
  <si>
    <t>Marcador TRABI Surtido x6u.</t>
  </si>
  <si>
    <t>Marcadores TRABI Junior x2mm. Azul</t>
  </si>
  <si>
    <t>Marcadores TRABI Junior x2mm. Rojo</t>
  </si>
  <si>
    <t>Marcadores TRABI Junior x2mm. Verde</t>
  </si>
  <si>
    <t>Marcadores TRABI Junior x2mm. Negro</t>
  </si>
  <si>
    <t>Marcador MAPED Color´Peps Long Life x12u.</t>
  </si>
  <si>
    <t>Marcador MAPED Duo Color´Peps x10u.</t>
  </si>
  <si>
    <t>Marcadores MAPED No Mas Tapas Perdidas x12u.</t>
  </si>
  <si>
    <t>Marcadores MAPED Pastel Estuche x10u.</t>
  </si>
  <si>
    <t>Marcador MAPED Color´Peps Long Maxi x12u.</t>
  </si>
  <si>
    <t>Marcador MARGI Doble Punta 220 F/UF Azul</t>
  </si>
  <si>
    <t>Marcador MARGI Doble Punta 220 F/UF Negro</t>
  </si>
  <si>
    <t>Marcador MARGI Doble Punta 220 F/UF Verde</t>
  </si>
  <si>
    <t>Marcador Pincel MARKANA Pastel Estuche x12u.</t>
  </si>
  <si>
    <t>Marcador FILGO Marker 036 Pastel Retro Estuche x6u.</t>
  </si>
  <si>
    <t>Marcador FILGO Marker 036 Pink Estuche x6u.</t>
  </si>
  <si>
    <t>Marcadores TRABI Megapinturon x10u.</t>
  </si>
  <si>
    <t>Marcadores TRABI Megapinturon x6u.</t>
  </si>
  <si>
    <t>Marcadores TRABI Mega Pinturon x20u.</t>
  </si>
  <si>
    <t>Marcadores MOOVING Outline Estuche x6u.</t>
  </si>
  <si>
    <t>Marcador MOOVING Poder Glitter Pastel Surtido x6u.</t>
  </si>
  <si>
    <t>Marcador PAPER MATE Flair Bold x4u.</t>
  </si>
  <si>
    <t>Marcador PELIKAN 710 Azul</t>
  </si>
  <si>
    <t>Marcador PELIKAN 710 Negro</t>
  </si>
  <si>
    <t>Marcador PELIKAN 710 Rojo</t>
  </si>
  <si>
    <t>Marcador PELIKAN 710 Verde</t>
  </si>
  <si>
    <t>Marcador PELIKAN 711 Azul</t>
  </si>
  <si>
    <t>Marcador PELIKAN 711 Negro</t>
  </si>
  <si>
    <t>Marcador PELIKAN 711 Rojo</t>
  </si>
  <si>
    <t>Marcador PELIKAN 711 Verde</t>
  </si>
  <si>
    <t>Marcador PELIKAN 720 Amarillo</t>
  </si>
  <si>
    <t>Marcador PELIKAN 720 Azul</t>
  </si>
  <si>
    <t>Marcador PELIKAN 720 Celeste</t>
  </si>
  <si>
    <t>Marcador PELIKAN 720 Naranja</t>
  </si>
  <si>
    <t>Marcador PELIKAN 720 Negro</t>
  </si>
  <si>
    <t>Marcador PELIKAN 720 Rojo</t>
  </si>
  <si>
    <t>Marcador PELIKAN 720 Rosa</t>
  </si>
  <si>
    <t>Marcador PELIKAN 720 Verde</t>
  </si>
  <si>
    <t>Marcador PELIKAN 780 Azul</t>
  </si>
  <si>
    <t>Marcador PELIKAN 780 Verde</t>
  </si>
  <si>
    <t>Marcador PELIKAN M. Twist Azul</t>
  </si>
  <si>
    <t>Marcador PELIKAN M. Twist Rojo</t>
  </si>
  <si>
    <t>Marcador PELIKAN M. Twist Verde</t>
  </si>
  <si>
    <t>Marcadores PELIKAN Markana Fino Estuche x6u.</t>
  </si>
  <si>
    <t>Marcador PELIKAN Markana Twist Pastel x6u.</t>
  </si>
  <si>
    <t>Marcador PELIKAN Markatodo Negro</t>
  </si>
  <si>
    <t>Marcador Permanente FILGO Fino Negro x12u.</t>
  </si>
  <si>
    <t>Marcador Permanente FILGO 041 Extra Fino Negro x12u.</t>
  </si>
  <si>
    <t>Marcador Permanente FILGO Doble Punta Negro xu.</t>
  </si>
  <si>
    <t>Marcador Permanente FILGO Punta Biselada Negro x12u.</t>
  </si>
  <si>
    <t>Marcador Permanente FILGO Punta Redonda Negro x12u.</t>
  </si>
  <si>
    <t>Marcador Permanente FILGO 040 Fino Azul</t>
  </si>
  <si>
    <t>Marcador Permanente FILGO 040 Fino Brillante Estuche x6u.</t>
  </si>
  <si>
    <t>Marcador Permanente FILGO 040 Fino Bronce</t>
  </si>
  <si>
    <t>Marcador Permanente FILGO 040 Fino Clásico Estuche x4u.</t>
  </si>
  <si>
    <t>Marcador Permanente FILGO 040 Fino Dark estuche x4u.</t>
  </si>
  <si>
    <t>Marcador Permanente FILGO 040 Fino Fluo Estuchex5u.</t>
  </si>
  <si>
    <t>Marcador Permanente FILGO 040 Fino Oro</t>
  </si>
  <si>
    <t>Marcador Permanente FILGO 040 Fino Pastel Estuche x5u.</t>
  </si>
  <si>
    <t>Marcador Permanente FILGO 040 Fino Plata</t>
  </si>
  <si>
    <t>Marcador Permanente FILGO 040 Fino Rojo</t>
  </si>
  <si>
    <t>Marcador Permanente FILGO 041 Extra Fino Azul</t>
  </si>
  <si>
    <t>Marcador Permanente 042 Doble Punta Azul</t>
  </si>
  <si>
    <t>Marcador Permanente FILGO 042 Doble Punta Rojo</t>
  </si>
  <si>
    <t>Marcador Permanente FILGO 050 Punta Biselada Azul</t>
  </si>
  <si>
    <t>Marcador Permanente FILGO 050 Punta Biselada Rojo</t>
  </si>
  <si>
    <t>Marcador Permanente FILGO 050 Punta Biselada Verde</t>
  </si>
  <si>
    <t>Marcador Permanente FILGO 051 Punta Redonda Azul</t>
  </si>
  <si>
    <t>Marcador Permanente FILGO 051 Punta Redonda Estuche x4u.</t>
  </si>
  <si>
    <t>Marcador Permanente FILGO 051 Punta Redonda Rojo</t>
  </si>
  <si>
    <t>Marcador Permanente FILGO 051 Punta Redonda Verde</t>
  </si>
  <si>
    <t>Marcador Permanente FILGO 061 Punta Redonda Rojo</t>
  </si>
  <si>
    <t>Marcador Permanente FILGO 061 Punta Redonda Verde</t>
  </si>
  <si>
    <t>Marcador Permanente FILGO Clasico 050 Punta Biselada Est.x4u.</t>
  </si>
  <si>
    <t>Marcador Permanente FILGO 061 Punta Redonda Azul</t>
  </si>
  <si>
    <t>Marcador Permanente PELIKAN 420 Pastel Surtidos x5u.</t>
  </si>
  <si>
    <t>Marcador Permanente PELIKAN 420 Pastel Surtidos x8u.</t>
  </si>
  <si>
    <t>Marcador Permanente THINK Punta Biselada Negro xu.</t>
  </si>
  <si>
    <t>Marcador Permanente THINK Punta Redonda Azul xu.</t>
  </si>
  <si>
    <t>Marcador Permanente THINK Punta Redonda Negro xu.</t>
  </si>
  <si>
    <t>Marcador Permanente THINK Punta Redonda Rojo xu.</t>
  </si>
  <si>
    <t>Marcador Permanente FILGO 040 Fino Aloha x30u.</t>
  </si>
  <si>
    <t>Marcador Permanente FILGO 040 Fino Citrus x10u.</t>
  </si>
  <si>
    <t>Marcador Permanente FILGO 040 Fino Mystico x30u.</t>
  </si>
  <si>
    <t>Marcador Permanente FILGO 040 Fino Surtido x10u.</t>
  </si>
  <si>
    <t>Marcador Permanente FILGO 040 Fino Surtido x30u.</t>
  </si>
  <si>
    <t>Marcador Pizarra FILGO 058 Punta Redonda Azul</t>
  </si>
  <si>
    <t>Marcador Pizarra FILGO 058 Punta Redonda Negro</t>
  </si>
  <si>
    <t>Marcador Pizarra FILGO 058 Punta Redonda Rojo</t>
  </si>
  <si>
    <t>Marcador Pizarra FILGO 068 Punta Redonda Azul</t>
  </si>
  <si>
    <t>Marcador Pizarra FILGO 068 Punta Redonda Negro</t>
  </si>
  <si>
    <t>Marcador Pizarra FILGO 068 Punta Redonda Rojo</t>
  </si>
  <si>
    <t>Marcador Pizarra THINK Punta Redonda Azul xu.</t>
  </si>
  <si>
    <t>Marcador Pizarra THINK Punta Redonda Negro xu.</t>
  </si>
  <si>
    <t>Marcador Pizarra THINK Punta Redonda Rojo xu.</t>
  </si>
  <si>
    <t>Marcador Permanente FILGO 060 Punta Biselada Negro</t>
  </si>
  <si>
    <t>Marcador Permanente FILGO 061 Punta Redonda Negro</t>
  </si>
  <si>
    <t>Marcador SAKURA Azul con Punta con Chanfle</t>
  </si>
  <si>
    <t>Marcador SAKURA Negro con Punta con Chanfle</t>
  </si>
  <si>
    <t>Marcador SAKURA Rojo con Punta con Chanfle</t>
  </si>
  <si>
    <t>Marcador SAKURA Verde con Punta con Chanfle</t>
  </si>
  <si>
    <t>Marcador SAKURA Azul con Punta Redonda</t>
  </si>
  <si>
    <t>Marcador SAKURA Negro con Punta Redonda</t>
  </si>
  <si>
    <t>Marcador SAKURA 111 Rojo con Punta Redonda</t>
  </si>
  <si>
    <t>Marcador SAKURA 111 Verde con Punta Redonda</t>
  </si>
  <si>
    <t>Marcadores SHARPIE Chalk Primary x3u.</t>
  </si>
  <si>
    <t>Marcadores SHARPIE Chalk Standart x5u.</t>
  </si>
  <si>
    <t>Marcador SHARPIE Extra Fino Water Base Glitter x3u.</t>
  </si>
  <si>
    <t>Marcador SHARPIE Fine Metálico Esmeralda xu.</t>
  </si>
  <si>
    <t>Marcador SHARPIE Fine Metálico Rubí xu.</t>
  </si>
  <si>
    <t>Marcador SHARPIE Fine Metálico Zafiro xu.</t>
  </si>
  <si>
    <t>Marcadores SHARPIE Fine Tropical Surtidos x 12u.</t>
  </si>
  <si>
    <t>Marcador SHARPIE Fine Verde Lima xu.</t>
  </si>
  <si>
    <t>Marcador SHARPIE Fine Azul xu.</t>
  </si>
  <si>
    <t>Marcador SHARPIE Fine Magenta xu.</t>
  </si>
  <si>
    <t>Marcador SHARPIE Fine Rojo xu.</t>
  </si>
  <si>
    <t>Marcador SHARPIE Fine Verde xu.</t>
  </si>
  <si>
    <t>Marcador SHARPIE Fine Violeta xu.</t>
  </si>
  <si>
    <t>Marcador SHARPIE Fino Colores Cosmicos x2u.</t>
  </si>
  <si>
    <t>Marcadores SHARPIE Místicos Fino x5u.</t>
  </si>
  <si>
    <t>Marcador SHARPIE Paint Medio Azul xu.</t>
  </si>
  <si>
    <t>Marcadores SHARPIE Punta Color Surtido x24u.</t>
  </si>
  <si>
    <t>Marcadores SHARPIE Tie Dye Fino Surtido x12u.</t>
  </si>
  <si>
    <t>Marcador SHARPIE Twin Tip Azul xu.</t>
  </si>
  <si>
    <t>Marcador SHARPIE Twin Tip Rojo xu.</t>
  </si>
  <si>
    <t>Marcador SHARPIE Fino Colores Cosmicos x5u.</t>
  </si>
  <si>
    <t>Marcadores SHARPIE Vintage Punta Fina Estuche x18u.</t>
  </si>
  <si>
    <t>Marcadores SHARPIE Vintage Punta Fina Estuche x8u.</t>
  </si>
  <si>
    <t>Marcador SIMBALL 200F Grip Rojo xu.</t>
  </si>
  <si>
    <t>Marcador SIMBALL Escolar x10u.</t>
  </si>
  <si>
    <t>Marcador SIMBALL Escolar x20u.</t>
  </si>
  <si>
    <t>Marcador SIMBALL Escolar x6u.</t>
  </si>
  <si>
    <t>Marcador Simball 550 Permanente Punta Redonda Rojo</t>
  </si>
  <si>
    <t>Marcador Simball 550 Permanente Punta Redonda Verde</t>
  </si>
  <si>
    <t>Marcador SIMBALL Brush Hits Electro x5u.</t>
  </si>
  <si>
    <t>Marcador SIMBALL Brush Hits Metallic x2u.</t>
  </si>
  <si>
    <t>Marcador SIMBALL Brush Hits Negro xu.</t>
  </si>
  <si>
    <t>Marcador SIMBALL Brush Hits Pop x5u.</t>
  </si>
  <si>
    <t>Marcador SIMBALL Escolar x24u.</t>
  </si>
  <si>
    <t>Marcador SIMBALL Jumbo Maxi Color Azul xu.</t>
  </si>
  <si>
    <t>Marcador SIMBALL Jumbo Maxi Color Negro xu.</t>
  </si>
  <si>
    <t>Marcador SIMBALL Jumbo Maxi Color Rojo xu.</t>
  </si>
  <si>
    <t>Marcador SIMBALL Jumbo Maxi Color Verde xu.</t>
  </si>
  <si>
    <t>Marcador SIMBALL Maxi x10u.</t>
  </si>
  <si>
    <t>Marcador SIMBALL Maxi x6u.</t>
  </si>
  <si>
    <t>Marcadores SIMBALL Pastel PVC Estuche x8u. Colores Surtidos</t>
  </si>
  <si>
    <t>Marcador SIMBALL Pinta2 Celeste xu.</t>
  </si>
  <si>
    <t>Marcador SIMBALL Pinta2 Verde xu.</t>
  </si>
  <si>
    <t>Marcador SIMBALL Pinta2 Violeta xu.</t>
  </si>
  <si>
    <t>Marcador SIMBALL Pizarra 440 Azul xu.</t>
  </si>
  <si>
    <t>Marcador SIMBALL Pizarra 440 Lima xu.</t>
  </si>
  <si>
    <t>Marcador SIMBALL Pizarra 440 Negro xu.</t>
  </si>
  <si>
    <t>Marcador SIMBALL Pizarra 440 Pet x8u.</t>
  </si>
  <si>
    <t>Marcador SIMBALL Pizarra 440 Rojo xu.</t>
  </si>
  <si>
    <t>Marcador SIMBALL Pizarra 440 Rosa xu.</t>
  </si>
  <si>
    <t>Marcador SIMBALL Pizarra 440 Turquesa xu.</t>
  </si>
  <si>
    <t>Marcador SIMBALL Pizarra 440 Verde xu.</t>
  </si>
  <si>
    <t>Marcador SIMBALL Pizarra Fancy 440 Pet x4u.</t>
  </si>
  <si>
    <t>Marcador SIPA al Agua Punta Redonda Negro</t>
  </si>
  <si>
    <t>Marcador SIPA al Agua Punta Redonda Rojo</t>
  </si>
  <si>
    <t>Marcador SIPA al Agua Punta Redonda Rosa</t>
  </si>
  <si>
    <t>Marcador SIPA al Agua Punta Redonda Verde Manzana</t>
  </si>
  <si>
    <t>Marcador SIPA al Agua con Punta Redonda Verde</t>
  </si>
  <si>
    <t>Marcador SIPA al Agua Punta Redonda Violeta</t>
  </si>
  <si>
    <t>Maracador SIPA Permanente Doble Punta Azul</t>
  </si>
  <si>
    <t>Maracador SIPA Permanente Doble Punta Negro</t>
  </si>
  <si>
    <t>Maracador SIPA Permanente Doble Punta Rojo</t>
  </si>
  <si>
    <t>Marcador SIPA Permanente Punta Chata Azul</t>
  </si>
  <si>
    <t>Marcador SIPA Permanente Punta Chata Negro</t>
  </si>
  <si>
    <t>Marcador SIPA Permanente Punta Chata Rojo</t>
  </si>
  <si>
    <t>Marcador SIPA Permanente Punta Chata Verde</t>
  </si>
  <si>
    <t>Marcador SIPA Permanente Punta Redonda Azul</t>
  </si>
  <si>
    <t>Marcador SIPA Permanente Punta Redonda Negro</t>
  </si>
  <si>
    <t>Marcador SIPA Permanente Punta Redonda Rojo</t>
  </si>
  <si>
    <t>Marcador SIPA Permanente Punta Redonda Verde</t>
  </si>
  <si>
    <t>Marcador Trabi 420 al Agua Punta Redonda x10 Colores</t>
  </si>
  <si>
    <t>Marcadores TRABI 420 Plus Valija x20u.</t>
  </si>
  <si>
    <t>Marcador TRABI Art Brush Pastel Punta Pincel Surtido x 6u.</t>
  </si>
  <si>
    <t>Marcador TRABI Art Brush Pastel Punta Pincel Amarillo x 6u.</t>
  </si>
  <si>
    <t>Marcador TRABI Art Brush Pastel Punta Pincel Celeste x 6u.</t>
  </si>
  <si>
    <t>Marcador TRABI Art Brush Pastel Punta Pincel Negro x 6u.</t>
  </si>
  <si>
    <t>Marcador TRABI Art Brush Pastel Punta Pincel Naranja x 6u</t>
  </si>
  <si>
    <t>Marcador TRABI Art Brush Pastel Punta Pincel Rosa x 6u.</t>
  </si>
  <si>
    <t>Marcador TRABI Art Brush Pastel Punta Pincel Turquesa x 6u.</t>
  </si>
  <si>
    <t>Marcador TRABI Art Brush Pastel Punta Pincel Verde x 6u.</t>
  </si>
  <si>
    <t>Valija Art Brush</t>
  </si>
  <si>
    <t>Marcador TRABI Punta Pincel Big Brush Neón x6u.</t>
  </si>
  <si>
    <t>Marcador TRABI Punta Pincel Big Brush Surtido x6u.</t>
  </si>
  <si>
    <t>Marcador TRABI Big Brush Punta Picel Surtidas x10unidades</t>
  </si>
  <si>
    <t>Marcador TRABI Permanente Punta Pincel Coral x6u.</t>
  </si>
  <si>
    <t>Marcador TRABI Big Brush Pastel Punta Pincel Gris x6u.</t>
  </si>
  <si>
    <t>Marcador TRABI Big Brush Pastel Punta Pincel Surtido x6u.</t>
  </si>
  <si>
    <t>Marcadores TRABI Borrable x9+1u.</t>
  </si>
  <si>
    <t>Marcador TRABI Permanente Doble Punta Azul xu.</t>
  </si>
  <si>
    <t>Marcador TRABI Permanente Doble Punta Rojo xu.</t>
  </si>
  <si>
    <t>Marcador TRABI Permanente Doble Punta Verde xu.</t>
  </si>
  <si>
    <t>Marcadores TRABI Difumio Valija x30u.</t>
  </si>
  <si>
    <t>Marcador TRABI Surtido x20u.</t>
  </si>
  <si>
    <t>Marcadores TRABI Junior Pastel x6u. Surtido</t>
  </si>
  <si>
    <t>Marcador TRABI Surtido x10u.</t>
  </si>
  <si>
    <t>Marc.TRABI Mark All Blanco</t>
  </si>
  <si>
    <t>Marcador TRABI Mark All Dorado</t>
  </si>
  <si>
    <t>Marc.TRABI Mark-All Plata</t>
  </si>
  <si>
    <t>Marcador TRABI para Pizarra Blanca Plus 450 Azul xu.</t>
  </si>
  <si>
    <t>Marcador TRABI para Pizarra Blanca Plus 450 Celeste xu.</t>
  </si>
  <si>
    <t>Marcador TRABI para Pizarra Blanca Plus 450 Negro xu.</t>
  </si>
  <si>
    <t>Marcador TRABI para Pizarra Blanca Plus 450 Naranja xu.</t>
  </si>
  <si>
    <t>Marcador TRABI para Pizarra Blanca Plus 450 Rojo xu.</t>
  </si>
  <si>
    <t>Marcador TRABI para Pizarra Blanca Plus 450 Rosa xu.</t>
  </si>
  <si>
    <t>Marcador TRABI para Pizarra Blanca Plus 450 Verde xu.</t>
  </si>
  <si>
    <t>MARC.TRABI P/PIZ.BCA.PLUS 450xu.VDE.MZNA.(12-288)</t>
  </si>
  <si>
    <t>Marcador TRABI para Pizarra Blanca Plus 450 Violeta xu.</t>
  </si>
  <si>
    <t>Marcador TRABI para Pizarra con Borrador 150 Naranja xu.</t>
  </si>
  <si>
    <t>Marcador TRABI Permanente 410 Punta Biselada Azul xu.</t>
  </si>
  <si>
    <t>Marcador TRABI Permanente 410 Punta Biselada Negro xu.</t>
  </si>
  <si>
    <t>Marcador TRABI Permanente 410 Punta Biselada Rojo xu.</t>
  </si>
  <si>
    <t>Marcador TRABI Permanente 410 Punta Biselada Verde xu.</t>
  </si>
  <si>
    <t>Marcador Trabi Permanente 410 Punta Biselada x10 Colores</t>
  </si>
  <si>
    <t>Marcador TRABI Permanente 411 Punta Redonda Azul xu.</t>
  </si>
  <si>
    <t>Marcador TRABI Permanente 411 Punta Redonda Negro xu.</t>
  </si>
  <si>
    <t>Marcador TRABI Permanente 411 Punta Redonda Rojo xu.</t>
  </si>
  <si>
    <t>Marcador TRABI Permanente 411 Punta Redonda Verde xu.</t>
  </si>
  <si>
    <t>Marcadores Trabi Permanente 411 Punta Redonda x10 Colores</t>
  </si>
  <si>
    <t>Marcador TRABI Permanente para Cd, Vidrio, Etc. Azul xu.</t>
  </si>
  <si>
    <t>Marcador TRABI Permanente para Cd, Vidrio, Etc. Rojo xu.</t>
  </si>
  <si>
    <t>Marcador TRABI Permanente para Cd, Vidrio, Etc. Rosa xu.</t>
  </si>
  <si>
    <t>Marcador TRABI Permanente para Cd, Vidrio, Etc. Verde xu.</t>
  </si>
  <si>
    <t>Marcador TRABI Permanente para Cd, Vidrio, Etc. Negro xu.</t>
  </si>
  <si>
    <t>Marcador TRABI permanente para Cd,Vidrio,Etc.Violeta xu.</t>
  </si>
  <si>
    <t>Marcador TRABI Pincel Fluo Surtido x6u.</t>
  </si>
  <si>
    <t>Marcador TRABI Pincel Surtido x6u.</t>
  </si>
  <si>
    <t>Marcadores Lavables TRABI x10u.</t>
  </si>
  <si>
    <t>Marcadores Lavables TRABI x6u.</t>
  </si>
  <si>
    <t>Marcadores TRABI Pinturon Fluo x6u.</t>
  </si>
  <si>
    <t>Valija TRABI x30u. Surtido Con Libro</t>
  </si>
  <si>
    <t>Marcador TRATTO Permanente INK Negro xu.</t>
  </si>
  <si>
    <t>Marcador WET ERASE 2/4mm. Para Pizarra Amarillo</t>
  </si>
  <si>
    <t>Marcador WET ERASE 2/4mm. Para Pizarra Naranja</t>
  </si>
  <si>
    <t>Marcador WET ERASE 2/4mm. Para Pizarra Rojo</t>
  </si>
  <si>
    <t>Marcadores FABER Winner Brush Estuche x10u.</t>
  </si>
  <si>
    <t>Marcadores FABER Winner Brush Negro xu.</t>
  </si>
  <si>
    <t>Marcadores FABER Winner Brush Rojo xu.</t>
  </si>
  <si>
    <t>Marcadores FABER Winner Brush Verde xu.</t>
  </si>
  <si>
    <t>Marcador SAKURA Azul Al Agua 120 xu.</t>
  </si>
  <si>
    <t>Marcador SAKURA Negro Al Agua 120 xu.</t>
  </si>
  <si>
    <t>Marcador SAKURA Rojo Al Agua 120 xu.</t>
  </si>
  <si>
    <t>Marcador SAKURA Verde Al Agua 120 xu.</t>
  </si>
  <si>
    <t>Rotuladores Magicos COLOR'PEPS x10u.</t>
  </si>
  <si>
    <t>Rotuladores Monster COLOR'PEPS x12u.</t>
  </si>
  <si>
    <t>Rotuladores COLOR'PEPS Jumbo Brush Estuche x5u.</t>
  </si>
  <si>
    <t>Rotuladores COLOR'PEPS Ocean Pulse con Funda x24u.</t>
  </si>
  <si>
    <t>Marcadores EZCO Escolares x10u.</t>
  </si>
  <si>
    <t>Marcadores EZCO Escolares x6u.</t>
  </si>
  <si>
    <t>Marcadores MAPED Classic Pastel Display</t>
  </si>
  <si>
    <t>Marcadores MAPED Mini Cute Ass Display</t>
  </si>
  <si>
    <t>Marcadores EZCO Triangulares x12u. Neón + Pastel</t>
  </si>
  <si>
    <t>Marcadores Triangulares EZCO x12u.</t>
  </si>
  <si>
    <t>Marcadores Triangulares EZCO x24u.</t>
  </si>
  <si>
    <t>Pintita CRAYOLA Largo Estuche x100u.</t>
  </si>
  <si>
    <t>Pintita CRAYOLA Silly Scents X12U.</t>
  </si>
  <si>
    <t>Pintita CRAYOLA Twistables x12u.</t>
  </si>
  <si>
    <t>Pintita CRAYOLA Watercolor x12u.</t>
  </si>
  <si>
    <t>Pinturitas GIOTTO Stilnovo + Sacapunta + Grafito x 12u.</t>
  </si>
  <si>
    <t>Plumones COLOR'PEPS Bi-Punta Duo x10u.</t>
  </si>
  <si>
    <t>Punteras PIZZINI 0.05 Negro</t>
  </si>
  <si>
    <t>Punteras PIZZINI 01 Negro</t>
  </si>
  <si>
    <t>Punteras PIZZINI 02 Negro</t>
  </si>
  <si>
    <t>Punteras PIZZINI 03 Negro</t>
  </si>
  <si>
    <t>Punteras PIZZINI 04 Negro</t>
  </si>
  <si>
    <t>Punteras PIZZINI 05 Negro</t>
  </si>
  <si>
    <t>Punteras PIZZINI 06 Negro</t>
  </si>
  <si>
    <t>Punteras PIZZINI 07 Negro</t>
  </si>
  <si>
    <t>Punteras PIZZINI 08 Negro</t>
  </si>
  <si>
    <t>Punteras PIZZINI 1.0 Negro</t>
  </si>
  <si>
    <t>Resaltador TRABI Pastel Surtido x 4u.</t>
  </si>
  <si>
    <t>Resaltador FILGO Text Marker Flúo Estuche x4u.</t>
  </si>
  <si>
    <t>Marcador SKETCH MARKER Triangular Doble Punta Box x12u.</t>
  </si>
  <si>
    <t>Marcador SKETCH MARKER Triangular Doble Punta Box x24u.</t>
  </si>
  <si>
    <t>Tinta para Marcador de Pizarra EDDING BT/T30 Azul</t>
  </si>
  <si>
    <t>Tinta para Marcador de Pizarra EDDING BT30 Verde</t>
  </si>
  <si>
    <t>Tinta para Marcador EDDING T25 Permanente Negro</t>
  </si>
  <si>
    <t>Tinta para Marcador PELIKAN al Agua Verde</t>
  </si>
  <si>
    <t>Tinta para Marcador PELIKAN al Solvente Azul</t>
  </si>
  <si>
    <t>Tinta para Marcador PELIKAN al Solvente Negro</t>
  </si>
  <si>
    <t>Tinta para Marcador PELIKAN al Solvente Rojo</t>
  </si>
  <si>
    <t>Tinta para Marcador de Pizarra PELIKAN Negro</t>
  </si>
  <si>
    <t>Tinta para Marcador de Pizarra PELIKAN Rojo</t>
  </si>
  <si>
    <t>Valija Soho Box x20u.</t>
  </si>
  <si>
    <t>Valija TRABI Coloring Kit xu.</t>
  </si>
  <si>
    <t xml:space="preserve">MICROFIBRAS </t>
  </si>
  <si>
    <t>Estuche Microfibra MAPED Graph Mania x10u.</t>
  </si>
  <si>
    <t>Estuche Microfibra MAPED Graph Peps x10u.</t>
  </si>
  <si>
    <t>Estuche Microfibra MAPED Ocean Color'Peps x10u.</t>
  </si>
  <si>
    <t>Microfibra BIC Intensity Pastel 0.4mmx5u.Surtido</t>
  </si>
  <si>
    <t>Microfibra FILGO Drawing Pen 0.1mm Negro xu.</t>
  </si>
  <si>
    <t>Microfibra FILGO Drawing Pen 0.5mm Negro xu.</t>
  </si>
  <si>
    <t>Microfibra FILGO Drawing Pen 1mm Negro xu.</t>
  </si>
  <si>
    <t>Microfibra FILGO Drawing Pen Surtido Estuche x4u.</t>
  </si>
  <si>
    <t>Microfibra FILGO Liner 038 Amarillo xu.</t>
  </si>
  <si>
    <t>Microfibra FILGO Liner 038 Azul xu.</t>
  </si>
  <si>
    <t>Microfibra FILGO Liner 038 Bordeux xu.</t>
  </si>
  <si>
    <t>Microfibra FILGO Liner 038 Celeste xu.</t>
  </si>
  <si>
    <t>Microfibra FILGO Liner 038 Cyan xu.</t>
  </si>
  <si>
    <t>Microfibra FILGO Liner 038 Fluo Estuche x5u.</t>
  </si>
  <si>
    <t>Microfibra FILGO Liner 038 Fucsia xu.</t>
  </si>
  <si>
    <t>Microfibra FILGO Liner 038 Gris xu.</t>
  </si>
  <si>
    <t>Microfibra FILGO Liner 038 Marrón xu.</t>
  </si>
  <si>
    <t>Microfibra FILGO Liner 038 Natural xu.</t>
  </si>
  <si>
    <t>Microfibra FILGO Liner 038 Negro xu.</t>
  </si>
  <si>
    <t>Microfibra FILGO Liner 038 Naranja xu.</t>
  </si>
  <si>
    <t>Microfibra FILGO Line 038 Pastel Surt.x6u.</t>
  </si>
  <si>
    <t>Microfibra FILGO Liner 038 Rojo xu.</t>
  </si>
  <si>
    <t>Microfibra FILGO Liner 038 Rosa Claro xu.</t>
  </si>
  <si>
    <t>Microfibra FILGO Liner 038 Rosa xu.</t>
  </si>
  <si>
    <t>Microfibra FILGO Liner 038 Surtido x10u.</t>
  </si>
  <si>
    <t>Microfibra FILGO Liner 038 Surtido x20u.</t>
  </si>
  <si>
    <t>Microfibra FILGO Liner 038 Surtido x4u.</t>
  </si>
  <si>
    <t>Microfibra FILGO Liner 038 Turquesa xu.</t>
  </si>
  <si>
    <t>Microfibra FILGO Liner 038 Verde Agua xu.</t>
  </si>
  <si>
    <t>Microfibra FILGO Liner 038 Verde Claro xu.</t>
  </si>
  <si>
    <t>Microfibra FILGO Liner 038 Verde Oliva xu.</t>
  </si>
  <si>
    <t>Microfibra FILGO Liner 038 Verde Oscuro xu.</t>
  </si>
  <si>
    <t>Microfibra FILGO Liner 038 Violeta xu.</t>
  </si>
  <si>
    <t>Microfibra MICRO King 300UF al Agua Gris</t>
  </si>
  <si>
    <t>Microfibra MICRO King 300UF al Agua Amarillo</t>
  </si>
  <si>
    <t>Microfibra MICRO King 300UF/SKETCH al Agua Azul</t>
  </si>
  <si>
    <t>Microfibra MICRO King 300UF/Sketch al Agua Rosa</t>
  </si>
  <si>
    <t>Microfibra MICRO King 300UF/Sketch al Agua Naranja</t>
  </si>
  <si>
    <t>Microfibra MAPED Graph Peps Duo x5u. (10 Colores)</t>
  </si>
  <si>
    <t>Microfibra MAPED Graph Peps x60u.</t>
  </si>
  <si>
    <t>Microfibra MICRO King 300UF Estuche x5u.</t>
  </si>
  <si>
    <t>Microfibra TRABI Permanente para Cd, Vidrio, Etc. Azul xu.</t>
  </si>
  <si>
    <t>Microfibra TRABI Permanente para Cd, Vidrio, Etc. Negro xu.</t>
  </si>
  <si>
    <t>Microfibra TRABI Permanente para Cd, Vidrio, Etc. Naranja xu.</t>
  </si>
  <si>
    <t>Microfibra TRABI Permanente para Cd, Vidrio, Etc. Rojo xu.</t>
  </si>
  <si>
    <t>Microfibra TRABI Permanente para Cd, Vidrio, Etc. Verde xu.</t>
  </si>
  <si>
    <t>Microfibra TRATTO Permanente para Cd Azul xu.</t>
  </si>
  <si>
    <t>Microfibra TRATTO Permanente para Cd Rojo xu.</t>
  </si>
  <si>
    <t>Microfibra TRATTO Permanente para Cd Verde xu.</t>
  </si>
  <si>
    <t>Microfibra EDDING al Agua 39 Amarillo</t>
  </si>
  <si>
    <t>Microfibra EDDING al Agua 39 Celeste</t>
  </si>
  <si>
    <t>Microfibra EDDING al Agua 39 Marrón</t>
  </si>
  <si>
    <t>Microfibra EDDING al Agua 39 Naranja</t>
  </si>
  <si>
    <t>Microfibra EDDING al Agua 39 Rosa</t>
  </si>
  <si>
    <t>Microfibra EDDING al Agua 39 Verde</t>
  </si>
  <si>
    <t>Microfibra EDDING al Agua 39 Violeta</t>
  </si>
  <si>
    <t>Microfibras FILGO 037 BroadLiner 0.8 Surtido Estuche x10u.</t>
  </si>
  <si>
    <t>Microfibra MARGI Permanente 200 UF Azul</t>
  </si>
  <si>
    <t>Microfibra MARGI Permanente 200 UF Verde</t>
  </si>
  <si>
    <t>Microfibra SHARPIE Pen Ultrafina Negro xu.</t>
  </si>
  <si>
    <t>Microfibra SHARPIE Pen Ultrafina Azul xu.</t>
  </si>
  <si>
    <t>Microfibra SHARPIE Pen Ultrafina Rojo xu.</t>
  </si>
  <si>
    <t>Microfibra SIPA Permanente SF05 Azul</t>
  </si>
  <si>
    <t>Microfibra SIPA Permanente SF05 Rojo</t>
  </si>
  <si>
    <t>Microfibra STABILO Point 88 Estuche 15+5 Neon</t>
  </si>
  <si>
    <t>Microfibra STABILO Point 88 Azul Hielo</t>
  </si>
  <si>
    <t>Microfibra STABILO Point 88 Verde Hielo</t>
  </si>
  <si>
    <t>Microfibra STABILO Point 88 Esmeralda</t>
  </si>
  <si>
    <t>Microfibra STABILO Point 88 Heliotropo</t>
  </si>
  <si>
    <t>Microfibra STABILO Point 88 Amarillo Limón</t>
  </si>
  <si>
    <t>Microfibra STABILO Point 88 Damasco</t>
  </si>
  <si>
    <t>Microfibra STABILO Point 88 Carne Oscuro</t>
  </si>
  <si>
    <t>Microfibra STABILO Point 88 Bermellón Pálido</t>
  </si>
  <si>
    <t>Microfibra STABILO Point 88 Ultramar</t>
  </si>
  <si>
    <t>Microfibra STABILO Point 88 Verde Claro</t>
  </si>
  <si>
    <t>Microfibra STABILO Point 88 Verde</t>
  </si>
  <si>
    <t>Microfibra STABILO Point 88 Amarillo</t>
  </si>
  <si>
    <t>Microfibra STABILO Point 88 Marrón</t>
  </si>
  <si>
    <t>Microfibra STABILO Point 88 Negro</t>
  </si>
  <si>
    <t>Microfibra STABILO Point 88 Azul Turquesa</t>
  </si>
  <si>
    <t>Microfibra STABILO Point 88 Verde Pino</t>
  </si>
  <si>
    <t>Microfibra STABILO Point 88 Naranja</t>
  </si>
  <si>
    <t>Microfibra STABILO Point 88 Violeta</t>
  </si>
  <si>
    <t>Microfibra STABILO Point 88 Lila</t>
  </si>
  <si>
    <t>Microfibras EZCO Surtido x10u. x0.4mm.</t>
  </si>
  <si>
    <t>Microfibras EZCO Surtido x5u.</t>
  </si>
  <si>
    <t>Roller MOOVING Silky Pastel Surtido x5u.</t>
  </si>
  <si>
    <t xml:space="preserve">RESALTADORES </t>
  </si>
  <si>
    <t>Resaltador CRAYOLA Erasable xu.</t>
  </si>
  <si>
    <t>Resaltador CRAYÓN SIPA Chato Celeste xu.</t>
  </si>
  <si>
    <t>Resaltador FABER-CASTELL T46 Amarillo</t>
  </si>
  <si>
    <t>Resaltador FABER-CASTELL T46 Celeste</t>
  </si>
  <si>
    <t>Resaltador FABER-CASTELL T46 Naranja</t>
  </si>
  <si>
    <t>Resaltador FABER Pastel Azul Ultramarino</t>
  </si>
  <si>
    <t>Resaltador FABER Textliner 46 Pastel Celeste</t>
  </si>
  <si>
    <t>Resaltador FABER Textliner 46 Pastel Durazno</t>
  </si>
  <si>
    <t>Resaltador FABER Textliner 46 Pastel Lila</t>
  </si>
  <si>
    <t>Resaltador FABER Textliner 46 Pastel Rosa</t>
  </si>
  <si>
    <t>Resaltador FABER Textliner 46 Pastel Turquesa</t>
  </si>
  <si>
    <t>Resaltador Faber T46 Pastel Vainilla xu.</t>
  </si>
  <si>
    <t>Resaltador FABER T46 Pastel Verde Agua</t>
  </si>
  <si>
    <t>Resaltador FABER-CASTELL T46 Rosa</t>
  </si>
  <si>
    <t>Resaltador FABER-CASTELL T46 Verde</t>
  </si>
  <si>
    <t>Resaltador FABER-CASTELL T49 Amarillo</t>
  </si>
  <si>
    <t>Resaltador FABER-CASTELL T49 Celeste</t>
  </si>
  <si>
    <t>Resaltador FABER-CASTELL T49 Naranja</t>
  </si>
  <si>
    <t>Resaltador FABER-CASTELL T49 Rosa</t>
  </si>
  <si>
    <t>Resaltador FABER-CASTELL T49 Verde</t>
  </si>
  <si>
    <t>Resaltador LIGHTER Fine Amarillo Fluo xu.</t>
  </si>
  <si>
    <t>Resaltador LIGHTER Fine Amarillo Pastel xu.</t>
  </si>
  <si>
    <t>Resaltador LIGHTER Fine Beige Retro Pastel xu.</t>
  </si>
  <si>
    <t>Resaltador LIGHTER Fine Celeste Cielo Pastel xu.</t>
  </si>
  <si>
    <t>Resaltador LIGHTER Fine Azul Fluo xu.</t>
  </si>
  <si>
    <t>Resaltador LIGHTER Fine Celeste Pastel xu.</t>
  </si>
  <si>
    <t>Resaltador LIGHTER Fine Gris Retro Pastel xu.</t>
  </si>
  <si>
    <t>Resaltador FILGO Lighter Fine Lila</t>
  </si>
  <si>
    <t>Resaltador LIGHTER Fine Lima Retro Pastel xu.</t>
  </si>
  <si>
    <t>Resaltador FILGO Lighter Fine Natural</t>
  </si>
  <si>
    <t>Resaltador LIGHTER Fine Naranja Fluo xu.</t>
  </si>
  <si>
    <t>Resaltador LIGHTER Fine Naranja Pastel xu.</t>
  </si>
  <si>
    <t>Resaltador LIGHTER Fine Rosa Fluo xu.</t>
  </si>
  <si>
    <t>Resaltador LIGHTER Fine Rosa Pastel xu.</t>
  </si>
  <si>
    <t>Resaltador LIGHTER Fine Surtido Pastel Display x6u.</t>
  </si>
  <si>
    <t>Resaltador LIGHTER Fine Verde Fluo xu.</t>
  </si>
  <si>
    <t>Resaltador LIGHTER Fine Verde Pastel xu.</t>
  </si>
  <si>
    <t>Resaltador LIGHTER Fine Verde Soft xu.</t>
  </si>
  <si>
    <t>Resaltador LIGHTER Fine Violeta Pastel xu.</t>
  </si>
  <si>
    <t>Resaltador GIOTTO Emphasis Amarillo xu.</t>
  </si>
  <si>
    <t>Resaltadores MAPED Flúo Amarillo</t>
  </si>
  <si>
    <t>Resaltadores MAPED Flúo Naranja</t>
  </si>
  <si>
    <t>Resaltadores MAPED Flúo Verde</t>
  </si>
  <si>
    <t>Resaltador FILGO Multilighter Doble Candy Estuche x4u.</t>
  </si>
  <si>
    <t>Resaltador FILGO Multilighter Doble Essential Estuche x4u.</t>
  </si>
  <si>
    <t>Resaltador FILGO Multilighter Doble Fun Estuche x20u.</t>
  </si>
  <si>
    <t>Resaltador FILGO Multilighter Doble Galaxy Estuche x4u.</t>
  </si>
  <si>
    <t>Resaltador FILGO Multilighter Doble Pastel Estuche x10u.</t>
  </si>
  <si>
    <t>Resaltador FILGO Multilighter Doble Punta Fluo Estuche x4u.</t>
  </si>
  <si>
    <t>Resaltador FILGO Multilighter Doble Surtido Estuche x48u.</t>
  </si>
  <si>
    <t>Resaltador FLASH Pastel Aqua xu.</t>
  </si>
  <si>
    <t>Resaltador FLASH Pastel Durazno xu.</t>
  </si>
  <si>
    <t>Resaltador FLASH Pastel LAVANDA xu.</t>
  </si>
  <si>
    <t>Resaltador FLASH Pastel Menta xu.</t>
  </si>
  <si>
    <t>Resaltador FLASH Rosa xu.</t>
  </si>
  <si>
    <t>Resaltador SAKURA Amarillo Pastel</t>
  </si>
  <si>
    <t>Resaltador SAKURA Naranja Pastel</t>
  </si>
  <si>
    <t>Resaltador SAKURA Rosa Pastel</t>
  </si>
  <si>
    <t>Resaltador SAKURA Verde Pastel</t>
  </si>
  <si>
    <t>Resaltador SAKURA Ten Verde</t>
  </si>
  <si>
    <t>Resaltador SAKURA Video Amarillo</t>
  </si>
  <si>
    <t>Resaltador SAKURA Video Naranja</t>
  </si>
  <si>
    <t>Resaltador SAKURA Video Rosa</t>
  </si>
  <si>
    <t>Resaltador SAKURA Video Verde</t>
  </si>
  <si>
    <t>Resaltador SIMBALL Pastel Estuche Surtido x6u.</t>
  </si>
  <si>
    <t>Resaltador SIMBALL Pastel Celeste xu.</t>
  </si>
  <si>
    <t>Resaltador SIMBALL Pastel Gris xu.</t>
  </si>
  <si>
    <t>Resaltador SIMBALL Pastel Lila xu.</t>
  </si>
  <si>
    <t>Resaltador SIMBALL Pastel Rosa xu.</t>
  </si>
  <si>
    <t>Resaltador STABILO Pastel Menta</t>
  </si>
  <si>
    <t>Resaltador STABILO Pastel Rosa</t>
  </si>
  <si>
    <t>Resaltador TRABI Fluo 425 x6u.</t>
  </si>
  <si>
    <t>Resaltador TRABI High Texter Surtido x 4u.</t>
  </si>
  <si>
    <t>Resaltador TRABI High Texter Surtido x 8u.</t>
  </si>
  <si>
    <t>Resaltadores TRABI Pastel x 20u. Surtidos</t>
  </si>
  <si>
    <t>Resaltador TRABI Pastel Amarillo xu.</t>
  </si>
  <si>
    <t>Resaltador TRABI Pastel Celeste xu.</t>
  </si>
  <si>
    <t>Resaltador TRABI Pastel xu.Coral (10)</t>
  </si>
  <si>
    <t>Resaltador TRABI Pastel Gris xu.</t>
  </si>
  <si>
    <t>Resaltador TRABI Pastel Naranja xu.</t>
  </si>
  <si>
    <t>Resaltador TRABI Pastel Rosa xu.</t>
  </si>
  <si>
    <t>Resaltador TRABI Pastel Turquesa xu.</t>
  </si>
  <si>
    <t>Resaltador TRABI Pastelxu.Verde</t>
  </si>
  <si>
    <t>Resaltador TRABI Pastel Verde Limon xu.</t>
  </si>
  <si>
    <t>Resaltador TRABI Pastel Violeta xu.</t>
  </si>
  <si>
    <t>Resaltador TRABI Texting Pastel Surtido x10u.(12)</t>
  </si>
  <si>
    <t>Resaltador TRABI Texting Pastel Surtido x6u.</t>
  </si>
  <si>
    <t>Resaltador TRATTO Fino Celeste</t>
  </si>
  <si>
    <t>Resaltador TRATTO Fino Rosa</t>
  </si>
  <si>
    <t>Resaltador TRATTO Video Amarillo xu.</t>
  </si>
  <si>
    <t>Resaltador TRATTO Video Celeste xu.</t>
  </si>
  <si>
    <t>Resaltador TRATTO Video Lila xu.</t>
  </si>
  <si>
    <t>Resaltador TRATTO Video Naranja xu.</t>
  </si>
  <si>
    <t>Resaltador TRATTO Video Pastel Mandarina xu.</t>
  </si>
  <si>
    <t>Resaltador TRATTO Video Rosa xu.</t>
  </si>
  <si>
    <t>Resaltador TRATTO Video Verde xu.</t>
  </si>
  <si>
    <t>Resaltador FABER Textliner 46 Metalico Oro x10u.</t>
  </si>
  <si>
    <t>Resaltador FABER Textliner 46 Metalico Plata x10u.</t>
  </si>
  <si>
    <t>Resaltador FABER Textliner 46 Metalico Rosa x10u.</t>
  </si>
  <si>
    <t>Resaltador FABER Textliner 46 Metalico Rubíes x10u.</t>
  </si>
  <si>
    <t>Resaltador FILGO Lighter Fine Flúo Estuche x36u.</t>
  </si>
  <si>
    <t>Resaltador FILGO Lighter Fine Flúo Estuche x4u.</t>
  </si>
  <si>
    <t>Resaltador FILGO Lighter Fine Pastel Estuche x4u.</t>
  </si>
  <si>
    <t>Resaltador FILGO Lighter Fun Estuche x12u.</t>
  </si>
  <si>
    <t>Resaltador FILGO Lighter Fun Estuche x24u.</t>
  </si>
  <si>
    <t>Resaltador FILGO Text Marker Essential Estuche x4u.</t>
  </si>
  <si>
    <t>Resaltador FILGO Text Marker Pastel Galaxy Estuche x4u.</t>
  </si>
  <si>
    <t>Resaltador TEXT MARKER Pastel Amarillo</t>
  </si>
  <si>
    <t>Resaltador FILGO TEXT MARKER Pastel Beige Retro</t>
  </si>
  <si>
    <t>Resaltador TEXT MARKER Pastel Celeste Cielo</t>
  </si>
  <si>
    <t>Resaltador TEXT MARKER Pastel Celeste</t>
  </si>
  <si>
    <t>Resaltador TEXT MARKER Pastel Gris</t>
  </si>
  <si>
    <t>Resaltador FILGO TEXT MARKER Pastel Lima Retro</t>
  </si>
  <si>
    <t>Resaltador FILGO TEXT MARKER Pastel Naranja</t>
  </si>
  <si>
    <t>Resaltador TEXT MARKER Pastel Rosa</t>
  </si>
  <si>
    <t>Resaltador TEXT MARKER Pastel Verde</t>
  </si>
  <si>
    <t>Resaltador TEXT MARKER Pastel Violeta</t>
  </si>
  <si>
    <t>Resaltador TRABI High Texter Celeste x10u.</t>
  </si>
  <si>
    <t>Resaltador TRABI High Texter Rojo x10u.</t>
  </si>
  <si>
    <t>Resaltadores X-FLOW Punta Biselada Color Amarillo xu.</t>
  </si>
  <si>
    <t>Resaltadores X-FLOW Punta Biselada Color Naranja xu.</t>
  </si>
  <si>
    <t>Resaltadores SHARPIE S-Note x24u.</t>
  </si>
  <si>
    <t xml:space="preserve">SACAPUNTAS, TIJERAS Y ART. DE CORTE </t>
  </si>
  <si>
    <t>Base de Goma para Corte 23 x 19cm.</t>
  </si>
  <si>
    <t>Base de Goma para Corte Rafer A4 30x22cm.</t>
  </si>
  <si>
    <t>Base de Goma para Corte RAFER A3</t>
  </si>
  <si>
    <t>Cuchilla para Guillotina MAPED xu.</t>
  </si>
  <si>
    <t>Cutter HOBBY Chico xu.</t>
  </si>
  <si>
    <t>Cutter HOBBY Grande xu.</t>
  </si>
  <si>
    <t>Cutter MARTIZ Metálico 18mm. xu.</t>
  </si>
  <si>
    <t>Trincheta LIBESA Cuerpo De PVC con Traba de Seguridad Con Grip De Goma x18mm.</t>
  </si>
  <si>
    <t>Trincheta LIBESA Cuerpo De PVC con Traba de Seguridad Con Grip De Goma x9mm.</t>
  </si>
  <si>
    <t>Cutter MAPED Plastico x18mm.</t>
  </si>
  <si>
    <t>Cutter MAPED Plastico x9mm.</t>
  </si>
  <si>
    <t>Cutter ZENOA x18mm.</t>
  </si>
  <si>
    <t>Cutter MARTIZ Metálico 9mm. xu.</t>
  </si>
  <si>
    <t>Cutter ONIX Plástico x18mm.</t>
  </si>
  <si>
    <t>Guillotina MAPED A4 Universal con Palanca G3208</t>
  </si>
  <si>
    <t>Regla MAPED Twist´n Pulse x15cm.</t>
  </si>
  <si>
    <t>Repuesto De Trincheta Grande x18mm. x10u.</t>
  </si>
  <si>
    <t>Repuesto Cutter Chico x9mm. x10u.</t>
  </si>
  <si>
    <t>Sacapuntas MAPED Boogy con Depósito xu.</t>
  </si>
  <si>
    <t>Sacapuntas MAPED Boogy x3u.</t>
  </si>
  <si>
    <t>Sacapuntas MAPED Boogy x75u.</t>
  </si>
  <si>
    <t>Sacapuntas MAPED Boogy 2 Filos x2u.</t>
  </si>
  <si>
    <t>Sacapuntas MAPED Bulbo</t>
  </si>
  <si>
    <t>Sacapunta Maped Clean xu.</t>
  </si>
  <si>
    <t>Sacapunta MAPED Color'peps 2 Orificios xu.</t>
  </si>
  <si>
    <t>Sacapuntas MAPED Croc-Croc Pote xu.</t>
  </si>
  <si>
    <t>Sacapuntas MAPED Croc-Croc Sapito Pote xu.</t>
  </si>
  <si>
    <t>Sacapuntas MAPED Elements xu.</t>
  </si>
  <si>
    <t>Sacapuntas MAPED I-gloo 2 Filos xu.</t>
  </si>
  <si>
    <t>Sacapuntas MAPED I-gloo xu.</t>
  </si>
  <si>
    <t>Sacapuntas MAPED Metal x20u.</t>
  </si>
  <si>
    <t>Sacapuntas MAPED Satélite xu.</t>
  </si>
  <si>
    <t>Sacapuntas MAPED Boogy Blister</t>
  </si>
  <si>
    <t>Sacapuntas MAPED Metal Design 1 Orificio</t>
  </si>
  <si>
    <t>Sacapuntas MAPED Metal Design 2 Orificios</t>
  </si>
  <si>
    <t>Sacapuntas MAPED Satélite Color Plata xu.</t>
  </si>
  <si>
    <t>Sacapuntas MAPED Vivo Monster xu.</t>
  </si>
  <si>
    <t>Sacapuntas MAPED Vivo Pastel xu.</t>
  </si>
  <si>
    <t>Tijera EZCO Eterna x17cm.</t>
  </si>
  <si>
    <t>Tijera EZCO Escolar Basic x10cm.</t>
  </si>
  <si>
    <t>Tijera IBICO Artistica IBI-CRAFT xu.N°08</t>
  </si>
  <si>
    <t>Tijera con Forma Zig-Zag x16.5cm.</t>
  </si>
  <si>
    <t>Tijera IBICO Escolar Punta Redonda 13cmxu.(24)</t>
  </si>
  <si>
    <t>Tijera IBICO Formas Ibi-Craft Surtidas xu. (12-240)</t>
  </si>
  <si>
    <t>Tijera EZCO Innova x18cm.</t>
  </si>
  <si>
    <t>Tijera MAPED Crea Cut x1 Corte</t>
  </si>
  <si>
    <t>Tijera MAPED Reflex 3D x13cm.</t>
  </si>
  <si>
    <t>Tijera MAPED Essentials Color x21cm.</t>
  </si>
  <si>
    <t>Tijera MAPED Eco Essentials x17cm. Azul</t>
  </si>
  <si>
    <t>Tijera MAPED Essentials Soft 13cm.</t>
  </si>
  <si>
    <t>Tijera MAPED Essentials para Zurdos 13cm.</t>
  </si>
  <si>
    <t>Tijera MAPED Essentials x17cm.</t>
  </si>
  <si>
    <t>Tijera MAPED Essentials x21cm.</t>
  </si>
  <si>
    <t>Tijera MAPED Kidcut Security x12cm.</t>
  </si>
  <si>
    <t>Tijera MAPED Koopy (osito) x13cm.</t>
  </si>
  <si>
    <t>Tijera MAPED Zenoa Fit x13cm.</t>
  </si>
  <si>
    <t>Tijera MAPED Zenoa Fit x15cm.</t>
  </si>
  <si>
    <t>Tijera MAPED Advanced x18cm.</t>
  </si>
  <si>
    <t>Tijera MAPED Advanced x21cm.</t>
  </si>
  <si>
    <t>Tijera PIZZINI Mio Soft Zurdo x12cm.</t>
  </si>
  <si>
    <t>Tijera PIZZINI Mio Soft x12cm.</t>
  </si>
  <si>
    <t>Tijera PIZZINI x15cm.</t>
  </si>
  <si>
    <t>Tijera SIMBALL Confort x18cm.</t>
  </si>
  <si>
    <t xml:space="preserve">STICKERS </t>
  </si>
  <si>
    <t>Stickers Varios</t>
  </si>
  <si>
    <t xml:space="preserve">RESMAS Y FORMULARIOS CONTINUOS </t>
  </si>
  <si>
    <t>Formulario Fiscal HÚSARES Duplicado Color 12 x 24cm.</t>
  </si>
  <si>
    <t>Formulario Contínuo HÚSARES 3125 12 x 25cm.</t>
  </si>
  <si>
    <t>Formulario Contínuo HÚSARES 3128 Pleca 6</t>
  </si>
  <si>
    <t>Resma 4 Colores x100h. x75g.</t>
  </si>
  <si>
    <t>Resma AUTOR A3 x80g.</t>
  </si>
  <si>
    <t>Resma AUTOR A4 x500h. x75g.</t>
  </si>
  <si>
    <t>Resma AUTOR A4 x70g.</t>
  </si>
  <si>
    <t>Resma AUTOR A4 x75g.</t>
  </si>
  <si>
    <t>Resma AUTOR A4 x80g.</t>
  </si>
  <si>
    <t>Resma AUTOR A4 Celeste x80g. x250h.</t>
  </si>
  <si>
    <t>Resma AUTOR A4 Rosa x80g. x250h.</t>
  </si>
  <si>
    <t>Resma AUTOR A4 Verde x80g. x250h.</t>
  </si>
  <si>
    <t>Resma AUTOR Carta x500h. x75g.</t>
  </si>
  <si>
    <t>Resma AUTOR Carta x75g.</t>
  </si>
  <si>
    <t>Resma AUTOR Carta x80g.</t>
  </si>
  <si>
    <t>Resma AUTOR Oficio x75g.</t>
  </si>
  <si>
    <t>Resma AUTOR Oficio x80g.</t>
  </si>
  <si>
    <t>Resma LEDESMA NAT A4 x75g.</t>
  </si>
  <si>
    <t>Resma LUMA A4 Multicolor x100h.</t>
  </si>
  <si>
    <t>Resma LUMA Oficio Multicolor x100h.</t>
  </si>
  <si>
    <t>Resma MEDORO A4x 200g. x 10 Hojas Gris Oscuro</t>
  </si>
  <si>
    <t>Resma MEDORO A4x 200g. x 10 Hojas Maiz</t>
  </si>
  <si>
    <t>Resma MEDORO A4x 200g. x 10 Hojas Naranja</t>
  </si>
  <si>
    <t>Resma MEDORO A4x 200g. x 10 Hojas Violeta</t>
  </si>
  <si>
    <t>Resma MILENIUM A4x 120g. x25 Hojas</t>
  </si>
  <si>
    <t>Resma PUNAX A4 x75g.</t>
  </si>
  <si>
    <t>Resma ROMANI 44 x 32cm. x10h.</t>
  </si>
  <si>
    <t>Resma ROMANI 50 x 35cm. x10h.</t>
  </si>
  <si>
    <t>Resma ROMANI A3 29,7 x 42cm. x10h.</t>
  </si>
  <si>
    <t>Resma VISION 22 x 34cm. x70g.</t>
  </si>
  <si>
    <t xml:space="preserve">CUADERNOS ESPIRALADOS </t>
  </si>
  <si>
    <t>cuaderno LAPRIDA ab7 tradicional 21x27 60h cuadriculado</t>
  </si>
  <si>
    <t>cuaderno LAPRIDA ab7 tradicional 21x27 60h rallado</t>
  </si>
  <si>
    <t>Cuaderno + Caña Tapa Polipropileno Cuadriculado 22 x 29cm. x84h.</t>
  </si>
  <si>
    <t>Cuaderno + Caña Tapa Polipropileno Rayado 22 x 29cm. x84h.</t>
  </si>
  <si>
    <t>Cuaderno ALFA A4 Fantasia con Espiral Rayado x 120 hojas</t>
  </si>
  <si>
    <t>Cuaderno ALFA A5 Fantasia con Espiral Rayado x 120 hojas</t>
  </si>
  <si>
    <t>Cuaderno ALFA A6 Fantasia con Espiral Rayado x 120 hojas</t>
  </si>
  <si>
    <t>Cuaderno ALFA con Espiral Cuadriculado 16 x 21cm. x42h.</t>
  </si>
  <si>
    <t>Cuaderno ALFA con Espiral Rayado 16 x 21cm. x42h.</t>
  </si>
  <si>
    <t>Cuaderno ALFA con Espiral Cuadriculado 16 x 21cm. x84h.</t>
  </si>
  <si>
    <t>Cuaderno ALFA con Espiral Rayado 16 x 21cm. x84h.</t>
  </si>
  <si>
    <t>Cuaderno AMERICA De Gatitos 21x29,7cm. x80h. Rayado</t>
  </si>
  <si>
    <t>Cuaderno AMERICA Nos 21x29,7cm. x80h. Cuadriculado</t>
  </si>
  <si>
    <t>Cuaderno AMERICA Nos 21x29,7cm. x80h. Rayado</t>
  </si>
  <si>
    <t>Cuaderno ARTE B&amp;W Rayado 16X21cm. x80h.</t>
  </si>
  <si>
    <t>Cuaderno ARTE Bloom Tapa Semi Rígida Rayado Varios Colores 16 x 21cm. x80h.</t>
  </si>
  <si>
    <t>Cuaderno ARTE Bussiness Cuadriculado 16 x 21cm. x120h.</t>
  </si>
  <si>
    <t>Cuaderno ARTE Bussiness Rayado 16 x 21cm. x120h.</t>
  </si>
  <si>
    <t>Cuaderno ARTE Dúo Tapa de Polipropileno Cuadriculado 21 x 29,7cm. x40h.</t>
  </si>
  <si>
    <t>Cuaderno ARTE Dúo Tapa de Polipropileno Rayado Varios Colores 21 x 29,7cm. x80h.</t>
  </si>
  <si>
    <t>Cuaderno ARTE Escocés Rayado 21 x 29,7cm. x80h.</t>
  </si>
  <si>
    <t>Cuaderno ARTE Escocés Cuadriculado 21 x 29,7cm. x80h.</t>
  </si>
  <si>
    <t>Cuaderno ARTE Minimalista Rayado 21 x 29,7cm. x80h.</t>
  </si>
  <si>
    <t>Cuaderno ARTE Nordico Rayado 29x7cm. x120h.</t>
  </si>
  <si>
    <t>Cuaderno ARTE Nordico Cuadriculado 16 x 21cm. x120h.</t>
  </si>
  <si>
    <t>Cuaderno ARTE Signo Tapa de Polipropileno Azul Cuadriculado 21 x 29,7cm. x80h.</t>
  </si>
  <si>
    <t>Cuaderno ARTE Signo Tapa de Polipropileno Rojo Rayado 21 x 29,7cm. x80h.</t>
  </si>
  <si>
    <t>Cuaderno ASAMBLEA Paisajes de Playa Cuadriculado 21 x 29,7cm. x80h. x6u.</t>
  </si>
  <si>
    <t>Cuaderno ASAMBLEA Viajes Cuadriculado 21 x 29,7cm. x80h.</t>
  </si>
  <si>
    <t>Cuaderno ASAMBLEA Paisajes de Playa Rayado 21 x 29,7cm. x80h. x6u.</t>
  </si>
  <si>
    <t>Cuaderno ASAMBLEA Viajes Rayado 21 x 29,7cm. x80h. x6u.</t>
  </si>
  <si>
    <t>Cuaderno Espiralado ASAMBLEA Colors x80h. Cuadriculado</t>
  </si>
  <si>
    <t>Cuaderno Espiralado ASAMBLEA Office x80h. Cuadriculado</t>
  </si>
  <si>
    <t>Cuaderno Espiralado ASAMBLEA Colors x80h. Rayado</t>
  </si>
  <si>
    <t>Cuaderno Espiralado ASAMBLEA Geometrico 3 x80h.</t>
  </si>
  <si>
    <t>Cuaderno Espiralado ASAMBLEA Office x80h. Rayado</t>
  </si>
  <si>
    <t>Cuaderno AVON Cuadriculado 21 x 29,7cm. x84h.</t>
  </si>
  <si>
    <t>Cuaderno AVON Rayado 21 x 29,7cm. x84h.</t>
  </si>
  <si>
    <t>Cuaderno AVON/TRAVEL con Espiral Cuadriculado 16 x 21cm. x46h.</t>
  </si>
  <si>
    <t>Cuaderno AVON con Espiral Rayado 16 x 21cm. x46h.</t>
  </si>
  <si>
    <t>Cuaderno AVON con Espiral Rayado 16 x 21cm. x84h.</t>
  </si>
  <si>
    <t>Cuaderno AVON con Espiral Cuadriculado 16 x 21cm. x84h.</t>
  </si>
  <si>
    <t>Cuaderno CLASSIC Tapa Dura con Espiral Cuadriculado 16 x 21cm. x120h.</t>
  </si>
  <si>
    <t>Cuaderno CLASSIC Metalizado Rayado t/sr 22 x 29cm. x84h</t>
  </si>
  <si>
    <t>Cuaderno CLASSIC Tapa Dura con Espiral Rayado 16 x 21cm. x120h.</t>
  </si>
  <si>
    <t>Cuaderno COLECCIÓN Lunares con Espiral Metalizado Cuadriculado 21 x 27cm. x84h.</t>
  </si>
  <si>
    <t>Cuaderno COLECCIÓN Lunares con Espiral Metalizado Rayado21 x 27cm. x84h.</t>
  </si>
  <si>
    <t>Cuaderno COLECCIÓN Lunares con Espiral Metalizado Liso 21 x 27cm. x84h.</t>
  </si>
  <si>
    <t>Cuaderno A Discos MOOVING LOOP Carta Colors xu.</t>
  </si>
  <si>
    <t>Cuaderno A Discos MOOVING LOOP Carta Harry Potter xu.</t>
  </si>
  <si>
    <t>Cuaderno A Discos MOOVING LOOP Carta Mickey Mouse xu.</t>
  </si>
  <si>
    <t>Cuaderno A Discos MOOVING LOOP Carta Minnie Mouse xu.</t>
  </si>
  <si>
    <t>Cuaderno Espiralado L-DESIGN 22 x 29cm. x80h. Cuadriculado</t>
  </si>
  <si>
    <t>Cuaderno Espiralado L-DESIGN 22 x 29cm. x80h. Rayado</t>
  </si>
  <si>
    <t>Cuaderno Espiralado TRIUNFANTE Lettering A4 x80h. Rayado</t>
  </si>
  <si>
    <t>Cuaderno Espiralado TRIUNFANTE Monocromo A4 x80h. Rayado</t>
  </si>
  <si>
    <t>Cuaderno Espiralado TRIUNFANTE Patterns A4 x80h. Rayado</t>
  </si>
  <si>
    <t>Cuaderno ESSENCIAL Turquesa Cuadriculado 21 x 29,7cm. x84h.</t>
  </si>
  <si>
    <t>Cuaderno ESSENCIAL Turquesa Rayado 21 x 29,7cm. x84h.</t>
  </si>
  <si>
    <t>Cuaderno ESSENCIAL Amarillo Cuadriculado 21 x 29,7cm. x84h.</t>
  </si>
  <si>
    <t>Cuaderno ESSENCIAL Amarillo Rayado 21 x 29,7cm. x84h.</t>
  </si>
  <si>
    <t>Cuaderno ESSENCIAL Cristal Liso 21 x 29,7cm. x84h.</t>
  </si>
  <si>
    <t>Cuaderno ESSENCIAL Rojo Cuadriculado 21 x 29,7cm. x84h.</t>
  </si>
  <si>
    <t>Cuaderno ESSENCIAL Rojo Rayado 21 x 29,7cm. x84h.</t>
  </si>
  <si>
    <t>Cuaderno ESSENCIAL Verde Cuadriculado 21 x 29,7cm. x84h.</t>
  </si>
  <si>
    <t>Cuaderno ESSENCIAL Verde Rayado 21 x 29,7cm. x84h.</t>
  </si>
  <si>
    <t>Cuaderno ESSENCIAL Violeta Cuadriculado 21 x 29,7cm. x84h.</t>
  </si>
  <si>
    <t>Cuaderno ESSENCIAL Violeta Rayado 21 x 29,7cm. x84h.</t>
  </si>
  <si>
    <t>Cuaderno ESSENCIAL Azul Cuadriculado 21 x 29,7cm. x84h.</t>
  </si>
  <si>
    <t>Cuaderno ESSENCIAL Azul Rayado 21 x 29,7cm. x84h.</t>
  </si>
  <si>
    <t>Cuaderno ESSENCIAL Cristal Cuadriculado 21 x 29,7cm. x84h.</t>
  </si>
  <si>
    <t>Cuaderno ESSENCIAL Cristal Rayado 21 x 29,7cm. x84h.</t>
  </si>
  <si>
    <t>Cuaderno ESSENTIAL con Espiral Rayado 16 x 21cm. x120h.</t>
  </si>
  <si>
    <t>Cuaderno EXECUTIVE Tapa de Polipropileno Azul Cuadriculado 22 x 29cm. x84h.</t>
  </si>
  <si>
    <t>Cuaderno EXECUTIVE Ledesma Cuadriculado 21 x 29,7cm. x84h.</t>
  </si>
  <si>
    <t>Cuaderno EXECUTIVE Tapa de Polipropileno Azul Rayado 22 x 29cm. x84h.</t>
  </si>
  <si>
    <t>Cuaderno EXECUTIVE Ledesma Rayado 21 x 29,7cm. x84h.</t>
  </si>
  <si>
    <t>Cuaderno EXECUTIVE Tapa de Polipropileno Bordó Rayado 22 x 29cm. x84h.</t>
  </si>
  <si>
    <t>Cuaderno EXECUTIVE con Espiral Cuadriculado 16 x 21cm. x120h.</t>
  </si>
  <si>
    <t>Cuaderno EXECUTIVE con Espiral Rayado 16 x 21cm. x120h.</t>
  </si>
  <si>
    <t>Cuaderno ÉXITO Lunares Metalizadas con Espiral Rayado 16 x 21cm. x84h.</t>
  </si>
  <si>
    <t>Cuaderno ÉXITO Lunares Metalizadas con Espiral Liso 16 x 21cm. x84h.</t>
  </si>
  <si>
    <t>Cuaderno ÉXITO Lunares Metalizados con Espiral Rayado 22 x 29cm. x84h.</t>
  </si>
  <si>
    <t>Cuaderno ÉXITO Colegial Forrado Azul Rayado 21 x 27cm. x100h.</t>
  </si>
  <si>
    <t>Cuaderno ÉXITO Colegial Forrado Rojo Rayado 21 x 27cm. x100h.</t>
  </si>
  <si>
    <t>Cuaderno ÉXITO Colegial Forrado Verde Rayado 21 x 27cm. x100h.</t>
  </si>
  <si>
    <t>Cuaderno EXITO Colegial Forrado Cuadriculado 21 x 27cm. x60h. Azul</t>
  </si>
  <si>
    <t>Cuaderno EXITO Colegial Forrado Rojo Cuadriculado 21 x 27cm. x60h.</t>
  </si>
  <si>
    <t>Cuaderno EXITO Colegial Forrado Cuadriculado 21x27x60h Verde</t>
  </si>
  <si>
    <t>Cuaderno ÉXITO Colegial Forrado Amarillo Rayado 21 x 27cm. x60h.</t>
  </si>
  <si>
    <t>Cuaderno ÉXITO Colegial Forrado Azul Rayado 21 x 27cm. x60h.</t>
  </si>
  <si>
    <t>Cuaderno ÉXITO Colegial Forrado Lila Rayado 21 x 27cm. x60h.</t>
  </si>
  <si>
    <t>Cuaderno ÉXITO Colegial Forrado Naranja Rayado 21 x 27cm. x60h.</t>
  </si>
  <si>
    <t>Cuaderno ÉXITO Colegial Forrado Rojo Rayado 21 x 27cm. x60h.</t>
  </si>
  <si>
    <t>Cuaderno ÉXITO Colegial Forrado Rosa Rayado 21 x 27cm. x60h.</t>
  </si>
  <si>
    <t>Cuaderno ÉXITO Colegial Forrado Turquesa Rayado 21 x 27cm. x60h.</t>
  </si>
  <si>
    <t>Cuaderno ÉXITO Colegial Forrado Verde Rayado 21 x 27cm. x60h.</t>
  </si>
  <si>
    <t>Cuaderno ÉXITO Colegial Forrado Verde Manzana Rayado 21 x 27cm. x60h.</t>
  </si>
  <si>
    <t>Cuaderno ÉXITO Colegial E7 con Espiral Cuadriculado 22 x 28cm. x60h.</t>
  </si>
  <si>
    <t>Cuaderno ÉXITO Colegial E7 con Espiral Rayado 22 x 28cm. x60h.</t>
  </si>
  <si>
    <t>Cuaderno ÉXITO Colegial Fantasía Rayado 21 x 27cm. x60h.</t>
  </si>
  <si>
    <t>Cuaderno ILLUSION Tapa de Polipropileno Cuadriculado 21 x 29,7cm. x80h.</t>
  </si>
  <si>
    <t>Cuaderno LEDESMA BIO 16x21 Tapa Plastica x120hj.</t>
  </si>
  <si>
    <t>Cuaderno LEDESMA NAT 21x27cm. x80h. Cuadriculadas</t>
  </si>
  <si>
    <t>Cuaderno LEDESMA NAT 21x27cm. x80h. Rayadas</t>
  </si>
  <si>
    <t>Cuaderno LÍNEA Cuadriculado 16 x 29,7cm. x84h.</t>
  </si>
  <si>
    <t>Cuaderno LÍNEA Rayado 16 x 29,7cm. x84h.</t>
  </si>
  <si>
    <t>Cuaderno M.APUNTES Milenaria 21 x 29,7cm.x80h. Cuadriculado</t>
  </si>
  <si>
    <t>Cuaderno LEDESMA NAT con Espiral Cuadriculado 22x29cm. x70h.</t>
  </si>
  <si>
    <t>Cuaderno LEDESMA NAT con Espiral Rayado 22x29cm. x70h.</t>
  </si>
  <si>
    <t>Cuaderno Índice NORTE con Espiral x45h. "Diseños Indistintos"</t>
  </si>
  <si>
    <t>Cuaderno Índice NORTE con Espiral x84h.</t>
  </si>
  <si>
    <t>Cuaderno PPR Pastel Universitario Rayado x50h.</t>
  </si>
  <si>
    <t>Cuaderno PPR Frida Kahlo Universitario Rayado x50h.</t>
  </si>
  <si>
    <t>Cuaderno PPR Avengers Universitario Rayado x50h.</t>
  </si>
  <si>
    <t>Cuaderno PPR Boca Universitario Rayado x50h.</t>
  </si>
  <si>
    <t>Cuaderno PPR Cachorros Universitario Rayado x50h.</t>
  </si>
  <si>
    <t>Cuaderno PPR RIVER Universitario Rayado x50h.</t>
  </si>
  <si>
    <t>Cuaderno PPR StarWars Universitario Rayado x50h.</t>
  </si>
  <si>
    <t>Cuaderno ABC Rivadavia con Espiral Azul Cuadriculado 21 x 27cm. x60h.</t>
  </si>
  <si>
    <t>Cuaderno ABC Rivadavia con Espiral Azul Rayado 21 x 27cm. x60h.</t>
  </si>
  <si>
    <t>Cuaderno ABC Rivadavia con Espiral Rojo Cuadriculado 21 x 27cm. x60h.</t>
  </si>
  <si>
    <t>Cuaderno ABC Rivadavia con Espiral Rojo Rayado 21 x 27cm. x60h.</t>
  </si>
  <si>
    <t>Cuaderno ABC Rivadavia con Espiral Verde Cuadriculado 21 x 27cm. x60h.</t>
  </si>
  <si>
    <t>Cuaderno ABC Rivadavia con Espiral Verde Rayado 21 x 27cm. x60h.</t>
  </si>
  <si>
    <t>Cuaderno ABC Rivadavia con Espira Cuadriculado 21 x 27cm. x100h.</t>
  </si>
  <si>
    <t>Cuaderno ABC Rivadavia con Espira Rayado 21 x 27cm. x100h.</t>
  </si>
  <si>
    <t>Cuaderno ABC Rivadavia con Espiral Cuadriculado 21 x 27cm. x60h.</t>
  </si>
  <si>
    <t>Cuaderno ABC Rivadavia con Espiral Rayado 21 x 27cm. x60h.</t>
  </si>
  <si>
    <t>Cuaderno MIS APUNTES TRAVEL 29,7 150h cuadriculado</t>
  </si>
  <si>
    <t>Cuaderno MIS APUNTES TRAVEL 29,7 150h rayadas</t>
  </si>
  <si>
    <t>Cuaderno TRIUNFANTE A4 con Espiral Cosmopolitas x120h. Rayadas</t>
  </si>
  <si>
    <t>Cuaderno TRIUNFANTE A4 Con Espiral x 120h. Rayadas Fantasía</t>
  </si>
  <si>
    <t>Cuaderno TRIUNFANTE A4 con Espiral Mandalas x120h. Rayadas</t>
  </si>
  <si>
    <t>Cuaderno TRIUNFANTE A4 con Espiral Pop x120h. Rayadas</t>
  </si>
  <si>
    <t>Cuaderno TRIUNFANTE A4 Con Espiral x120h. Rayadas Urbano</t>
  </si>
  <si>
    <t>Cuaderno TRIUNFANTE A4 con Espiral x80h. Rayadas Café</t>
  </si>
  <si>
    <t>Cuaderno TRIUNFANTE A4 con Espiral x80h. Rayadas Rose l</t>
  </si>
  <si>
    <t>Cuaderno TRIUNFANTE A4 con Espiral x80h. Rayadas Rose ll</t>
  </si>
  <si>
    <t>Cuaderno TRIUNFANTE A5 con Espiral x120h. Rayadas Colores Surtidos</t>
  </si>
  <si>
    <t>Cuaderno TRIUNFANTE A5 Con Espiral x 120 Hojas Rayadas Café</t>
  </si>
  <si>
    <t>Cuaderno TRIUNFANTE A5 con Espiral Collage x120h. Rayadas</t>
  </si>
  <si>
    <t>Cuaderno TRIUNFANTE A5 con Espiral Collage x120h. Rayadas Fantasía</t>
  </si>
  <si>
    <t>Cuaderno TRIUNFANTE A5 con Espiral Mandalas x 120h. Rayadas</t>
  </si>
  <si>
    <t>Cuaderno TRIUNFANTE A5 con Espiral Collage x120h. Rayadas Urbano</t>
  </si>
  <si>
    <t>Cuaderno TRIUNFANTE A5 con Espiral Collage x80h. Rayadas Glitter</t>
  </si>
  <si>
    <t>Cuaderno Espiralado TRIUNFANTE Cafe 21x27cm. x60h. Rayado</t>
  </si>
  <si>
    <t>Cuaderno Espiralado TRIUNFANTE Clásico Cuadros Azul A5 x100h. Rayado</t>
  </si>
  <si>
    <t>Cuaderno Espiralado TRIUNFANTE Clásico Cuadros Gris A5 x100h. Rayado</t>
  </si>
  <si>
    <t>Cuaderno Espiralado TRIUNFANTE Clásico Rayas Azul A5 x100h. Rayado</t>
  </si>
  <si>
    <t>Cuaderno Espiralado TRIUNFANTE Clásico Rayas Gris A5 x100h. Rayado</t>
  </si>
  <si>
    <t>Cuaderno Espiralado TRIUNFANTE Collage 21x27cm. x60h. Rayado</t>
  </si>
  <si>
    <t>Cuaderno Espiralado TRIUNFANTE Comic A4 x100h. Rayado</t>
  </si>
  <si>
    <t>Cuaderno Espiralado TRIUNFANTE Crafty A4 x100h. Rayado</t>
  </si>
  <si>
    <t>Cuaderno Espiralado TRIUNFANTE Crafty A5 x100h. Rayado</t>
  </si>
  <si>
    <t>Cuaderno Espiralado TRIUNFANTE Cuadros Rosa A5 x100h. Rayado</t>
  </si>
  <si>
    <t>Cuaderno Espiralado TRIUNFANTE Doodle Super 21x27cm. x100h. Rayado</t>
  </si>
  <si>
    <t>Cuaderno Espiralado TRIUNFANTE Doodle Super 21x27cm. x60h. Cuadriculado</t>
  </si>
  <si>
    <t>Cuaderno Espiralado TRIUNFANTE Fantasia 21x27cm. x60h. Rayado</t>
  </si>
  <si>
    <t>Cuaderno Espiralado TRIUNFANTE Habano Clasico A5 x100h. Rayado</t>
  </si>
  <si>
    <t>Cuaderno Espiralado TRIUNFANTE Habano Rayas A5 x100h. Rayado</t>
  </si>
  <si>
    <t>Cuaderno Espiralado TRIUNFANTE Letras 21x27cm. x100h. Rayado</t>
  </si>
  <si>
    <t>4160540 CUAD.TRIUNFANTE POP 21X27 X60H.= (30)</t>
  </si>
  <si>
    <t>Cuaderno Espiralado TRIUNFANTE Rosa Rayas A5 x100h. Rayado</t>
  </si>
  <si>
    <t>Cuaderno Universitario Licencia Brush con Espiral Rayado x80h.</t>
  </si>
  <si>
    <t>Cuaderno Universitario Licencia Chic con Espiral Cuadriculado x80h.</t>
  </si>
  <si>
    <t>Cuaderno Universitario Licencia Como Quieres... con Espiral Rayado x80h.</t>
  </si>
  <si>
    <t>Cuaderno Universitario Licencia Lucky con Espiral Rayado x80h.</t>
  </si>
  <si>
    <t>Cuaderno ONIX Black &amp; Pink 22x29 T/F 80hj Ray</t>
  </si>
  <si>
    <t>Cuaderno ONIX Boho Chic 22x29 T/F 80hj Ray</t>
  </si>
  <si>
    <t>Cuaderno ONIX Man 2 22X29 T/D 96hj Rayado</t>
  </si>
  <si>
    <t>Cuaderno ONIX Nature 2 22X29 T/D 96hj Rayado</t>
  </si>
  <si>
    <t>Cuaderno ONIX Rainbow 2 22X29 T/F 80hj Ray</t>
  </si>
  <si>
    <t xml:space="preserve">REPUESTOS </t>
  </si>
  <si>
    <t>Repuesto de Hojas 10 Columnas Nº5</t>
  </si>
  <si>
    <t>Repuesto de Hojas 12 Columnas Nº5 TRIUNFANTE x8h.</t>
  </si>
  <si>
    <t>Repuesto de Hojas 2 Columnas Nº3</t>
  </si>
  <si>
    <t>Repuesto de Hojas 4 Columnas Nº3</t>
  </si>
  <si>
    <t>Repuesto de Hojas de Calcar MIL 28 Nº5 x8h.</t>
  </si>
  <si>
    <t>Repuesto de Hojas de Calcar HEMAPEL Nº3 x8h.</t>
  </si>
  <si>
    <t>Repuesto de Hojas de Calcar HEMAPEL Nº5 x8h.</t>
  </si>
  <si>
    <t>Repuesto de Hojas Canson MIL 28 Blanco Nº3</t>
  </si>
  <si>
    <t>Repuesto de Hojas Canson MIL 28 Blanco Nº5</t>
  </si>
  <si>
    <t>Repuesto de Hojas Canson MIL 28 Blanco Nº6</t>
  </si>
  <si>
    <t>Repuesto de Hojas Canson MIL 28 Color Nº3</t>
  </si>
  <si>
    <t>Repuesto de Hojas Canson MIL 28 Color Nº5</t>
  </si>
  <si>
    <t>Repuesto de Hojas Canson MIL 28 Color Nº6</t>
  </si>
  <si>
    <t>Repuesto de Hojas Canson MIL 28 Negro Nº3</t>
  </si>
  <si>
    <t>Repuesto de Hojas Canson MIL 28 Negro Nº5</t>
  </si>
  <si>
    <t>Repuesto de Hojas Canson MIL 28 Negro Nº6</t>
  </si>
  <si>
    <t>Repuesto de Hojas ÉXITO A4 con Banda Cuadriculado x192h.</t>
  </si>
  <si>
    <t>Repuesto de Hojas ÉXITO A4 con Banda Rayado x192h.</t>
  </si>
  <si>
    <t>Repuesto de Hojas ÉXITO A4 con Banda Cuadriculado x48h.</t>
  </si>
  <si>
    <t>Repuesto de Hojas ÉXITO A4 con Banda Rayado x48h.</t>
  </si>
  <si>
    <t>Repuesto EXITO A4 NAT x96h. Rayadas</t>
  </si>
  <si>
    <t>Repuesto de Hojas ÉXITO Nº3 con Banda Cuadriculado x24h.</t>
  </si>
  <si>
    <t>Repuesto de Hojas ÉXITO Nº3 con Banda Rayado x24h.</t>
  </si>
  <si>
    <t>Repuesto de Hojas ÉXITO Nº3 con Banda Cuadriculado x288h.</t>
  </si>
  <si>
    <t>Repuesto de Hojas ÉXITO Nº3 con Banda Cuadriculado x48h.</t>
  </si>
  <si>
    <t>Repuesto de Hojas ÉXITO Nº3 con Banda Rayado x48h.</t>
  </si>
  <si>
    <t>Repuesto de Hojas ÉXITO Nº3 con Banda Cuadriculado x480h.</t>
  </si>
  <si>
    <t>Repuesto de Hojas ÉXITO Nº3 con Banda Rayado x480h.</t>
  </si>
  <si>
    <t>Repuesto de Hojas ÉXITO Nº3 con Banda Cuadriculado x96h.</t>
  </si>
  <si>
    <t>Repuesto de Hojas ÉXITO Nº3 con Banda Rayado x96h.</t>
  </si>
  <si>
    <t>Repuesto EXITO Nº3 NAT x288h. Cuadriculadas</t>
  </si>
  <si>
    <t>Repuesto EXITO Nº3 NAT x288h. Rayadas</t>
  </si>
  <si>
    <t>Repuesto EXITO Nº3 NAT x48h. Cuadriculadas</t>
  </si>
  <si>
    <t>Repuesto EXITO NAT Nº3 x48h. Rayadas</t>
  </si>
  <si>
    <t>Repuesto de Hojas ÉXITO Nº3 Cuadriculado x24h.</t>
  </si>
  <si>
    <t>Repuesto de Hojas ÉXITO Nº3 Cuadriculado x288h.</t>
  </si>
  <si>
    <t>Repuesto de Hojas ÉXITO Nº3 Rayado x288h.</t>
  </si>
  <si>
    <t>Repuesto de Hojas ÉXITO Nº3 Cuadriculado x48h.</t>
  </si>
  <si>
    <t>Repuesto de Hojas ÉXITO Nº3 Rayado x48h.</t>
  </si>
  <si>
    <t>Repuesto de Hojas ÉXITO Nº3 Cuadriculado x480h.</t>
  </si>
  <si>
    <t>Repuesto de Hojas ÉXITO Nº3 Rayado x480h.</t>
  </si>
  <si>
    <t>Repuesto de Hojas ÉXITO Nº3 Cuadriculado x96h.</t>
  </si>
  <si>
    <t>Repuesto de Hojas ÉXITO Nº3 Rayado x96h.</t>
  </si>
  <si>
    <t>Repuesto GLORIA N°3 Ed. Especial x100 Hojas Rayadas x90g.</t>
  </si>
  <si>
    <t>Repuesto de Hojas GLORIA Nº3 Cuadriculado x48h.</t>
  </si>
  <si>
    <t>Repuesto de Hojas GLORIA Nº3 Rayado x48h.</t>
  </si>
  <si>
    <t>Repuesto de Hojas GLORIA Nº3 Cuadriculado x480h.</t>
  </si>
  <si>
    <t>Repuesto de Hojas GLORIA Nº3 Rayado x480h.</t>
  </si>
  <si>
    <t>Repuesto de Hojas GLORIA Nº3 Cuadriculado x96h.</t>
  </si>
  <si>
    <t>Repuesto de Hojas GLORIA Nº3 Rayado x96h.</t>
  </si>
  <si>
    <t>Repuesto Índice A4 NORTE</t>
  </si>
  <si>
    <t>Repuesto Índice Esquelita NORTE</t>
  </si>
  <si>
    <t>Repuesto Índice Nº3 NORTE</t>
  </si>
  <si>
    <t>Repuesto Índice Oficio NORTE</t>
  </si>
  <si>
    <t>Repuesto Índice para Fichero Nº3</t>
  </si>
  <si>
    <t>Repuesto de Hojas de Música ISTONIO x8h.</t>
  </si>
  <si>
    <t>Repuesto LEDESMA Épica Nº3 x480h.Rayadas</t>
  </si>
  <si>
    <t>Repuesto LEDESMA Épica Nº3 x48h.Rayadas</t>
  </si>
  <si>
    <t>Repuesto de Hojas Milimetrado Nº3</t>
  </si>
  <si>
    <t>Repuesto de Hojas Milimetrado Nº5</t>
  </si>
  <si>
    <t>Repuesto de Hojas de Música MIL 28 x8h.</t>
  </si>
  <si>
    <t>Repuesto de Hojas RIVADAVIA A4 Cuadriculado x288h.</t>
  </si>
  <si>
    <t>Repuesto de Hojas RIVADAVIA A4 Rayado x288h.</t>
  </si>
  <si>
    <t>Repuesto de Hojas RIVADAVIA A4 Cuadriculado x48h.</t>
  </si>
  <si>
    <t>Repuesto de Hojas RIVADAVIA A4 Rayado x48h.</t>
  </si>
  <si>
    <t>Repuesto RIVADAVIA Aula Universal Nº3 x288h. Cuadriculado</t>
  </si>
  <si>
    <t>Repuesto RIVADAVIA Aula Universal Nº3 x288h. Rayado</t>
  </si>
  <si>
    <t>Repuesto RIVADAVIA Aula Universal Nº3 x96h. Cuadriculado</t>
  </si>
  <si>
    <t>Repuesto RIVADAVIA Aula Universal Nº3 x96h. Rayado</t>
  </si>
  <si>
    <t>Repuesto de Hojas RIVADAVIA Nº3 Rayado x96h.</t>
  </si>
  <si>
    <t>Repuesto de Hojas RIVADAVIA Oficio Cuadriculado x48h.</t>
  </si>
  <si>
    <t>Repuesto de Hojas RIVADAVIA Oficio Rayado x48h.</t>
  </si>
  <si>
    <t>Repuesto de Hojas RIVADAVIA Nº3 Cuadriculado x24h.</t>
  </si>
  <si>
    <t>Repuesto de Hojas RIVADAVIA Nº3 Rayado x24h.</t>
  </si>
  <si>
    <t>Repuesto de Hojas RIVADAVIA Nº3 Liso x24h.</t>
  </si>
  <si>
    <t>Repuesto de Hojas RIVADAVIA Nº3 Cuadriculado x288h.</t>
  </si>
  <si>
    <t>Repuesto de Hojas RIVADAVIA Nº3 Rayado x288h.</t>
  </si>
  <si>
    <t>Repuesto de Hojas RIVADAVIA Nº3 Cuadriculado x480h.</t>
  </si>
  <si>
    <t>Repuesto de Hojas RIVADAVIA Nº3 Rayado x480h.</t>
  </si>
  <si>
    <t>Repuesto de Hojas RIVADAVIA Nº3 Cuadriculado x48h.</t>
  </si>
  <si>
    <t>Repuesto de Hojas RIVADAVIA Nº3 Rayado x48h.</t>
  </si>
  <si>
    <t>Repuesto de Hojas RIVADAVIA Nº3 Cuadriculado x96h.</t>
  </si>
  <si>
    <t>Repuesto de Hojas TRIUNFANTE Nº5 Apaisado Cuadriculado x8h.</t>
  </si>
  <si>
    <t xml:space="preserve">CUADERNOS Nº 3 </t>
  </si>
  <si>
    <t>Cuaderno EPICA N°3 Forrado Amarillo Rayado 19 x 24cm. x48h.</t>
  </si>
  <si>
    <t>Cuaderno EPICA N°3 Forrado Azul Cuadriculado 19 x 24cm. x48h.</t>
  </si>
  <si>
    <t>Cuaderno EPICA N°3 Forrado Azul Rayado 19 x 24cm. x48h.</t>
  </si>
  <si>
    <t>Cuaderno EPICA N°3 Forrado Lila Rayado 19 x 24cm. x48h.</t>
  </si>
  <si>
    <t>Cuaderno EPICA N°3 Forrado Naranja Rayado 19 x 24cm. x48h.</t>
  </si>
  <si>
    <t>Cuaderno EPICA N°3 Forrado Rojo Cuadriculado 19 x 24cm. x48h.</t>
  </si>
  <si>
    <t>Cuaderno EPICA N°3 Forrado Rojo Rayado 19 x 24cm. x48h.</t>
  </si>
  <si>
    <t>Cuaderno EPICA N°3 Forrado Verde Rayado 19 x 24cm. x48h.</t>
  </si>
  <si>
    <t>Cuaderno EPICA N°3 Forrado Verde Manzana Rayado 19 x 24cm. x48h.</t>
  </si>
  <si>
    <t>Cuaderno ÉXITO Nº3 Tapa Dura Cuadriculado x48h.</t>
  </si>
  <si>
    <t>Cuaderno EXITO Nº3 Línea Arco Iris x36h. Rayadas</t>
  </si>
  <si>
    <t>Cuaderno EXITO Nº3 Línea Clasico x36h. Rayadas</t>
  </si>
  <si>
    <t>Cuaderno ÉXITO N°3 Forrado Amarillo Rayado 19 x 24cm. x100h.</t>
  </si>
  <si>
    <t>Cuaderno ÉXITO N°3 Forrado Lila Rayado 19 x 24cm. x100h.</t>
  </si>
  <si>
    <t>Cuaderno ÉXITO N°3 Forrado Naranja Rayado 19 x 24cm. x100h.</t>
  </si>
  <si>
    <t>Cuaderno ÉXITO N°3 Forrado Rojo Rayado 19 x 24cm. x100h.</t>
  </si>
  <si>
    <t>Cuaderno ÉXITO N°3 Forrado Rosa Rayado 19 x 24cm. x100h.</t>
  </si>
  <si>
    <t>Cuaderno ÉXITO N°3 Forrado Turquesa Rayado 19 x 24cm. x100h.</t>
  </si>
  <si>
    <t>Cuaderno ÉXITO N°3 Forrado Verde Manzana Rayado 19 x 24cm. x100h.</t>
  </si>
  <si>
    <t>Cuaderno ÉXITO N°3 Forrado Verde Rayado 19 x 24cm. x100h.</t>
  </si>
  <si>
    <t>Cuaderno ÉXITO N°3 Forrado Azul Rayado 19 x 24cm. x100h.</t>
  </si>
  <si>
    <t>Cuaderno ÉXITO Nº3 Forrado Tapa Dura Azul Cuadriculado x48h.</t>
  </si>
  <si>
    <t>Cuaderno ÉXITO Nº3 Forrado Tapa Dura Azul Cuadriculado Grande x48h.</t>
  </si>
  <si>
    <t>Cuaderno ÉXITO Nº3 Forrado Tapa Dura Rojo Cuadriculado Grande x48h.</t>
  </si>
  <si>
    <t>Cuaderno ÉXITO Nº3 Forrado Tapa Dura Verde Cuadriculado Grande x48h.</t>
  </si>
  <si>
    <t>Cuaderno ÉXITO Nº3 Forrado Tapa Dura Verde Rayado x48h.</t>
  </si>
  <si>
    <t>Cuaderno ÉXITO Nº3 Forrado Tapa Dura Amarillo Rayado x48h.</t>
  </si>
  <si>
    <t>Cuaderno ÉXITO Nº3 Forrado Tapa Dura Celeste/Turquesa Rayado x48h.</t>
  </si>
  <si>
    <t>Cuaderno ÉXITO Nº3 Forrado Tapa Dura Lila Rayado x48h.</t>
  </si>
  <si>
    <t>Cuaderno ÉXITO Nº3 Forrado Tapa Dura Naranja Rayado x48h.</t>
  </si>
  <si>
    <t>Cuaderno ÉXITO Nº3 Forrado Tapa Dura Rosa Rayado x48h.</t>
  </si>
  <si>
    <t>Cuaderno ÉXITO Nº3 Forrado Tapa Dura Verde Manzana Rayado x48h.</t>
  </si>
  <si>
    <t>Cuaderno ÉXITO Nº3 Forrado Tapa Dura Azul Rayado x48h.</t>
  </si>
  <si>
    <t>Cuaderno ÉXITO Nº3 Forrado Tapa Dura Verde Cuadriculado x48h.</t>
  </si>
  <si>
    <t>Cuaderno ÉXITO Nº3 Forrado Tapa Dura Rojo Rayado x48h.</t>
  </si>
  <si>
    <t>Cuaderno ÉXITO Nº3 Tapa Dura Fantasía Rayado x48h.</t>
  </si>
  <si>
    <t>Cuaderno EXITO Nº3 NAT x36h. Rayadas</t>
  </si>
  <si>
    <t>Cuaderno ÉXITO Nº3 Lunares Tapa Dura Fondo Negro Lunares Blancos Rayado x48h.</t>
  </si>
  <si>
    <t>Cuaderno ÉXITO Nº3 Lunares Tapa Dura Fondo Blanco Lunares Negros Rayado x48h.</t>
  </si>
  <si>
    <t>Cuaderno ÉXITO Nº3 Lunares Tapa Dura Amarillo Rayado x48h.</t>
  </si>
  <si>
    <t>Cuaderno ÉXITO Nº3 Lunares Tapa Dura Azul Rayado x48h.</t>
  </si>
  <si>
    <t>Cuaderno ÉXITO Nº3 Lunares Tapa Dura Lila Rayado x48h.</t>
  </si>
  <si>
    <t>Cuaderno ÉXITO Nº3 Lunares Tapa Dura Naranja Rayado x48h.</t>
  </si>
  <si>
    <t>Cuaderno ÉXITO Nº3 Lunares Tapa Dura Rojo Rayado x48h.</t>
  </si>
  <si>
    <t>Cuaderno ÉXITO Nº3 Lunares Tapa Dura Rosa Rayado x48h.</t>
  </si>
  <si>
    <t>Cuaderno ÉXITO Nº3 Lunares Tapa Dura Turquesa Rayado x48h.</t>
  </si>
  <si>
    <t>Cuaderno ÉXITO Nº3 Lunares Tapa Dura Verde Rayado x48h.</t>
  </si>
  <si>
    <t>Cuaderno ÉXITO Nº3 Lunares Tapa Dura Verde Manzana Rayado x48h.</t>
  </si>
  <si>
    <t>Cuaderno ÉXITO Nº3 Tapa Dura Liso x48h.</t>
  </si>
  <si>
    <t>Cuaderno LEDESMA DESIGN cosido 18.3x24.5x84h</t>
  </si>
  <si>
    <t>Cuaderno AB3 LAPRIDA Lunares Blancos Fondo Negro 19 x 23,5cm. x50h.</t>
  </si>
  <si>
    <t>Cuaderno AB3 LAPRIDA Lunares Amarillo Rayado 19 x 23,5cm. x50h.</t>
  </si>
  <si>
    <t>Cuaderno AB3 LAPRIDA Lunares Azul Rayado 19 x 23,5cm. x50h.</t>
  </si>
  <si>
    <t>Cuaderno AB3 LAPRIDA Lunares Celeste Rayado 19 x 23,5cm. x50h.</t>
  </si>
  <si>
    <t>Cuaderno AB3 LAPRIDA Lunares Naranja Rayado 19 x 23,5cm. x50h.</t>
  </si>
  <si>
    <t>Cuaderno AB3 LAPRIDA Lunares Rojo Rayado 19 x 23,5cm. x50h.</t>
  </si>
  <si>
    <t>Cuaderno AB3 LAPRIDA Lunares Rosa Rayado 19 x 23,5cm. x50h.</t>
  </si>
  <si>
    <t>Cuaderno AB3 LAPRIDA Lunares Verde Manzana Rayado 19 x 23,5cm. x50h.</t>
  </si>
  <si>
    <t>Cuaderno AB3 LAPRIDA Lunares Verde Rayado 19 x 23,5cm. x50h.</t>
  </si>
  <si>
    <t>Cuaderno AB3 LAPRIDA Lunares Negros Fondo Blanco Rayado 19 x 23,5cm. x50h.</t>
  </si>
  <si>
    <t>Cuaderno AB3 LAPRIDA Amarillo Rayado 19 x 23,5cm. x50h.</t>
  </si>
  <si>
    <t>Cuaderno AB3 LAPRIDA Lila Rayado 19 x 23,5cm. x50h.</t>
  </si>
  <si>
    <t>Cuaderno AB3 LAPRIDA Rojo Rayado 19 x 23,5cm. x50h.</t>
  </si>
  <si>
    <t>Cuaderno AB3 LAPRIDA Verde Manzana Rayado 19 x 23,5cm. x50h.</t>
  </si>
  <si>
    <t>Cuaderno AB3 LAPRIDA Azul Rayado 19 x 23,5cm. x50h.</t>
  </si>
  <si>
    <t>Cuaderno AB3 LAPRIDA Cuadriculado Rojo19 x 23.5cm x 50h.</t>
  </si>
  <si>
    <t>Cuaderno LAPRIDA AB3 Celeste Rayado 19 x 23.5cm. x50h.</t>
  </si>
  <si>
    <t>Cuaderno LAPRIDA AB3 Verde Rayado 19 x 23.5cm. x50h.</t>
  </si>
  <si>
    <t>Cuaderno Licencia Rápido y Furioso Tapa Blanda Rayado x48h.</t>
  </si>
  <si>
    <t>Cuaderno ABC Rivadavia Azul Rayado 19 x 23,5cm. x48h.</t>
  </si>
  <si>
    <t>Cuaderno ABC Rivadavia Rojo Cuadriculado 19 x 23,5cm. x50h.</t>
  </si>
  <si>
    <t>Cuaderno ABC Rivadavia Azul Cuadriculado 19 x 23,5cm. x48h.</t>
  </si>
  <si>
    <t>Cuaderno ABC Rivadavia Verde Cuadriculado 19 x 23,5cm. x48h.</t>
  </si>
  <si>
    <t>Cuaderno ABC Rivadavia Amarillo Rayado 19 x 23,5cm. x48h.</t>
  </si>
  <si>
    <t>Cuaderno ABC Rivadavia Liso 19 x 23,5cm. x48h.</t>
  </si>
  <si>
    <t>Cuaderno ABC Rivadavia Rojo Rayado 19 x 23,5cm. x48h.</t>
  </si>
  <si>
    <t>Cuaderno ABC Rivadavia Lunares Amarillo Rayado 19 x 23,5cm. x50h.</t>
  </si>
  <si>
    <t>Cuaderno ABC Rivadavia Lunares Azul Rayado 19 x 23,5cm. x50h.</t>
  </si>
  <si>
    <t>Cuaderno ABC Rivadavia Lunares Celeste Rayado 19 x 23,5cm. x50h.</t>
  </si>
  <si>
    <t>Cuaderno ABC Rivadavia Lunares Naranja Rayado 19 x 23,5cm. x50h.</t>
  </si>
  <si>
    <t>Cuaderno ABC Rivadavia Lunares Rojo Rayado 19 x 23,5cm. x50h.</t>
  </si>
  <si>
    <t>Cuaderno ABC Rivadavia Lunares Rosa Rayado 19 x 23,5cm. x50h.</t>
  </si>
  <si>
    <t>Cuaderno ABC Rivadavia Lunares Verde Rayado 19 x 23,5cm. x50h.</t>
  </si>
  <si>
    <t>Cuaderno ABC Rivadavia Celeste Rayado 19 x 23,5cm. x50h.</t>
  </si>
  <si>
    <t>Cuaderno ABC Rivadavia Lila Rayado 19 x 23,5cm. x50h.</t>
  </si>
  <si>
    <t>Cuaderno ABC Rivadavia Naranja Rayado 19 x 23,5cm. x50h.</t>
  </si>
  <si>
    <t>Cuaderno ABC Rivadavia Rosa Rayado 19 x 23,5cm. x50h.</t>
  </si>
  <si>
    <t>Cuaderno ABC Rivadavia Verde Rayado 19 x 23,5cm. x50h.</t>
  </si>
  <si>
    <t>Cuaderno ABC Rivadavia Lunares Azul Rayado 19 x 23,5cm. x98h.</t>
  </si>
  <si>
    <t>Cuaderno ABC Rivadavia Lunares Rojo Rayado 19 x 23,5cm. x98h.</t>
  </si>
  <si>
    <t>Cuaderno ABC Rivadavia Lunares Verde Rayado 19 x 23,5cm. x98h.</t>
  </si>
  <si>
    <t>Cuaderno ABC Rivadavia Azul Rayado 19 x 23,5cm. x98h.</t>
  </si>
  <si>
    <t>Cuaderno ABC Rivadavia Rojo Rayado 19 x 23,5cm. x98h.</t>
  </si>
  <si>
    <t>Cuaderno ABC Rivadavia Verde Rayado 19 x 23,5cm. x98h.</t>
  </si>
  <si>
    <t>Cuaderno RIVADAVIA Educación Inicial Tapa Dura 19 x 23cm. x42h.</t>
  </si>
  <si>
    <t xml:space="preserve">CUADERNOS DE 16 x 21 </t>
  </si>
  <si>
    <t>Cuaderno AMÉRICA con Espiral Rayado 16x21cm. x80h.</t>
  </si>
  <si>
    <t>Cuaderno ASAMBLEA Color Pastel Tapa De Carton Rayado 16 x 21cm. x120h.</t>
  </si>
  <si>
    <t>Cuaderno ASAMBLEA Cuero Vip Tapa Cuero Rayado 16 x 21cm. x96h.</t>
  </si>
  <si>
    <t>Cuaderno ASAMBLEA B &amp; W Tapa Cuero Rayado 16 x 21cm. x120h.</t>
  </si>
  <si>
    <t>Cuaderno ASAMBLEA Colors Tapa Dura Rayado 16 x 21cm. x120h.</t>
  </si>
  <si>
    <t>Cuaderno ASAMBLEA Cuero VIP Tapa Cuero Rayado 16 x 21cm. x120h.</t>
  </si>
  <si>
    <t>Cuaderno ASAMBLEA Kraft Board Tapa Dura Rayado 16 x 21cm. x120h.</t>
  </si>
  <si>
    <t>Cuaderno ASAMBLEA Office Tapa Cuero Rayado 16 x 21cm. x120h.</t>
  </si>
  <si>
    <t>Cuaderno ASAMBLEA Very Glam 2 Tapa Dura Rayado 16 x 21cm. x120h.</t>
  </si>
  <si>
    <t>Cuaderno ASAMBLEA Escudería Tapa Dura Cuadriculado 16 x 21cm. x96h.</t>
  </si>
  <si>
    <t>Cuaderno ASAMBLEA Spring Tapa Dura Cuadriculado 16 x 21cm. x96h.</t>
  </si>
  <si>
    <t>Cuaderno ASAMBLEA Unicorns Tapa Dura Rayado 16 x 21cm. x96h.</t>
  </si>
  <si>
    <t>Cuaderno ASAMBLEA Ciudades Tapa Dura Cuadriculado 16 x 21cm. x96h.</t>
  </si>
  <si>
    <t>Cuaderno ASAMBLEA Pets 2 Tapa Dura Cuadriculado 16 x 21cm. x96h.</t>
  </si>
  <si>
    <t>Cuaderno ASAMBLEA B&amp;W Tapa Dura Rayado 16 x 21cm. x96h.</t>
  </si>
  <si>
    <t>Cuaderno ASAMBLEA Bicolor Tapa Dura Rayado 16 x 21cm. x96h.</t>
  </si>
  <si>
    <t>Cuaderno ASAMBLEA Deporte Extremo Tapa Dura Rayado 16 x 21cm. x96h.</t>
  </si>
  <si>
    <t>Cuaderno ASAMBLEA Geometrico Tapa Dura Rayado 16 x 21cm. x96h.</t>
  </si>
  <si>
    <t>Cuaderno ASAMBLEA ''Green &amp; Violet'' Tapa Dura Rayado 16 x 21cm. x96h.</t>
  </si>
  <si>
    <t>Cuaderno ASAMBLEA Motos Tapa Dura Rayado 16 x 21cm. x96h.</t>
  </si>
  <si>
    <t>Cuaderno ASAMBLEA Office Tapa Dura Rayado 16 x 21cm. x96h.</t>
  </si>
  <si>
    <t>Cuaderno ASAMBLEA Pastel Stamping Tapa Dura Rayado 16 x 21cm. x96h.</t>
  </si>
  <si>
    <t>Cuaderno ASAMBLEA Stay Wild Tapa Dura Rayado 16 x 21cm. x96h.</t>
  </si>
  <si>
    <t>Cuaderno de Comunicaciones ÉXITO</t>
  </si>
  <si>
    <t>Cuaderno EPICA 16 x 21cm. Forrado Amarillo Rayado x48h.</t>
  </si>
  <si>
    <t>Cuaderno EPICA 16 x 21cm. Forrado Azul Rayado x48h.</t>
  </si>
  <si>
    <t>Cuaderno EPICA 16 x 21cm. Forrado Lila Rayado x48h.</t>
  </si>
  <si>
    <t>Cuaderno EPICA 16 x 21cm. Forrado Naranja Rayado x48h.</t>
  </si>
  <si>
    <t>Cuaderno EPICA 16 x 21cm. Forrado Rojo Rayado x48h.</t>
  </si>
  <si>
    <t>Cuaderno EPICA 16 x 21cm. Forrado Verde Rayado x48h.</t>
  </si>
  <si>
    <t>Cuaderno ÉXITO Caligrafía x24h.</t>
  </si>
  <si>
    <t>Cuaderno ÉXITO Ecológico Tapa Dura Rayado x100h.</t>
  </si>
  <si>
    <t>Cuaderno ÉXITO Ecológico Tapa Dura Cuadriculado x48h.</t>
  </si>
  <si>
    <t>Cuaderno ÉXITO Ecológico Tapa Dura Rayado x48h.</t>
  </si>
  <si>
    <t>Cuaderno ÉXITO Tapa Dura Azul Rayado x100h.</t>
  </si>
  <si>
    <t>Cuaderno ÉXITO Lunares Tapa Dura Rojo Rayado x100h.</t>
  </si>
  <si>
    <t>Cuaderno ÉXITO Tapa Dura Verde Rayado x100h.</t>
  </si>
  <si>
    <t>Cuaderno ÉXITO Forrado Tapa Dura Azul Cuadriculado x48h.</t>
  </si>
  <si>
    <t>Cuaderno ÉXITO Forrado Tapa Dura Rojo Cuadriculado x48h.</t>
  </si>
  <si>
    <t>Cuaderno ÉXITO Forrado Tapa Dura Verde Cuadriculado x48h.</t>
  </si>
  <si>
    <t>Cuaderno ÉXITO Forrado Tapa Dura Amarillo Rayado x48h.</t>
  </si>
  <si>
    <t>Cuaderno ÉXITO Forrado Tapa Dura Azul Rayado x48h.</t>
  </si>
  <si>
    <t>Cuaderno ÉXITO Forrado Tapa Dura Celeste Rayado x48h.</t>
  </si>
  <si>
    <t>Cuaderno ÉXITO Forrado Tapa Dura Lila Rayado x48h.</t>
  </si>
  <si>
    <t>Cuaderno ÉXITO Forrado Tapa Dura Naranja Rayado x48h.</t>
  </si>
  <si>
    <t>Cuaderno ÉXITO Forrado Tapa Dura Rojo Rayado x48h.</t>
  </si>
  <si>
    <t>Cuaderno ÉXITO Forrado Tapa Dura Rosa Rayado x48h.</t>
  </si>
  <si>
    <t>Cuaderno ÉXITO Forrado Tapa Dura Verde Rayado x48h.</t>
  </si>
  <si>
    <t>Cuaderno ÉXITO Forrado Tapa Dura Verde Manzana Rayado x48h.</t>
  </si>
  <si>
    <t>Cuaderno ÉXITO Forrado Tapa Dura Azul Liso x48h.</t>
  </si>
  <si>
    <t>Cuaderno EXITO Línea Natural 16x21cm. x42h. Cuadriculadas</t>
  </si>
  <si>
    <t>Cuaderno ÉXITO Lunares Tapa Dura Amarillo Rayado x48h.</t>
  </si>
  <si>
    <t>Cuaderno ÉXITO Lunares Tapa Dura Azul Rayado x48h.</t>
  </si>
  <si>
    <t>Cuaderno ÉXITO Lunares Tapa Dura Celeste Rayado x48h.</t>
  </si>
  <si>
    <t>Cuaderno ÉXITO Lunares Tapa Dura Lila Rayado x48h.</t>
  </si>
  <si>
    <t>Cuaderno ÉXITO Lunares Tapa Dura Naranja Rayado x48h.</t>
  </si>
  <si>
    <t>Cuaderno ÉXITO Lunares Tapa Dura Rojo Rayado x48h.</t>
  </si>
  <si>
    <t>Cuaderno ÉXITO Lunares Tapa Dura Rosa Rayado x48h.</t>
  </si>
  <si>
    <t>Cuaderno ÉXITO Lunares Tapa Dura Verde Rayado x48h.</t>
  </si>
  <si>
    <t>Cuaderno ÉXITO Lunares Tapa Dura Verde Manzana Rayado x48h.</t>
  </si>
  <si>
    <t>Cuaderno ÉXITO Z3 Cuadriculado x48h 19x24cm.</t>
  </si>
  <si>
    <t>Cuaderno GLORIA Tapa Dura Para Forrar Rayado x42h.</t>
  </si>
  <si>
    <t>Cuaderno GLORIA Forrado Tapa Dura Azul Rayado x84h.</t>
  </si>
  <si>
    <t>Cuaderno GLORIA Forrado Tapa Dura Rojo Rayado x84h.</t>
  </si>
  <si>
    <t>Cuaderno GLORIA Forrado Tapa Dura Amarillo Rayado x42h.</t>
  </si>
  <si>
    <t>Cuaderno GLORIA Forrado Tapa Dura Azul Rayado x42h.</t>
  </si>
  <si>
    <t>Cuaderno GLORIA Forrado Tapa Dura Celeste Rayado x42h.</t>
  </si>
  <si>
    <t>Cuaderno GLORIA Forrado Tapa Dura Naranja Rayado x42h.</t>
  </si>
  <si>
    <t>Cuaderno GLORIA Forrado Tapa Dura Rojo Rayado x42h.</t>
  </si>
  <si>
    <t>Cuaderno GLORIA Forrado Tapa Dura Rosa Rayado x42h.</t>
  </si>
  <si>
    <t>Cuaderno GLORIA Forrado Tapa Dura Verde Rayado x42h.</t>
  </si>
  <si>
    <t>Cuaderno GLORIA Forrado Tapa Dura Verde Rayado x84h.</t>
  </si>
  <si>
    <t>Cuaderno GLORIA Tapa Blanda Rayado x84h.</t>
  </si>
  <si>
    <t>Cuaderno GLORIA Tapa Blanda Liso x48h.</t>
  </si>
  <si>
    <t>Cuaderno GLORIA Tapa Blanda Cuadriculado x24h.</t>
  </si>
  <si>
    <t>Cuaderno GLORIA Tapa Blanda Cuadriculado x84h.</t>
  </si>
  <si>
    <t>Cuaderno GLORIA Tapa Blanda Rayado x24h.</t>
  </si>
  <si>
    <t>Cuaderno GLORIA Tapa Blanda Cuadriculado x48h.</t>
  </si>
  <si>
    <t>Cuaderno GLORIA Tapa Blanda Rayado x48h.</t>
  </si>
  <si>
    <t>Cuaderno LAPRIDA Forrado Tapa Dura Amarillo Cuadriculado x50h.</t>
  </si>
  <si>
    <t>Cuaderno LAPRIDA Forrado Tapa Dura Amarillo Rayado x50h.</t>
  </si>
  <si>
    <t>Cuaderno LAPRIDA Forrado Tapa Dura Azul Cuadriculado x50h.</t>
  </si>
  <si>
    <t>Cuaderno LAPRIDA Forrado Tapa Dura Azul Rayado x50h.</t>
  </si>
  <si>
    <t>Cuaderno LAPRIDA Forrado Tapa Dura Celeste Rayado x50h.</t>
  </si>
  <si>
    <t>Cuaderno LAPRIDA Forrado Tapa Dura Naranja Rayado x50h.</t>
  </si>
  <si>
    <t>Cuaderno LAPRIDA Forrado Tapa Dura Rojo Cuadriculado x50h.</t>
  </si>
  <si>
    <t>Cuaderno LAPRIDA Forrado Tapa Dura Rojo Rayado x50h.</t>
  </si>
  <si>
    <t>Cuaderno LAPRIDA Forrado Tapa Dura Verde Cuadriculado x50h.</t>
  </si>
  <si>
    <t>Cuaderno LAPRIDA Forrado Tapa Dura Verde Rayado x50h.</t>
  </si>
  <si>
    <t>Cuaderno LEDESMA NAT 16x21cm. x42h. Rayadas</t>
  </si>
  <si>
    <t>Cuaderno MOOVING Quitapesares Tapa Flexible 16 x 21cm. x48hj.</t>
  </si>
  <si>
    <t>Cuaderno MOOVING A5 ''Como Quieres'' Tapa Dura xu.</t>
  </si>
  <si>
    <t>Cuaderno de Música ASAMBLEA x18h.</t>
  </si>
  <si>
    <t>Cuaderno Índice NORTE Abrochado x45h.</t>
  </si>
  <si>
    <t>Cuaderno Índice NORTE Tapa Semi Rígida x100h.</t>
  </si>
  <si>
    <t>Cuaderno ONIX Tapa Dura ''Bicicletas'' 16x21cm. x120h. Rayado</t>
  </si>
  <si>
    <t>Cuaderno ONIX Tapa Dura ''Black &amp; Pink'' 16x21cm. x120h. Rayado</t>
  </si>
  <si>
    <t>Cuaderno ONIX Tapa Dura ''Bicicletas'' con Elastico 16x21cm. x120h. Rayado</t>
  </si>
  <si>
    <t>Cuaderno ONIX Tapa Dura ''Man'' 16x21cm. x120h. Rayado</t>
  </si>
  <si>
    <t>Cuaderno ONIX Tapa Dura ''Rainbow'' 16x21cm. x120h. Rayado</t>
  </si>
  <si>
    <t>Cuaderno ONIX Buho 16x21 Tapa Dura x96h. Cuadriculado</t>
  </si>
  <si>
    <t>Cuaderno ONIX Llama 16x21 Tapa Dura x96h. Cuadriculado</t>
  </si>
  <si>
    <t>Cuaderno ONIX Mandala Metalizada 16x21 Tapa Dura x96h. Cuadriculado</t>
  </si>
  <si>
    <t>Cuaderno ONIX Shiny 16x21 Tapa Dura x96h. Cuadriculado</t>
  </si>
  <si>
    <t>Cuaderno ONIX Colores Pasteles 16x21 Tapa Dura x96h. Rayado</t>
  </si>
  <si>
    <t>Cuaderno ONIX Flowers 16x21 Tapa Dura x96h. Rayado</t>
  </si>
  <si>
    <t>Cuaderno ONIX Man 2 16x21 Tapa Dura Rayado x96h.</t>
  </si>
  <si>
    <t>Cuaderno ONIX Nature 16x21 Tapa Dura x96h. Rayado</t>
  </si>
  <si>
    <t>Cuaderno ONIX Nature ''2'' 16x21 Tapa Dura x96h. Rayado</t>
  </si>
  <si>
    <t>Cuaderno ONIX Colors Pastel 16x21 Tapa Dura x96h. Rayado</t>
  </si>
  <si>
    <t>Cuaderno ONIX Colors Pastel 2 16x21 Tapa Dura x96h. Rayado</t>
  </si>
  <si>
    <t>Cuaderno ONIX Kraft Man 16x21 Tapa Dura x96h. Rayado</t>
  </si>
  <si>
    <t>Cuaderno ONIX 16x21 Tapa Dura x96h.=Office</t>
  </si>
  <si>
    <t>Cuaderno ONIX Rainbow 2 16x21 Tapa Dura x96h. Rayado</t>
  </si>
  <si>
    <t>Cuaderno ONIX 16x21 Tapa Dura x96h.=Vintage</t>
  </si>
  <si>
    <t>Cuaderno PIZZINI Caligrafia Dibujo Tecnico x36hj.</t>
  </si>
  <si>
    <t>Cuaderno RIVADAVIA Lunares Verde Manzana Fondo Blanco Tapa Dura Rayado x50h.</t>
  </si>
  <si>
    <t>Cuaderno RIVADAVIA Lunares Rosa Tapa Dura Blanco Rayado x50h.</t>
  </si>
  <si>
    <t>Cuaderno RIVADAVIA Forrado Tapa Dura Amarillo Rayado x50h.</t>
  </si>
  <si>
    <t>Cuaderno RIVADAVIA Forrado Tapa Dura Lila Rayado x50h.</t>
  </si>
  <si>
    <t>Cuaderno RIVADAVIA Forrado Tapa Dura Naranja Rayado x50h.</t>
  </si>
  <si>
    <t>Cuaderno RIVADAVIA Forrado Tapa Dura Rojo Rayado x50h.</t>
  </si>
  <si>
    <t>Cuaderno RIVADAVIA Forrado Tapa Dura Rosa Rayado x50h.</t>
  </si>
  <si>
    <t>Cuaderno RIVADAVIA Lunares Tapa Dura Azul Rayado x50h.</t>
  </si>
  <si>
    <t>Cuaderno RIVADAVIA Lunares Tapa Dura Fondo Verde Lunares Grices Rayado x50h.</t>
  </si>
  <si>
    <t>Cuaderno RIVADAVIA Lunares Tapa Dura Lila Rayado x50h.</t>
  </si>
  <si>
    <t>Cuaderno RIVADAVIA Lunares Tapa Dura Naranja Rayado x50h.</t>
  </si>
  <si>
    <t>Cuaderno RIVADAVIA Lunares Tapa Dura Rojo Rayado x50h.</t>
  </si>
  <si>
    <t>Cuaderno RIVADAVIA Lunares Tapa Dura Rosa Rayado x50h.</t>
  </si>
  <si>
    <t>Cuaderno RIVADAVIA Lunares Tapa Dura Verde Rayado x50h.</t>
  </si>
  <si>
    <t>Cuaderno RIVADAVIA Tapa Blanda Rayado x24h.</t>
  </si>
  <si>
    <t>Cuaderno RIVADAVIA Tapa Blanda Liso x24h.</t>
  </si>
  <si>
    <t>Cuaderno RIVADAVIA Tapa Blanda Rayado x48h.</t>
  </si>
  <si>
    <t>Cuaderno RIVADAVIA Tapa Dura Cuadriculado x50h.</t>
  </si>
  <si>
    <t>Cuaderno RIVADAVIA Tapa Dura Liso x50h.</t>
  </si>
  <si>
    <t>Cuaderno RIVADAVIA Tapa Dura Cuadriculado x98h.</t>
  </si>
  <si>
    <t>Cuaderno RIVADAVIA Tapa Dura Rayado x98h.</t>
  </si>
  <si>
    <t>Cuaderno RIVADAVIA Tapa Dura Rayado x50h.</t>
  </si>
  <si>
    <t>Cuaderno RIVADAVIA Tapa Dura Rojo Rayado x98h.</t>
  </si>
  <si>
    <t>Cuaderno TRIUNFANTE 16x21 x 80 Hojas Rayadas Café</t>
  </si>
  <si>
    <t>Cuaderno TRIUNFANTE Urbano 16 x 21cm. x80h. Rayadas</t>
  </si>
  <si>
    <t>Cuaderno PPR Bia 16x21 T.Dura 48h.</t>
  </si>
  <si>
    <t>Set Cuaderno MOOVING MAW Disney 100 xu.</t>
  </si>
  <si>
    <t xml:space="preserve">DICCIONARIOS Y LIBROS ESCOLARES </t>
  </si>
  <si>
    <t>Colorea Animales De La Granja xu.</t>
  </si>
  <si>
    <t>Colorea Animales De La Selva xu.</t>
  </si>
  <si>
    <t>Colorea Unicornios xu.</t>
  </si>
  <si>
    <t>Diccionario EL ATENEO De La Lengua Española xu.</t>
  </si>
  <si>
    <t>Diccionario Escolar LAPRIDA</t>
  </si>
  <si>
    <t>Diccionario Escolar RIVADAVIA</t>
  </si>
  <si>
    <t>Diccionario RIVADAVIA Inglés/Español</t>
  </si>
  <si>
    <t>Diccionario RIVADAVIA Sinónimos/Antónimos</t>
  </si>
  <si>
    <t>Flow Pack Juega Y Colorea BABY SHARK xu.</t>
  </si>
  <si>
    <t>Flow Pack Juega Y Colorea BEBES LLORONES xu.</t>
  </si>
  <si>
    <t>Flow Pack Juega Y Colorea COCO MELON xu.</t>
  </si>
  <si>
    <t>Flow Pack Juega Y Colorea MICKEY xu.</t>
  </si>
  <si>
    <t>Flow Pack Juega Y Colorea PEPPA PIG xu.</t>
  </si>
  <si>
    <t>Flow Pack Juega Y Colorea PRINCESA xu.</t>
  </si>
  <si>
    <t>Flow Pack Mini Art CARS xu.</t>
  </si>
  <si>
    <t>Flow Pack Mini Art FROZEN xu.</t>
  </si>
  <si>
    <t>Flow Pack Mini Art MICKEY xu.</t>
  </si>
  <si>
    <t>Flow Pack Mini Art MINNIE xu.</t>
  </si>
  <si>
    <t>Libro A JUGAR CON STIKCERS PIRATAS xu.</t>
  </si>
  <si>
    <t>Libro Adivina Adivinador 4</t>
  </si>
  <si>
    <t>Libro Animales Con Alas xu.</t>
  </si>
  <si>
    <t>Libro Animales De La Granja xu.</t>
  </si>
  <si>
    <t>Libro Animales Del Mar xu.</t>
  </si>
  <si>
    <t>Libro Animales De La Selva xu.</t>
  </si>
  <si>
    <t>Libro Aprendiendo Ingles Nivel 1 xu.</t>
  </si>
  <si>
    <t>Libro Biblioteca Didáctica xu.</t>
  </si>
  <si>
    <t>Libro Constitución de la Nación Argentina</t>
  </si>
  <si>
    <t>Libro Creando Tu Propia Mandala xu.</t>
  </si>
  <si>
    <t>Libro De Actividades PEDRITO Dinosaurios ''Laberintos - Busca y Encuentra'' xu.</t>
  </si>
  <si>
    <t>Libro De Actividades PEDRITO Dinosaurios ''Números - Abecedario - Sopa De Letras'' xu.</t>
  </si>
  <si>
    <t>Libro De Actividades PEDRITO Dinosaurios ''Pintar'' xu.</t>
  </si>
  <si>
    <t>Libro De Actividades PEDRITO Dinosaurios ''Rompecabezas - Diferenciar'' xu.</t>
  </si>
  <si>
    <t>Libro Dinopedia Ornitopodos</t>
  </si>
  <si>
    <t>Libro Dinopedia Sauropodomorfos</t>
  </si>
  <si>
    <t>Libro Dinopedia Teropodos</t>
  </si>
  <si>
    <t>Libro Dinopedia Tireoforos</t>
  </si>
  <si>
    <t>Libro Escribo Con Stickers xu.</t>
  </si>
  <si>
    <t>Libro Formas Y Colores xu.</t>
  </si>
  <si>
    <t>Libro JUEGOS Y AVENTURAS xu.</t>
  </si>
  <si>
    <t>Libro JUEGOS Y MAGIA xu.</t>
  </si>
  <si>
    <t>Libro SO CUTE KAWAII Amarillo xu.</t>
  </si>
  <si>
    <t>Libro SO CUTE KAWAII Rosa xu.</t>
  </si>
  <si>
    <t>Libro Las Tablas Para Multiplicar xu.</t>
  </si>
  <si>
    <t>Libro Letras Y Números xu.</t>
  </si>
  <si>
    <t>Libro Lettering Practica Y Dibuja xu.</t>
  </si>
  <si>
    <t>Libro Mandalas ANIMALES Para Pintar xu.</t>
  </si>
  <si>
    <t>Libro Mandalas ARMONIA Para Pintar xu.</t>
  </si>
  <si>
    <t>Libro Mandalas CREATIVIDAD Para Pintar xu.</t>
  </si>
  <si>
    <t>Libro Mandalas JARDINES Para Pintar xu.</t>
  </si>
  <si>
    <t>Libro Mundo Acuático xu.</t>
  </si>
  <si>
    <t>Libro Para Pintar Felizmente ''Animalitos''</t>
  </si>
  <si>
    <t>Libro Para Pintar Felizmente ''Dinosaurios''</t>
  </si>
  <si>
    <t>Libro Para Pintar Felizmente ''Encantaditos''</t>
  </si>
  <si>
    <t>Libro Para Pintar Felizmente ''La Granjita''</t>
  </si>
  <si>
    <t>Libro Para Pintar Multicolor 1</t>
  </si>
  <si>
    <t>Libro Para Pintar Multicolor 2</t>
  </si>
  <si>
    <t>Libro PEDRITO Dinosaurios para Colorear xu.</t>
  </si>
  <si>
    <t>Libro PEDRITO "Bienvenidos a la Granja" para Colorear xu.</t>
  </si>
  <si>
    <t>Libro Para Colorear PEDRITO Mandalas Emociones Positivas xu.</t>
  </si>
  <si>
    <t>Libro Para Colorear PEDRITO Mandalas El Despertar De Los Sentidos xu.</t>
  </si>
  <si>
    <t>Libro PEDRITO "Mandalas Frases" para Colorear xu.</t>
  </si>
  <si>
    <t>Libro Para Colorear PEDRITO Mandalas Iluminados xu.</t>
  </si>
  <si>
    <t>Libro PEDRITO "Mascotas en Acción" para Colorear xu.</t>
  </si>
  <si>
    <t>Libro Para Colorear PEDRITO Mi Mandala xu.</t>
  </si>
  <si>
    <t>Libro PEDRITO "Super Juegos" para Colorear xu.</t>
  </si>
  <si>
    <t>Libro ZENTANGLE Alta Mar xu.</t>
  </si>
  <si>
    <t>Libro ZENTANGLE Fauna xu.</t>
  </si>
  <si>
    <t>Libro Pinta Con COCOMELON xu.</t>
  </si>
  <si>
    <t>Libro Pinta Con DINO xu.</t>
  </si>
  <si>
    <t>Libro Pinta Con LA GRANJA DE ZENON xu.</t>
  </si>
  <si>
    <t>Libro Pinta Con MY LITTLE PONY xu.</t>
  </si>
  <si>
    <t>Libro Pinta Con MY UNICORN xu.</t>
  </si>
  <si>
    <t>Libro Pinta Con PAW PATROL xu.</t>
  </si>
  <si>
    <t>Libro Pinta Con PEPPA PIG xu.</t>
  </si>
  <si>
    <t>Libro Pinta Con SPIDERMAN xu.</t>
  </si>
  <si>
    <t>Libro BETINA Pintando El Circo</t>
  </si>
  <si>
    <t>Libro BETINA Pintando La Fiesta</t>
  </si>
  <si>
    <t>Libro BETINA Pintando La Granja</t>
  </si>
  <si>
    <t>Libro BETINA Pintando Los Transportes</t>
  </si>
  <si>
    <t>Libro RECREO CON AMIGAS - HADAS xu.</t>
  </si>
  <si>
    <t>Libro SOPA DE LETRAS Con Animales xu.</t>
  </si>
  <si>
    <t>Libro TRIVIAS CON DINOSAURIOS xu.</t>
  </si>
  <si>
    <t>Libro TRIVIAS DE FUTBOL Y MUNDIALES xu.</t>
  </si>
  <si>
    <t>Libro Troquelado PEDRITO Busca Y Encuentra para Colorear xu.</t>
  </si>
  <si>
    <t>Libro Troquelado PEDRITO De Paseo Con Los Dinosaurios xu.</t>
  </si>
  <si>
    <t>Libro Troquelado PEDRITO De Paseo Por La Granja xu.</t>
  </si>
  <si>
    <t>Libro Troquelado PEDRITO Dinosaurios para Colorear xu.</t>
  </si>
  <si>
    <t>Libro Troquelado PEDRITO Diversión Jurásica xu.</t>
  </si>
  <si>
    <t>Libro Troquelado PEDRITO Yo Coloreo Unicornio para Colorear xu.</t>
  </si>
  <si>
    <t>Libro Vehiculos Con Stickers Autos y Motos xu.</t>
  </si>
  <si>
    <t>Libro Vehiculos Con Stickers Camiones xu.</t>
  </si>
  <si>
    <t>Libro Vehiculos Con Stickers Maquinas xu.</t>
  </si>
  <si>
    <t>Libro Vehiculos Con Stickers Tractores xu.</t>
  </si>
  <si>
    <t>Libro Sumas Y Restas xu.</t>
  </si>
  <si>
    <t>Mi Gran Libro Amarillo Para Colorear xu.</t>
  </si>
  <si>
    <t>Mi Gran Libro Azul Para Colorear xu.</t>
  </si>
  <si>
    <t>Mi Gran Libro Naranja Para Colorear xu.</t>
  </si>
  <si>
    <t>Mi Gran Libro Rojo Para Colorear xu.</t>
  </si>
  <si>
    <t>Mi Gran Libro Rosa Para Colorear xu.</t>
  </si>
  <si>
    <t>Mi Gran Libro Verde Para Colorear xu.</t>
  </si>
  <si>
    <t>Libro Mini Sopa de Letras 'A DONDE IR' xu.</t>
  </si>
  <si>
    <t>Libro Mini Sopa de Letras 'EN MIS CLASICOS FAVORITOS' xu.</t>
  </si>
  <si>
    <t>Libro Mini Sopa de Letras 'En El Reino Animal' xu.</t>
  </si>
  <si>
    <t>Libro Mini Sopa de Letras 'JUEGOS Y JUGUETES' xu.</t>
  </si>
  <si>
    <t>Pintorcito El Frio xu.</t>
  </si>
  <si>
    <t>Pintorcito El Mar xu.</t>
  </si>
  <si>
    <t>Pintorcito La Granja xu.</t>
  </si>
  <si>
    <t>Pintorcito La Selva xu.</t>
  </si>
  <si>
    <t>Pinturas Y Pinturitas ''A Jugar'' xu.</t>
  </si>
  <si>
    <t>Pinturas Y Pinturitas ''Animalitos'' xu.</t>
  </si>
  <si>
    <t>Pinturas Y Pinturitas ''Mis Cosas'' xu.</t>
  </si>
  <si>
    <t>Reglamento Oficial de Futbol</t>
  </si>
  <si>
    <t>Reglamento Oficial de Hockey</t>
  </si>
  <si>
    <t>Reglamento Oficial de Voleibol</t>
  </si>
  <si>
    <t>Vamos A Pintar Cosas Ricas xu.</t>
  </si>
  <si>
    <t>Vamos A Pintar Letras Y Números xu.</t>
  </si>
  <si>
    <t>Vamos A Pintar Tiernos Animalitos xu.</t>
  </si>
  <si>
    <t>Vamos A Pintar Tutti Fruti xu.</t>
  </si>
  <si>
    <t>Yo Pinto Animales De La Granja xu.</t>
  </si>
  <si>
    <t>Yo Pinto Animales De La Selva xu.</t>
  </si>
  <si>
    <t>Yo Pinto Animales Domésticos xu.</t>
  </si>
  <si>
    <t>Yo Pinto Animales Marinos xu.</t>
  </si>
  <si>
    <t xml:space="preserve">MAPAS </t>
  </si>
  <si>
    <t>Mapa ALFA Físico Político Nº5 América del Sur</t>
  </si>
  <si>
    <t>Mapa ALFA Físico Político Nº5 Buenos Aires</t>
  </si>
  <si>
    <t>Mapa LAPRIDA Físico Político Nº3 África</t>
  </si>
  <si>
    <t>Mapa LAPRIDA Físico Político Nº3 Asia</t>
  </si>
  <si>
    <t>Mapa ALFA Físico Político Nº6 Europa</t>
  </si>
  <si>
    <t>Mapa MC Físico Político N°3 Buenos Aires</t>
  </si>
  <si>
    <t>Mapa MC Físico Político N°3 Planisferio</t>
  </si>
  <si>
    <t>MAPA MC Físico Político N°3 Bicontinental</t>
  </si>
  <si>
    <t>Mapa MC Político Nº3 Italia</t>
  </si>
  <si>
    <t>Mapa ALFA Físico Político Nº3 África</t>
  </si>
  <si>
    <t>Mapa ALFA Físico Político Nº3 América Central</t>
  </si>
  <si>
    <t>Mapa ALFA Físico Político Nº3 América del Norte</t>
  </si>
  <si>
    <t>Mapa MC Físico Político Nº3 América del Sur</t>
  </si>
  <si>
    <t>Mapa MC Fisico Político Nº3 Europa</t>
  </si>
  <si>
    <t>Mapa ALFA Físico Político Nº3 Oceanía</t>
  </si>
  <si>
    <t>Mapa ALFA Físico Político Nº3 Continente Americano</t>
  </si>
  <si>
    <t>Mapa MC Político Nº3 Europa</t>
  </si>
  <si>
    <t>Mapa ALFA Político Nº3 Planisferio</t>
  </si>
  <si>
    <t>Mapa ALFA Politico Nº3 África</t>
  </si>
  <si>
    <t>Mapa MC Político Nº3 América Del Norte</t>
  </si>
  <si>
    <t>Mapa ALFA Político Nº3 Continente Americano</t>
  </si>
  <si>
    <t>Mapa MC Político Nº3 Argentina</t>
  </si>
  <si>
    <t>Mapa ALFA Físico Político Nº3 Asia</t>
  </si>
  <si>
    <t>Mapa ALFA Político Nº3 Buenos Aires</t>
  </si>
  <si>
    <t>Mapa MC Político Nº3 Islas Malvinas</t>
  </si>
  <si>
    <t>Mapa ALFA Politico Nº3 Oceanía</t>
  </si>
  <si>
    <t>Mapa ALFA Político Nº5 África</t>
  </si>
  <si>
    <t>Mapa ALFA Físico Político Nº5 Asia</t>
  </si>
  <si>
    <t>Mapa ALFA Físico Político Nº5 Planisferio</t>
  </si>
  <si>
    <t>Mapa MC Político Nº5 África</t>
  </si>
  <si>
    <t>Mapa ALFA Político Nº5 América del Norte</t>
  </si>
  <si>
    <t>Mapa MC Político Nº5 América del Sur</t>
  </si>
  <si>
    <t>Mapa MC Político Nº5 Argentina</t>
  </si>
  <si>
    <t>Mapa MC Político Nº5 Asia</t>
  </si>
  <si>
    <t>Mapa ALFA Político Nº5 Buenos Aires</t>
  </si>
  <si>
    <t>Mapa MC Político Nº5 Continente Americano</t>
  </si>
  <si>
    <t>Mapa MC Político Nº5 Planisferio</t>
  </si>
  <si>
    <t>Mapa MC Físico Político Nº6 África</t>
  </si>
  <si>
    <t>Mapa ALFA Físico Político América del Sur</t>
  </si>
  <si>
    <t>Mapa MC Físico Político Nº6 Planisferio</t>
  </si>
  <si>
    <t>Mapa ALFA Político Nº6 América</t>
  </si>
  <si>
    <t>Mapa MC Político Nº6 Planisferio</t>
  </si>
  <si>
    <t>Mapa MC Politico N°3 Ciudad Bs.As.</t>
  </si>
  <si>
    <t>Mapa MC Politico N°3 Continente Antartico</t>
  </si>
  <si>
    <t>Mapa MC Politico N°3 Antartida Argentina</t>
  </si>
  <si>
    <t>Mapa MC Físico Político Nº5 America Norte</t>
  </si>
  <si>
    <t>Mapa MC Físico Político Nº5 América del Sur</t>
  </si>
  <si>
    <t>Mapa MC Físico Político Nº5 Argentina Bicontinental</t>
  </si>
  <si>
    <t>Mapa MC Físico Político Nº5 Argentina</t>
  </si>
  <si>
    <t>Mapa MC Físico Político Nº6 América del Norte</t>
  </si>
  <si>
    <t>Mapa ALFA Físico Político Nº5 Europa</t>
  </si>
  <si>
    <t>Mapa ALFA Político Nº5 Europa</t>
  </si>
  <si>
    <t>Mapa ALFA Físico Político Nº6 Continente Americano</t>
  </si>
  <si>
    <t>Mapa ALFA Político Nº6 Argentina</t>
  </si>
  <si>
    <t>Mapa RIVADAVIA Físico Político Nº5 América Central</t>
  </si>
  <si>
    <t>Mapa RIVADAVIA Político Nº5 América Central</t>
  </si>
  <si>
    <t>Mapa RIVADAVIA Físico Político Nº6 América del Norte</t>
  </si>
  <si>
    <t>Mapa RIVADAVIA Político Nº5 Gran Buenos Aires</t>
  </si>
  <si>
    <t>Mapa RIVADAVIA Físico Político Nº3 Buenos Aires</t>
  </si>
  <si>
    <t>Mapa RIVADAVIA Físico Político Nº3 Argentina</t>
  </si>
  <si>
    <t>Mapa RIVADAVIA Físico Político Nº3 Continente Americano</t>
  </si>
  <si>
    <t>Mapa RIVADAVIA Físico Político Nº3 Planisferio</t>
  </si>
  <si>
    <t>Mapa RIVADAVIA Político Nº3 Continente Antártico</t>
  </si>
  <si>
    <t>Mapa RIVADAVIA Político Nº3 África</t>
  </si>
  <si>
    <t>Mapa RIVADAVIA Político Nº3 América Central</t>
  </si>
  <si>
    <t>Mapa RIVADAVIA Político Nº3 América del Sur</t>
  </si>
  <si>
    <t>Mapa RIVADAVIA Político Nº3 América del Norte</t>
  </si>
  <si>
    <t>Mapa RIVADAVIA Político Nº3 Argentina</t>
  </si>
  <si>
    <t>Mapa RIVADAVIA Político Nº3 Asia</t>
  </si>
  <si>
    <t>Mapa RIVADAVIA Político Nº3 Buenos Aires</t>
  </si>
  <si>
    <t>Mapa RIVADAVIA Político Nº3 Continente Americano</t>
  </si>
  <si>
    <t>Mapa RIVADAVIA Político Nº3 Europa</t>
  </si>
  <si>
    <t>Mapa RIVADAVIA Político Nº3 Grecia</t>
  </si>
  <si>
    <t>Mapa RIVADAVIA Político Nº3 Islas Malvinas</t>
  </si>
  <si>
    <t>Mapa RIVADAVIA PolíticoNº3 Italia</t>
  </si>
  <si>
    <t>Mapa RIVADAVIA Político Nº3 Oceanía</t>
  </si>
  <si>
    <t>Mapa RIVADAVIA Político Nº3 Planisferio</t>
  </si>
  <si>
    <t>Mapa RIVADAVIA Político Nº3 Tierra del Fuego, Antártida Argentina e Islas Malvinas</t>
  </si>
  <si>
    <t>Mapa RIVADAVIA Político Nº3 Territorio Argentino</t>
  </si>
  <si>
    <t>Mapa RIVADAVIA Físico Político Nº5 Buenos Aires</t>
  </si>
  <si>
    <t>Mapa RIVADAVIA Físico Político Nº5 África</t>
  </si>
  <si>
    <t>Mapa RIVADAVIA Físico Político Nº5 América del Sur</t>
  </si>
  <si>
    <t>Mapa RIVADAVIA Físico Político Nº5 Argentina</t>
  </si>
  <si>
    <t>Mapa RIVADAVIA Físico Político Nº5 Asia</t>
  </si>
  <si>
    <t>Mapa RIVADAVIA Físico Político Nº5 Continente Americano</t>
  </si>
  <si>
    <t>Mapa RIVADAVIA Físico Político Nº5 Europa</t>
  </si>
  <si>
    <t>Mapa RIVADAVIA Físico Político Nº5 Planisferio</t>
  </si>
  <si>
    <t>Mapa RIVADAVIA Político Nº5 África</t>
  </si>
  <si>
    <t>Mapa RIVADAVIA Político Nº5 América del Norte</t>
  </si>
  <si>
    <t>Mapa RIVADAVIA Político Nº5 América del Sur</t>
  </si>
  <si>
    <t>Mapa RIVADAVIA Político Nº5 Argentina</t>
  </si>
  <si>
    <t>Mapa RIVADAVIA Político Nº5 Asia</t>
  </si>
  <si>
    <t>Mapa RIVADAVIA Político Nº5 Buenos Aires</t>
  </si>
  <si>
    <t>Mapa RIVADAVIA/LAPRIDA Político Nº5 Continente Americano</t>
  </si>
  <si>
    <t>Mapa RIVADAVIA Político Nº5 Europa</t>
  </si>
  <si>
    <t>Mapa RIVADAVIA Político Nº5 Oceanía</t>
  </si>
  <si>
    <t>Mapa RIVADAVIA/LAPRIDA Político Nº5 Planisferio</t>
  </si>
  <si>
    <t>Mapa RIVADAVIA Físico Político Nº6 América del Sur</t>
  </si>
  <si>
    <t>Mapa RIVADAVIA Físico Político Nº6 Asia</t>
  </si>
  <si>
    <t>Mapa RIVADAVIA Físico Político Nº6 Europa</t>
  </si>
  <si>
    <t>Mapa RIVADAVIA/LAPRIDA Político Nº6 Argentina</t>
  </si>
  <si>
    <t xml:space="preserve">LAMINAS DIDACTICAS </t>
  </si>
  <si>
    <t>Abecedario UNIESCO Para Pintar y Colgar xu.</t>
  </si>
  <si>
    <t>Argentina UNIESCO Para Pintar y Colgar xu.</t>
  </si>
  <si>
    <t>Cursiva UNIESCO Para Pintar y Colgar xu.</t>
  </si>
  <si>
    <t>Dragon UNIESCO Para Pintar y Colgar xu.</t>
  </si>
  <si>
    <t>Estaciones UNIESCO Para Pintar y Colgar xu.</t>
  </si>
  <si>
    <t>Granja UNIESCO Para Pintar y Colgar xu.</t>
  </si>
  <si>
    <t>Lamina PIZZINI Antártida xu.</t>
  </si>
  <si>
    <t>"Lámina ""9 de Julio"" x10u."</t>
  </si>
  <si>
    <t>"Lámina "''Aborígenes"" x10u."</t>
  </si>
  <si>
    <t>Lámina Anatomía: Sistema Circulatorio x10u.</t>
  </si>
  <si>
    <t>"Lámina ""Anatomía: Sistema Digestivo x10u."</t>
  </si>
  <si>
    <t>"Lámina ""Manuel Belgrano"" x10u."</t>
  </si>
  <si>
    <t>Lámina Sistema Solar Rotación y Traslación x 10u.</t>
  </si>
  <si>
    <t>"Lámina ""José de San Martin"" x10u."</t>
  </si>
  <si>
    <t>Lamina PIZZINI Gran Chaco xu.</t>
  </si>
  <si>
    <t>Lamina PIZZINI Mar Argentino xu.</t>
  </si>
  <si>
    <t>Lamina PIZZINI Pampas xu.</t>
  </si>
  <si>
    <t>"Lámina ""Revolución de Mayo/Guerra de la Independencia"" x10u."</t>
  </si>
  <si>
    <t>"Lámina ""Revolución de Mayo"" x10u."</t>
  </si>
  <si>
    <t>Oficios Y Profesiones UNIESCO Para Pintar y Colgar xu.</t>
  </si>
  <si>
    <t>Princesas UNIESCO Para Pintar y Colgar xu.</t>
  </si>
  <si>
    <t>Sirena UNIESCO Para Pintar y Colgar xu.</t>
  </si>
  <si>
    <t xml:space="preserve">BLOCKS </t>
  </si>
  <si>
    <t>Anotador CONGRESO x40h.</t>
  </si>
  <si>
    <t>Anotador Éxito Cuadriculado x48h.</t>
  </si>
  <si>
    <t>Anotador Éxito Rayado x48h.</t>
  </si>
  <si>
    <t>Block 1028 Afiche Nº5 x40h.</t>
  </si>
  <si>
    <t>Block 1028 Blanco Nº5 x20h.</t>
  </si>
  <si>
    <t>Block 1028 Color Nº5 x20h.</t>
  </si>
  <si>
    <t>Block 1028 Blanco Nº6 x20h.</t>
  </si>
  <si>
    <t>Block ALFA Esquela A5 con Espiral Cuadriculado x80h.</t>
  </si>
  <si>
    <t>Block ALFA Esquela A5 con Espiral Liso x80h.</t>
  </si>
  <si>
    <t>Block ALFA Esquela A5 con Espiral Rayado x80h.</t>
  </si>
  <si>
    <t>Block ALFA Esquela A5 Fantasia Rayado x 80 hojas</t>
  </si>
  <si>
    <t>Block ALFA Esquela A5 Cuadriculado x80h.</t>
  </si>
  <si>
    <t>Block ALFA Esquela A5 Rayado x80h.</t>
  </si>
  <si>
    <t>Block ALFA Esquelita A6 Fantasia Rayado x 80 hojas</t>
  </si>
  <si>
    <t>Block ALFA Esquelita A6 con Espiral Cuadriculado x80h.</t>
  </si>
  <si>
    <t>Block ALFA Esquelita A6 con Espiral Liso x80h.</t>
  </si>
  <si>
    <t>Block ALFA Esquelita A6 con Espiral Rayado x80h.</t>
  </si>
  <si>
    <t>Block ALFA Esquelita A6 Rayado x80h.</t>
  </si>
  <si>
    <t>Block AMÉRICA Nos A4 liso x80h.</t>
  </si>
  <si>
    <t>Block AVON A4 Liso x80h.</t>
  </si>
  <si>
    <t>Block AVON A4 Cuadriculado x80h.</t>
  </si>
  <si>
    <t>Block AVON A4 Rayado x80h.</t>
  </si>
  <si>
    <t>Block AVON Esquela A5 Liso x80h.</t>
  </si>
  <si>
    <t>Block AVON Esquelita A6 Liso x80h.</t>
  </si>
  <si>
    <t>Block AVON Oficio Cuadriculado x80h.</t>
  </si>
  <si>
    <t>Block AVON Oficio Rayado x80h.</t>
  </si>
  <si>
    <t>Block AVON Oficio Liso x80h.</t>
  </si>
  <si>
    <t>Block de Cartulina Decorada Fantasía x20h.</t>
  </si>
  <si>
    <t>Block de Cartulina Decorada Figuras x20h.</t>
  </si>
  <si>
    <t>Block de Cartulina Decorada Trama x20h.</t>
  </si>
  <si>
    <t>Block CONGRESO Esquela con Espiral Cuadriculado x80h.</t>
  </si>
  <si>
    <t>Block CONGRESO Esquela con Espiral Liso x80h.</t>
  </si>
  <si>
    <t>Block CONGRESO Oficio Cuadriculado x40h.</t>
  </si>
  <si>
    <t>Block CONGRESO Oficio Rayado x40h.</t>
  </si>
  <si>
    <t>Block CONGRESO Oficio Cuadriculado x80h.</t>
  </si>
  <si>
    <t>Block Dibujo EXITO Nº5 Natural x24h. Liso</t>
  </si>
  <si>
    <t>Block EL NENE Afiche x50h.</t>
  </si>
  <si>
    <t>Block EL NENE Mandalas Geometria 15cmx15cmx24 hojas</t>
  </si>
  <si>
    <t>Block EL NENE Mini Color x24h.</t>
  </si>
  <si>
    <t>Block EL NENE Nº6 Blanco x24h.</t>
  </si>
  <si>
    <t>Block EL NENE Nº6 Color x24h.</t>
  </si>
  <si>
    <t>Block EL NENE Origami Bicolor 15 x 15cm. x24h.</t>
  </si>
  <si>
    <t>Block EL NENE Origami 15 x 15cm. x24h.</t>
  </si>
  <si>
    <t>Block EL NENE Blanco x24h.</t>
  </si>
  <si>
    <t>Block EL NENE Color x24h.</t>
  </si>
  <si>
    <t>Block EL NENE Fantasía x24h.</t>
  </si>
  <si>
    <t>Block EL NENE Fluo x24h.</t>
  </si>
  <si>
    <t>Block EL NENE Fantasía Aguayos x24h.</t>
  </si>
  <si>
    <t>Block EL NENE Kraft x24h.</t>
  </si>
  <si>
    <t>Block EL NENE Patriox24hj.</t>
  </si>
  <si>
    <t>Block ÉXITO Nº5 Blanco x24h.</t>
  </si>
  <si>
    <t>Block ÉXITO Nº5 Color Surtido x24h.</t>
  </si>
  <si>
    <t>Block ÉXITO Nº5 Negro x24h.</t>
  </si>
  <si>
    <t>Block ÉXITO Nº5 Color Pastel x40h.</t>
  </si>
  <si>
    <t>Block ÉXITO Nº6 Blanco x24h.</t>
  </si>
  <si>
    <t>Block ÉXITO Nº6 Color x24h.</t>
  </si>
  <si>
    <t>Block ÉXITO Nº6 Negro x24h.</t>
  </si>
  <si>
    <t>Block MANDALAS N°5 Animales P/Colorearx20hj(50)</t>
  </si>
  <si>
    <t>Block MANDALAS N°5 P/Colorearx20hj(50)</t>
  </si>
  <si>
    <t>Block GARABATOS N°5 Cartulina Divertida x4 Motivos x24hj.</t>
  </si>
  <si>
    <t>Block GARABATOS N°5 Color x24hj.</t>
  </si>
  <si>
    <t>Block GARABATOS N°5 Negro x24 hojas</t>
  </si>
  <si>
    <t>Block MANDALAS N°5 Papel Madera x24hj(50)</t>
  </si>
  <si>
    <t>Block HÚSARES Business A4 Cuadriculado x80h.</t>
  </si>
  <si>
    <t>Block HÚSARES Business A4 Rayado x80h.</t>
  </si>
  <si>
    <t>Block LEDESMA NAT Cuadriculado A4 x80h.</t>
  </si>
  <si>
    <t>Block LEDESMA NAT Rayado A4 x80h.</t>
  </si>
  <si>
    <t>Bloc LEDESMA NAT Liso A4 x80h.</t>
  </si>
  <si>
    <t>Block LUMA Nº5 Fluo x 15 hojas</t>
  </si>
  <si>
    <t>Block LUMA Nº5 Blanco x20h.</t>
  </si>
  <si>
    <t>Block LUMA Nº6 Blanco x20h.</t>
  </si>
  <si>
    <t>Block LUMA Nº6 Color x20h.</t>
  </si>
  <si>
    <t>Block LUMA Nº6 Fluo x 15 hojas</t>
  </si>
  <si>
    <t>Block LUMA Nº6 Negro x20h.</t>
  </si>
  <si>
    <t>Block LUMA Nº5 Negro x20h.</t>
  </si>
  <si>
    <t>Block De Notas MOOVING Harry Potter xu.</t>
  </si>
  <si>
    <t>Block QUINQUELA 32 x 47cm. Liso x24h.</t>
  </si>
  <si>
    <t xml:space="preserve">ETIQUETAS </t>
  </si>
  <si>
    <t>Carpeta PPR Street Racing Nº3 xu.</t>
  </si>
  <si>
    <t>Carpeta PPR Just Cool Nº3 xu.</t>
  </si>
  <si>
    <t>Etiqueta PEGASOLA Fluo Amarillo 19 x 38mm.</t>
  </si>
  <si>
    <t>Etiqueta PEGASOLA Fluo Verde 19 x 38mm.</t>
  </si>
  <si>
    <t>Etiqueta PEGASOLA Fluorescente Amarillo 16 x 22mm.</t>
  </si>
  <si>
    <t>Etiqueta PEGASOLA Fluo Magenta 16 x 22mm.</t>
  </si>
  <si>
    <t>Etiqueta PEGASOLA Fluo Naranja 16 x 22mm.</t>
  </si>
  <si>
    <t>Etiqueta PEGASOLA Fluo Rojo 16 x 22mm.</t>
  </si>
  <si>
    <t>Etiqueta PEGASOLA Fluo Verde 16 x 22mm.</t>
  </si>
  <si>
    <t>Etiqueta PEGASOLA Fluo Amarillo 8 x 15mm.</t>
  </si>
  <si>
    <t>Etiqueta PEGASOLA Fluo Magenta 8 x 15mm.</t>
  </si>
  <si>
    <t>Etiqueta PEGASOLA Fluo Naranja 8 x 15mm.</t>
  </si>
  <si>
    <t>Etiqueta PEGASOLA Fluo Rojo 8 x 15mm.</t>
  </si>
  <si>
    <t>Etiqueta PEGASOLA Fluo Verde 8 x 15mm.</t>
  </si>
  <si>
    <t>Etiqueta PEGASOLA Fluo Amarillo 8 x 20mm.</t>
  </si>
  <si>
    <t>Etiqueta PEGASOLA Fluo Magenta 8 x 20mm.</t>
  </si>
  <si>
    <t>Etiqueta PEGASOLA Fluo Naranja 8 x 20mm.</t>
  </si>
  <si>
    <t>Etiqueta PEGASOLA Fluo Rojo 8 x 20mm.</t>
  </si>
  <si>
    <t>Etiqueta PEGASOLA Fluo Verde 8 x 20mm.</t>
  </si>
  <si>
    <t>Sobre ETIDATA Laser A4 38x21.1mm</t>
  </si>
  <si>
    <t>Etiqueta ETIDATA A4 Láser + Ink-Jet x25h.</t>
  </si>
  <si>
    <t>Etiqueta Licencia "HOLOGRAFICA" x16u.</t>
  </si>
  <si>
    <t>Etiqueta Licencia "PASTEL" x16u.</t>
  </si>
  <si>
    <t>Etiqueta Licencia "RIVER" x16u.</t>
  </si>
  <si>
    <t>Etiqueta Licencia "URBANO/TRAP" x16u.</t>
  </si>
  <si>
    <t>Etiqueta Licencia "ASTROLOGICA" x16u.</t>
  </si>
  <si>
    <t>Etiqueta Licencia "AVENGERS HISTORIETAS" x16u.</t>
  </si>
  <si>
    <t>Etiqueta Licencia "boca" x16u.</t>
  </si>
  <si>
    <t>Etiqueta Licencia "FLUO" x16u.</t>
  </si>
  <si>
    <t>Etiqueta Licencia "ROCK" x16u.</t>
  </si>
  <si>
    <t>Etiqueta Licencia "STARWARS" x16u.</t>
  </si>
  <si>
    <t>Etiqueta Licencia "SWEET" x16u.</t>
  </si>
  <si>
    <t>Etiqueta MOOVING Licencia Como Quieres.. x12u.</t>
  </si>
  <si>
    <t>Etiqueta Licencia "Jardín Nene" x12u.</t>
  </si>
  <si>
    <t>Etiqueta MOOVING Licencia Jurassic World x12u.</t>
  </si>
  <si>
    <t>Etiqueta MOOVING Licencia Line Friends x12u.</t>
  </si>
  <si>
    <t>Etiqueta MOOVING RIVER PLATE x12u.</t>
  </si>
  <si>
    <t>Etiqueta MOOVING Spiderman x12u.</t>
  </si>
  <si>
    <t>Etiqueta Licencia "Gallinita Pintadita" x16u.</t>
  </si>
  <si>
    <t>Etiqueta para Etiquetadora Blanca</t>
  </si>
  <si>
    <t>Etiqueta para Etiquetadora Fluo Amarillo</t>
  </si>
  <si>
    <t>Etiqueta para Etiquetadora Fluo Naranja</t>
  </si>
  <si>
    <t>Etiqueta para Etiquetadora Fluo Verde</t>
  </si>
  <si>
    <t>Etiqueta para Etiquetadora Rosa</t>
  </si>
  <si>
    <t>Etiqueta PEGASOLA Art. 3004</t>
  </si>
  <si>
    <t>Etiqueta PEGASOLA Art. 3005</t>
  </si>
  <si>
    <t>Etiqueta PEGASOLA Art. 3011</t>
  </si>
  <si>
    <t>Etiqueta PEGASOLA Art. 3012</t>
  </si>
  <si>
    <t>Etiqueta PEGASOLA Art. 3013</t>
  </si>
  <si>
    <t>Etiqueta PEGASOLA Art. 3015</t>
  </si>
  <si>
    <t>Etiqueta PEGASOLA Art. 3016</t>
  </si>
  <si>
    <t>Etiqueta PEGASOLA Art. 3019</t>
  </si>
  <si>
    <t>Etiqueta PEGASOLA Art. 3020</t>
  </si>
  <si>
    <t>Etiqueta PEGASOLA Art. 3022</t>
  </si>
  <si>
    <t>Etiqueta PEGASOLA Art. 3023</t>
  </si>
  <si>
    <t>Etiqueta PEGASOLA Art. 3024</t>
  </si>
  <si>
    <t>Etiqueta PEGASOLA Art. 3025</t>
  </si>
  <si>
    <t>Etiqueta PEGASOLA Art. 3026</t>
  </si>
  <si>
    <t>Etiqueta PEGASOLA Art. 3027</t>
  </si>
  <si>
    <t>Etiqueta PEGASOLA Art. 3030</t>
  </si>
  <si>
    <t>Etiqueta PEGASOLA Art. 3032</t>
  </si>
  <si>
    <t>Etiqueta PEGASOLA Art. 3033</t>
  </si>
  <si>
    <t>Etiqueta PEGASOLA Art. 3034</t>
  </si>
  <si>
    <t>Etiqueta PEGASOLA Art. 3037</t>
  </si>
  <si>
    <t>Etiqueta PEGASOLA Art. 3031</t>
  </si>
  <si>
    <t>Etiqueta PEGASOLA Art. 3035</t>
  </si>
  <si>
    <t>Etiqueta PEGASOLA Art. 3036</t>
  </si>
  <si>
    <t>Etiqueta PEGASOLA Art. 3038</t>
  </si>
  <si>
    <t>Etiqueta PEGASOLA Art. 3040</t>
  </si>
  <si>
    <t>Etiqueta PEGASOLA Art. 3048</t>
  </si>
  <si>
    <t>Etiqueta PEGASOLA Felicidades</t>
  </si>
  <si>
    <t>Etiqueta PEGASOLA Para Cuaderno Azul x240u.</t>
  </si>
  <si>
    <t>Etiqueta PEGASOLA Para Cuaderno Rojo x240u.</t>
  </si>
  <si>
    <t>Etiqueta PEGASOLA Para Cuaderno Verde x240u.</t>
  </si>
  <si>
    <t>Etiqueta Licencia "SONIC" x16u.</t>
  </si>
  <si>
    <t>Etiquetas HUSARES Autoadhesivas A4 x21u.x100hojas</t>
  </si>
  <si>
    <t>Etiquetas ONIX Para Cuadernos Bikers x12u.</t>
  </si>
  <si>
    <t>Etiquetas ONIX P/CUAD.BUHOS x12u.</t>
  </si>
  <si>
    <t>Etiquetas ONIX Para Cuadernos Deportes x12u.</t>
  </si>
  <si>
    <t>Etiquetas ONIX Para Cuadernos Heavy Calaveras x12u.</t>
  </si>
  <si>
    <t>Etiquetas ONIX Para Cuadernos Hippie Style x12u.</t>
  </si>
  <si>
    <t>Etiquetas ONIX Para Cuadernos Inclusiva x12u.</t>
  </si>
  <si>
    <t>Etiquetas ONIX Para Cuadernos Live Fast x12u.</t>
  </si>
  <si>
    <t>Etiquetas ONIX Para Cuadernos Mandalas Metalizado x12u.</t>
  </si>
  <si>
    <t>Etiquetas ONIX Para Cuadernos Moto Retro x12u.</t>
  </si>
  <si>
    <t>Etiquetas ONIX Para Cuadernos Nature 2 x12u.</t>
  </si>
  <si>
    <t>Etiquetas ONIX Para Cuadernos New Lettering x12u.</t>
  </si>
  <si>
    <t>Etiquetas ONIX Para Cuadernos Rainbow 2 x12u.</t>
  </si>
  <si>
    <t>Etiquetas ONIX Para Cuadernos Salvaje x12u.</t>
  </si>
  <si>
    <t>Etiquetas Boca x20u.</t>
  </si>
  <si>
    <t>Etiquetas Hombre Araña x20u.</t>
  </si>
  <si>
    <t>Etiquetas Migthy pups x20u.</t>
  </si>
  <si>
    <t>Etiquetas Minnie Mouse x20u.</t>
  </si>
  <si>
    <t>Etiquetas Princesas x20u.</t>
  </si>
  <si>
    <t>Etiquetas River x20u.</t>
  </si>
  <si>
    <t>Etiquetas Toy Story 3 x20u.</t>
  </si>
  <si>
    <t>Etiquetas Unicorniox20u.</t>
  </si>
  <si>
    <t>Lomo para Bibliorato Autoadhesivo Marrón x20u.</t>
  </si>
  <si>
    <t>Lomo para Bibliorato Autoadhesivo Verde x20u.</t>
  </si>
  <si>
    <t>Ojalillos PEGASOLA Clásico</t>
  </si>
  <si>
    <t xml:space="preserve">AGENDAS E INDICES </t>
  </si>
  <si>
    <t>Agenda MOOVING Pocket Espiral Dots</t>
  </si>
  <si>
    <t>Agenda MOOVING Pocket Espiral Joy</t>
  </si>
  <si>
    <t>Agenda MOOVING Pocket Espiral Magic</t>
  </si>
  <si>
    <t>Agenda LIBESA Animales Vintage Con Espiral 16x22 SV</t>
  </si>
  <si>
    <t>Agenda LIBESA Animales Vintage Con Espiral 16x22 HxD</t>
  </si>
  <si>
    <t>Agenda LIBESA Arabescos Con Espiral 16x22 SV</t>
  </si>
  <si>
    <t>Agenda LIBESA Arabescos Con Espiral 16x22 HxD</t>
  </si>
  <si>
    <t>Agenda LIBESA Batik Con Espiral 16x22 SV</t>
  </si>
  <si>
    <t>Agenda LIBESA Batik Con Espiral 16x22 HxD</t>
  </si>
  <si>
    <t>Agenda LIBESA Eco Abstracta Con Espiral 16x22 SV</t>
  </si>
  <si>
    <t>Agenda LIBESA Eco Boho Con Espiral 16x22 SV</t>
  </si>
  <si>
    <t>Agenda LIBESA Kaft Inclusiva Con Espiral 16x22 SV</t>
  </si>
  <si>
    <t>Agenda LIBESA Acuarela Con Espiral 16x22 HxD</t>
  </si>
  <si>
    <t>Agenda LIBESA Acuarela Con Espiral 16x22 SV</t>
  </si>
  <si>
    <t>Agenda LIBESA Black &amp; Pink Con Espiral 16x22 SV</t>
  </si>
  <si>
    <t>Agenda LIBESA Black &amp; Pink Con Espiral 16x22 HxD</t>
  </si>
  <si>
    <t>Agenda LIBESA Eco College Con Espiral 16x22 HxD</t>
  </si>
  <si>
    <t>Agenda LIBESA Eco College Con Espiral 16x22 SV</t>
  </si>
  <si>
    <t>Agenda LIBESA Eco Man Con Espiral 16x22 SV</t>
  </si>
  <si>
    <t>Agenda LIBESA Eco Nature Con Espiral 16x21 HxD</t>
  </si>
  <si>
    <t>Agenda LIBESA Eco Nature Con Espiral 16x22 SV</t>
  </si>
  <si>
    <t>Agenda LIBESA Lunares Con Espiral 16x22 SV</t>
  </si>
  <si>
    <t>Agenda LIBESA Otoño Con Espiral 16x22 HxD</t>
  </si>
  <si>
    <t>Agenda LIBESA Otoño Con Espiral 16x22 SV</t>
  </si>
  <si>
    <t>Agenda LIBESA Pastel Colors Con Espiral 16x22 SV</t>
  </si>
  <si>
    <t>Agenda LIBESA Pastel Colors con Espiral 16x22cm. Hoja Por Día</t>
  </si>
  <si>
    <t>Agenda LIBESA Power Full Con Espiral 16x22 HxD</t>
  </si>
  <si>
    <t>Agenda LIBESA Power Full Con Espiral 16x22 SV</t>
  </si>
  <si>
    <t>Agenda LIBESA Rainbow Con Espiral 16x22 SV</t>
  </si>
  <si>
    <t>Agenda LIBESA Rainbow Con Espiral 16x22 HxD</t>
  </si>
  <si>
    <t>Agenda LIBESA Spring Time Con Espiral 16x22 HxD</t>
  </si>
  <si>
    <t>Agenda LIBESA Spring Time Con Espiral 16x22 SV</t>
  </si>
  <si>
    <t>Agenda LIBESA Universal Kraft Con Espiral 16x22 HxD</t>
  </si>
  <si>
    <t>Agenda LIBESA Universal Kraft Con Espiral 16x22 SV</t>
  </si>
  <si>
    <t>Agenda LIBESA Uomo Black Con Espiral 16x22 HxD</t>
  </si>
  <si>
    <t>Agenda LIBESA Uomo Black Con Espiral 16x22 SV</t>
  </si>
  <si>
    <t>Agenda LIBESA Uomo Colors Con Espiral 16x22 HxD</t>
  </si>
  <si>
    <t>Agenda LIBESA Uomo Colors Con Espiral 16x22 SV</t>
  </si>
  <si>
    <t>Agenda LIBESA Acuarela Con Espiral 10x15cm. Hoja Por Día</t>
  </si>
  <si>
    <t>Agenda LIBESA Arabescos Con Espiral 10x15cm. Hoja Por Día</t>
  </si>
  <si>
    <t>Agenda LIBESA Black &amp; Pink Con Espiral 10x15cm. Hoja Por Día</t>
  </si>
  <si>
    <t>Agenda LIBESA Lunares Con Espiral 10x15cm. Hoja Por Día</t>
  </si>
  <si>
    <t>Agenda LIBESA Lunares con Espiral 16 x22cm. Hoja por Día</t>
  </si>
  <si>
    <t>Agenda LIBESA Nature Flowers Con Espiral 10x15cm. Hoja Por Día</t>
  </si>
  <si>
    <t>Agenda LIBESA Opposite con Espiral 16 x21cm. Semana A La Vista</t>
  </si>
  <si>
    <t>Agenda LIBESA Opposite con Espiral 16 x22cm. Hoja x Día</t>
  </si>
  <si>
    <t>Agenda LIBESA Otoño Con Espiral 10x15cm. Hoja Por Día</t>
  </si>
  <si>
    <t>Agenda LIBESA Pastel Colors Con Espiral 10x15cm. Hoja Por Día</t>
  </si>
  <si>
    <t>Agenda LIBESA Petit Acuarela Con Espiral 17x9cm. Semana a la Vista</t>
  </si>
  <si>
    <t>Agenda LIBESA Petit Batik Con Espiral 17x9cm. Semana a la Vista</t>
  </si>
  <si>
    <t>Agenda LIBESA Petit Black &amp; Pink Con Espiral 17x9cm. Semana a la Vista</t>
  </si>
  <si>
    <t>Agenda LIBESA Petit Lunares Con Espiral 17x9cm. Semana a la Vista</t>
  </si>
  <si>
    <t>Agenda LIBESA Petit Opposite Con Espiral 17x9cm. Semana a la Vista</t>
  </si>
  <si>
    <t>Agenda LIBESA Petit Otoño Con Espiral 17x9cm. Semana a la Vista</t>
  </si>
  <si>
    <t>Agenda LIBESA Petit Pastel Colors Con Espiral 16.5x9cm. Semana a la Vista</t>
  </si>
  <si>
    <t>Agenda LIBESA Petit Rainbow Con Espiral 16.5x9cm. Semana a la Vista</t>
  </si>
  <si>
    <t>Agenda LIBESA Petit Spring Time Con Espiral 17x9cm. Semana a la Vista</t>
  </si>
  <si>
    <t>Agenda LIBESA Petit Universal Kraft Con Espiral 17x9cm. Semana a la Vista</t>
  </si>
  <si>
    <t>Agenda LIBESA Uomo Black con Espiral 16 x22cm. Hoja por Día</t>
  </si>
  <si>
    <t>Agenda LIBESA Petit Uomo Colors Con Espiral 17x9cm. Semana a la Vista</t>
  </si>
  <si>
    <t>Agenda LIBESA Rainbow Con Espiral 10x15cm. Hoja Por Día</t>
  </si>
  <si>
    <t>Agenda LIBESA Spring Time Con Espiral 10x15cm. Hoja Por Día</t>
  </si>
  <si>
    <t>Agenda MOOVING 14x20 2DxP. Harry Potter (4222)</t>
  </si>
  <si>
    <t>AGENDA MOOV.14x20 2DxP. MICKEY MOUSE (4121)</t>
  </si>
  <si>
    <t>Agenda MOOVING 14x20 2DxP Minnie Mouse</t>
  </si>
  <si>
    <t>Agenda MOOVING 14x20 DxP Disney 100 años</t>
  </si>
  <si>
    <t>Agenda MOOVING 14x20 DxP Snoopy</t>
  </si>
  <si>
    <t>Agenda MOOVING 14x20 Semana a la Vista Dark</t>
  </si>
  <si>
    <t>Agenda MOOVING 15x21 2DxP. Quitapesares</t>
  </si>
  <si>
    <t>Agenda MOOVING 15x21 DxP. Neon Fun</t>
  </si>
  <si>
    <t>Agenda MOOVING 15x21 DxP. Modern Soft</t>
  </si>
  <si>
    <t>Agenda MOOVING 15x21 DxP. Positive</t>
  </si>
  <si>
    <t>Agenda MOOVING 15x21 Semana A La Vista Joy</t>
  </si>
  <si>
    <t>Agenda MOOVING 15x21 Semana a la Vista Dots</t>
  </si>
  <si>
    <t>Agenda MOOVING 15x21 Semana a la Vista Magic</t>
  </si>
  <si>
    <t>Agenda MOOVING 15x21 Semana a la Vista Modern Soft</t>
  </si>
  <si>
    <t>Agenda MOOVING 15x21 Semana a la Vista Neón</t>
  </si>
  <si>
    <t>Agenda MOOVING 15x21 Semana a la Vista Positive</t>
  </si>
  <si>
    <t>Agenda MOOVING 15x21 Semana a la Vista Urban Big Ideas</t>
  </si>
  <si>
    <t>Agenda MOOVING 16,5 x 22cm. Dia Por Pagina Floral</t>
  </si>
  <si>
    <t>Agenda MOOVING 16,5 x 22cm. Dia Por Pagina Hope</t>
  </si>
  <si>
    <t>Agenda MOOVING 10x15 Un Día Por Página Dots Lila</t>
  </si>
  <si>
    <t>Agenda MOOVING 10x15 Un Día Por Página Magic</t>
  </si>
  <si>
    <t>Agenda MOOVING 10x15 Un Día Por Página Modern Soft</t>
  </si>
  <si>
    <t>Agenda MOOVING 10x15cm. Un Día Por Página Joy</t>
  </si>
  <si>
    <t>Agenda MOOVING 10x15cm. Un Día Por Página Positive</t>
  </si>
  <si>
    <t>Agenda MOOVING 10x15 2DxP. Joy</t>
  </si>
  <si>
    <t>Agenda MOOVING 10x15 2DxP Magic</t>
  </si>
  <si>
    <t>Agenda MOOVING 15x21 Bienestar Día Por Página</t>
  </si>
  <si>
    <t>Agenda MOOVING 15x21 Dots Día Por Página</t>
  </si>
  <si>
    <t>Agenda MOOVING 15x21 Día Por Página Magic</t>
  </si>
  <si>
    <t>Agenda MOOVING 15x21 Día Por Página Urban Big Ideas</t>
  </si>
  <si>
    <t>Agenda MOOVING Pocket Espiral Chic</t>
  </si>
  <si>
    <t>Agenda MOOVING Pocket Espiralada Positive</t>
  </si>
  <si>
    <t>Agenda MOOVING Pocket Joy</t>
  </si>
  <si>
    <t>Agenda MOOVING Pocket Positive</t>
  </si>
  <si>
    <t>Agenda MOOVING 10x15 2DxP.Modern Soft (2147)</t>
  </si>
  <si>
    <t>Agenda MOOVING 10x15 2DxP Dots</t>
  </si>
  <si>
    <t>Agenda MOOVING. 10x15 1DxP. Chic (3153)</t>
  </si>
  <si>
    <t>Agenda MOOVING 10x15 2DxP.Positive (2137)</t>
  </si>
  <si>
    <t>Agenda PPR 2024 Amor Propio Semana a la Vista 15x21cm</t>
  </si>
  <si>
    <t>Agenda PPR 2024 Arte Día por Página 15x21cm</t>
  </si>
  <si>
    <t>Agenda PPR 2024 Arte Semana a la Vista 15x21cm</t>
  </si>
  <si>
    <t>Agenda PPR 2024 Astrologica Semana a la Vista 15x21cm</t>
  </si>
  <si>
    <t>Agenda PPR 2024 Emprendedora Semana a la Vista 15x21cm</t>
  </si>
  <si>
    <t>Agenda PPR 2024 Experimental Día por Página 15x21cm</t>
  </si>
  <si>
    <t>Agenda PPR 2024 Experimental Semana a la Vista 15x21cm</t>
  </si>
  <si>
    <t>Agenda PPR 2024 Femenina Día por Página 15x21cm</t>
  </si>
  <si>
    <t>Agenda PPR 2024 Femenina Semana a la Vista 15x21cm</t>
  </si>
  <si>
    <t>Agenda PPR 2024 Holografica Día por Página 15x21cm</t>
  </si>
  <si>
    <t>Agenda PPR 2024 Masculina Día por Página 15x21cm</t>
  </si>
  <si>
    <t>Agenda PPR 2024 Masculina Semana a la Vista 15x21cm</t>
  </si>
  <si>
    <t>Agenda PPR 2024 Natural Día por Página 15x21cm</t>
  </si>
  <si>
    <t>Agenda PPR 2024 Natural Semana a la Vista 15x21cm</t>
  </si>
  <si>
    <t>Agenda PPR 2023 Bullet Semana a la Vista 16x21cm</t>
  </si>
  <si>
    <t>Agenda PPR 2023 Docente Semana a la Vista 16x21cm</t>
  </si>
  <si>
    <t>Agenda PPR 2024 Docente 15x21cm.</t>
  </si>
  <si>
    <t>Agenda PPR SOLUTIONS Arte 10x15cm. Dias por Pagina 2024</t>
  </si>
  <si>
    <t>Agenda PPR Arte Perpetua 15x21cm.</t>
  </si>
  <si>
    <t>Agenda PPR SOLUTIONS Arte Pocket 17x8.6cm. Semana a la Vista</t>
  </si>
  <si>
    <t>Agenda PPR boca Perpetua 15x21cm.</t>
  </si>
  <si>
    <t>Agenda PPR Escolar Perpetua 15x21cm.</t>
  </si>
  <si>
    <t>Agenda PPR SOLUTIONS Femenina 10x15cm. Dias por Pagina 2024</t>
  </si>
  <si>
    <t>Agenda PPR Femenina Perpetua 15x21cm.</t>
  </si>
  <si>
    <t>Agenda PPR SOLUTIONS Femenina Pocket 17x8.6cm. Semana a la Vista</t>
  </si>
  <si>
    <t>Agenda PPR SOLUTIONS Indie 10x15cm. Dias por Pagina</t>
  </si>
  <si>
    <t>Agenda PPR SOLUTIONS Indie Pocket 17x8.6cm. Semana a la Vista</t>
  </si>
  <si>
    <t>Agenda PPR SOLUTIONS Ironica Pocket 17x8.6cm. Semana a la Vista</t>
  </si>
  <si>
    <t>Agenda PPR Masculina Perpetua 15x21cm.</t>
  </si>
  <si>
    <t>Agenda PPR SOLUTIONS Minimal Pocket 17x8.6cm. Semana a la Vista</t>
  </si>
  <si>
    <t>Agenda PPR SOLUTIONS Natural 10x15cm. Dias por Pagina 2024</t>
  </si>
  <si>
    <t>Agenda PPR SOLUTIONS Natural Pocket 17x8.6cm. Semana a la Vista</t>
  </si>
  <si>
    <t>Agenda PPR SOLUTIONS Pastel Pocket 17x8.6cm. Semana a la Vista</t>
  </si>
  <si>
    <t>Agenda PPR RIVER Perpetua 15x21cm.</t>
  </si>
  <si>
    <t>Agenda PPR Star Wars Perpetua 15x21cm.</t>
  </si>
  <si>
    <t>Agenda REYSA 2024 Escolar 15cm x 21cm xu. Semana a la Vista</t>
  </si>
  <si>
    <t>Agenda REYSA 2024 Holográfica 15cm x 21cm xu. Dos Días Por Pagina</t>
  </si>
  <si>
    <t>Agenda REYSA 2024 Krafty 15cm x 21cm xu. Dia Por Pagina</t>
  </si>
  <si>
    <t>Agenda REYSA 2024 Premium Anillada 15cm x 21cm xu. Dia Por Pagina</t>
  </si>
  <si>
    <t>Agenda REYSA 2024 Premium 15cm x 21cm xu. Semana a la Vista</t>
  </si>
  <si>
    <t>Agenda REYSA 2024 Puffer 15cm x 21cm xu. Dos Días Por Pagina</t>
  </si>
  <si>
    <t>Agenda REYSA 2024 Universo 15cm x 21cm xu. Dos Días Por Pagina</t>
  </si>
  <si>
    <t>Agenda REYSA 2024 Uomo 15cm x 21cm xu. Semana a la Vista</t>
  </si>
  <si>
    <t>Bitácora De Viaje PPR 15x21cm</t>
  </si>
  <si>
    <t>Calendario 2024 10cm. x 15cm. x25u.</t>
  </si>
  <si>
    <t>Calendario 2024 10cm. x 7.5cm.x 25u.</t>
  </si>
  <si>
    <t>Calendario Mignon 2024 x50u.</t>
  </si>
  <si>
    <t>Calendario Sin Espiral 2022 11.5x20cm x10u</t>
  </si>
  <si>
    <t>Calendario Sin Espiral 32.5x23.5cm 2022 x10u.</t>
  </si>
  <si>
    <t>Planificador MILENIUM 2024 16x23cm</t>
  </si>
  <si>
    <t>Planificador MILENIUM 2024 Apaisado 23x32cm</t>
  </si>
  <si>
    <t>Planificador MILENIUM 2024 45x32cm A3</t>
  </si>
  <si>
    <t>Planificador MILENIUM 2020 Vertical 2022 23 x 32cm.</t>
  </si>
  <si>
    <t>Repuesto ONIX Para Agenda N°8 16x22xm. Hoja Por Día 2024</t>
  </si>
  <si>
    <t xml:space="preserve">LIBRETAS </t>
  </si>
  <si>
    <t>Libreta NORTE 120 Sin Índice 21x13cm.</t>
  </si>
  <si>
    <t>Libreta NORTE 4010 sin Índice 8,5 x 5,5cm.</t>
  </si>
  <si>
    <t>Libreta NORTE 402 sin Índice 12 x 8cm.</t>
  </si>
  <si>
    <t>Libreta NORTE 4020 con índice 10,5 x 6,6cm.</t>
  </si>
  <si>
    <t>Libreta NORTE 4020 sin Índice 10,5 x 6,6cm.</t>
  </si>
  <si>
    <t>Libreta NORTE 403 sin Índice 15,5 x 10,5cm.</t>
  </si>
  <si>
    <t>Libreta NORTE 4030 con Índice 12 x 8cm.</t>
  </si>
  <si>
    <t>Libreta NORTE 4030 sin Índice 12 x 8cm.</t>
  </si>
  <si>
    <t>Libreta NORTE 4040 con Índice 14 x 9,5cm.</t>
  </si>
  <si>
    <t>Libreta NORTE 4040 sin Índice 14 x 9,5cm.</t>
  </si>
  <si>
    <t>Libreta NORTE 4060 con Índice 10,5 x 15,5cm.</t>
  </si>
  <si>
    <t>Libreta NORTE 4060 sin Índice 10,5 x 15,5cm.</t>
  </si>
  <si>
    <t>Libreta PPR SOLUTIONS Romantica 15x21</t>
  </si>
  <si>
    <t xml:space="preserve">PAPEL GLACE </t>
  </si>
  <si>
    <t>Papel Glacé Celeste x5mts.</t>
  </si>
  <si>
    <t>Papel Glacé LUMA Dorado x5mts.</t>
  </si>
  <si>
    <t>Papel Glacé Fluo x5u.x 25 Sobres</t>
  </si>
  <si>
    <t>Papel Glacé Lustre x10u.x 25 Sobres</t>
  </si>
  <si>
    <t>Papel Glacé Metalizado x5u.x25 Sobres.</t>
  </si>
  <si>
    <t>Papel Glacé Plateado x5mts.</t>
  </si>
  <si>
    <t>Papel Glacé Fluo Taco x100u.</t>
  </si>
  <si>
    <t>Papel Glacé Lustre Taco x200u.</t>
  </si>
  <si>
    <t>Papel Glacé Metalizado Taco x100u.</t>
  </si>
  <si>
    <t>Papel Glacé Metalizado Taco x200u.</t>
  </si>
  <si>
    <t xml:space="preserve">PAPEL ESPECIAL </t>
  </si>
  <si>
    <t>Papel Fotográfico Autoadhesivo A4 x 120 Gramos x 20 Hojas</t>
  </si>
  <si>
    <t>Papel Fotográfico Epson A4 x 190 Gramos x 20 Hojas</t>
  </si>
  <si>
    <t>Papel Fotográfico Inkjet A4 x 190 Gramos x 20 Hojas</t>
  </si>
  <si>
    <t>Papel Fotográfico Magnético A4 x 190 Gramos x 10 Hojas</t>
  </si>
  <si>
    <t xml:space="preserve">SOBRES </t>
  </si>
  <si>
    <t>Sobres Color 1340 Amarillo (15,3 x 16,4cm.) x10u.</t>
  </si>
  <si>
    <t>Sobres Color 1340 Azul (15,3 x 16,4cm.) x10u.</t>
  </si>
  <si>
    <t>Sobres Color 1340 Blanco Perlado 15,3 x 16,4cm.) x10u.</t>
  </si>
  <si>
    <t>Sobres Color 1340 Blanco (15,3 x 16,4cm.) x10u.</t>
  </si>
  <si>
    <t>Sobres Color 1340 Negro (15,3 x 16,4cm.) x10u.</t>
  </si>
  <si>
    <t>Sobres Color 1340 Plateado (15,3 x 16,4cm.) x10u.</t>
  </si>
  <si>
    <t>Sobres Color 1340 Rojo (15,3 x 16,4cm.) x10u.</t>
  </si>
  <si>
    <t>Sobres Color 1340 Verde (15,3 x 16,4cm.) x10u.</t>
  </si>
  <si>
    <t>Sobres Color 1001 Amarillo (12,5 x 19cm.) x10u.</t>
  </si>
  <si>
    <t>Sobres Color 1001 Azul (12,5 x 19cm.) x10u.</t>
  </si>
  <si>
    <t>Sobres Color 1001 Blanco Perlado (12,5 x 19cm.)x10u.</t>
  </si>
  <si>
    <t>Sobres Color 1001 Dorado (12,5 x 19cm.)x10u.</t>
  </si>
  <si>
    <t>Sobres Color 1001 Negro (12,5 x 19cm.)x10u.</t>
  </si>
  <si>
    <t>Sobres Color 1001 Plata (12,5 x 19cm.) x10u.</t>
  </si>
  <si>
    <t>Sobres Color 1001 Rojo (12,5 x 19cm.) x10u.</t>
  </si>
  <si>
    <t>Sobres Color 1001 Verde (12,5 x 19cm.)x10u.</t>
  </si>
  <si>
    <t>Sobres Color 1240 Amarillo (7 x 10cm.) x10u.</t>
  </si>
  <si>
    <t>Sobres Color 1240 Azul (7 x 10cm.) x10u.</t>
  </si>
  <si>
    <t>Sobres Color 1240 Blanco Perlado (7 x 10cm.) x10u.</t>
  </si>
  <si>
    <t>Sobres Color 1240 Dorado (7 x 10cm.) x10u.</t>
  </si>
  <si>
    <t>Sobres Color 1240 Negro (7 x 10cm.) x10u.</t>
  </si>
  <si>
    <t>Sobres Color 1240 Plata (7 x 10cm.) x10u.</t>
  </si>
  <si>
    <t>Sobres Color 1240 Rojo (7 x 10cm.) 10u.</t>
  </si>
  <si>
    <t>Sobres Color 1240 Verde (7 x 10cm.) x10u.</t>
  </si>
  <si>
    <t>Sobre Plástico A4 Horizontal con Hilo</t>
  </si>
  <si>
    <t>Sobre Plástico A4 Vertical con Hilo</t>
  </si>
  <si>
    <t>Sobre Plástico Oficio Horizontal con Hilo</t>
  </si>
  <si>
    <t>Sobre Plástico Oficio Vertical con Hilo</t>
  </si>
  <si>
    <t>Sobre Plástico Oficio Horizontal con Solapa</t>
  </si>
  <si>
    <t>Sobre Plástico A4 Vertical con Solapa</t>
  </si>
  <si>
    <t>Sobre Plástico Oficio Vertical con Solapa</t>
  </si>
  <si>
    <t>Sobre Plástico A4 Vertical con Velcro</t>
  </si>
  <si>
    <t>Sobre Plástico Oficio Vertical con Velcro</t>
  </si>
  <si>
    <t>Sobre Plástico A4 Horizontal con Cierre Ziploc</t>
  </si>
  <si>
    <t>Sobre Plástico Oficio Horizontal con Cierre Ziploc</t>
  </si>
  <si>
    <t>Sobre Plástico para Cheques Horizontal con Cierre Ziploc</t>
  </si>
  <si>
    <t>Sobre Plástico A4 Doble con Botón</t>
  </si>
  <si>
    <t>Sobre Plástico A5 Doble con Botón Violeta-Rosa-Naranja</t>
  </si>
  <si>
    <t>Sobre Plástico A5 Doble con Botón</t>
  </si>
  <si>
    <t>Sobre Plástico Oficio Doble con Botón</t>
  </si>
  <si>
    <t>Sobre Plástico LAMA Doble con Botón Oficio</t>
  </si>
  <si>
    <t>Sobre Plastico FANTASIA con Boton A4 Fucsia</t>
  </si>
  <si>
    <t>Sobre Plastico FANTASIA con Boton A4 Turquesa</t>
  </si>
  <si>
    <t>Sobre Plastico FANTASIA con Boton A5 Fucsia</t>
  </si>
  <si>
    <t>Sobre Plastico FANTASIA con Boton A5 Turquesa</t>
  </si>
  <si>
    <t>Sobre Plastico FANTASIA con Boton Oficio Turquesa</t>
  </si>
  <si>
    <t>Sobre Plastico FANTASIA con Boton Oficio Fucsia</t>
  </si>
  <si>
    <t>Sobre PVC Con Cierre Metal A4 x 24 x 31cm.</t>
  </si>
  <si>
    <t>Sobre PVC Con Cierre Metal A5 x 18 x 23cm.</t>
  </si>
  <si>
    <t>Sobre PVC Con Cierre Metal Oficio x 24 x 37cm.</t>
  </si>
  <si>
    <t>Sobre PVC Con Cierre Metal x 12 x 21cm.</t>
  </si>
  <si>
    <t>Sobres 1001 (12,5 x 19cm.) x50u.</t>
  </si>
  <si>
    <t>Sobres 1012 (15 x 23,5cm.) x50u.</t>
  </si>
  <si>
    <t>Sobres 1240 Tarjeta Opalina (6,9 x 10cm.) x50u.</t>
  </si>
  <si>
    <t>Sobres 1327 Oficio Inglés (12 x 23cm.) x65g.x500u.</t>
  </si>
  <si>
    <t>Sobres 1327 Oficio Inglés (12 x 23cm.) x65g.x50u.</t>
  </si>
  <si>
    <t>Sobres 1395 Oficio Inglés (12 x 23cm.) x90g.x500u.</t>
  </si>
  <si>
    <t>Sobres 1475 Oficio Americano (11 x 22cm.) x50u.</t>
  </si>
  <si>
    <t>Sobres 1500 Comercial (11 x 16cm.) x65g. x500u.</t>
  </si>
  <si>
    <t>Sobres 1578 Comercial (11 x 16cm.) x65g. x50u.</t>
  </si>
  <si>
    <t>Sobres 1585 Comercial (11 x 16cm.) x80g. x500u.</t>
  </si>
  <si>
    <t>Sobres 1595 Comercial (11 x 16cm.) x90g. x500u.</t>
  </si>
  <si>
    <t>Sobres Blancos 2675 (19 x 24cm.) x100u.</t>
  </si>
  <si>
    <t>Sobres Blancos 2677 (24 x 30cm.) x100u.</t>
  </si>
  <si>
    <t>Sobres Blancos 2678 (25 x 35cm.) x100u.</t>
  </si>
  <si>
    <t>Sobres Blancos 2679 Oficio (27 x 37cm.) x100u.</t>
  </si>
  <si>
    <t>Sobres Blancos 2681 (37 x 45cm.) x100u.</t>
  </si>
  <si>
    <t>Sobres Blancos 2682 A4 (22 x 32cm.) x100u.</t>
  </si>
  <si>
    <t>Sobres Manila 2621 (12 x 19cm.) x100u.</t>
  </si>
  <si>
    <t>Sobres Manila 2622 (13 x 25,5cm) x100u.</t>
  </si>
  <si>
    <t>Sobres Manila 2623 (14 x 21cm.) x100u.</t>
  </si>
  <si>
    <t>Sobres Manila MEDORO 2624 (16 x 23cm.) x100u.</t>
  </si>
  <si>
    <t>Sobres Manila 2625 (19 x 24cm.) x100u.</t>
  </si>
  <si>
    <t>Sobres Manila 2626 (20 x 28cm.) x100u.</t>
  </si>
  <si>
    <t>Sobres Manila 2628 (25 x 35cm.) x100u.</t>
  </si>
  <si>
    <t>Sobres Manila 2630 (30 x 40cm.) x100u.</t>
  </si>
  <si>
    <t>Sobres Manila 2631 (37 x 45cm.) x100u.</t>
  </si>
  <si>
    <t>Sobres Manila 2632 A4 (22 x 32cm.) x100u.</t>
  </si>
  <si>
    <t>Sobres Manila 2627 Carta (24 x 30cm.) x100u.</t>
  </si>
  <si>
    <t>Sobres Manila 2629 Oficio (27 x 37cm.) x100u.</t>
  </si>
  <si>
    <t>Sobres 1105 MEDORO para CDx50u.</t>
  </si>
  <si>
    <t>Tarjetas Opalina x100u.</t>
  </si>
  <si>
    <t xml:space="preserve">SEPARADORES DE MATERIA </t>
  </si>
  <si>
    <t>Indice LAMA 20 Posiciones Nº3 150mic.</t>
  </si>
  <si>
    <t>Indice LAMA 20 Posiciones Oficio 150mic.</t>
  </si>
  <si>
    <t>índice LAMA A4 A-Z 11 Perforaciones 150 Micrones Colores Surtidos</t>
  </si>
  <si>
    <t>Índice LAMA Oficio 20 Posiciones 400 Micrones</t>
  </si>
  <si>
    <t>Separador A4 RIVADAVIA Polipropileno x6h.</t>
  </si>
  <si>
    <t>Separador LAMA 5 Posiciones A4 150 Micrones</t>
  </si>
  <si>
    <t>Separador LAMA 5 Posiciones A4 Neón 150 Micrones</t>
  </si>
  <si>
    <t>Separador LAMA 5 Posiciones A4 Pastel 150 Micrones</t>
  </si>
  <si>
    <t>Separador LAMA 6 Posiciones N°3 Pastel 150 Micrones</t>
  </si>
  <si>
    <t>Separador LAMA 5 Posiciones Oficio 150 Micrones</t>
  </si>
  <si>
    <t>Separador MOOVING Nº3 Licencia FAB x6h.</t>
  </si>
  <si>
    <t>Separador MOOVING Nº3 Licencia Mnnie Mouse x6h.</t>
  </si>
  <si>
    <t>Separador Nº3 RIVADAVIA x8h.</t>
  </si>
  <si>
    <t>Separador Nº3 BOCA x6h.</t>
  </si>
  <si>
    <t>Separador Nº3 CACTUS x6h.</t>
  </si>
  <si>
    <t>Separador Nº3 LINEA ESCOLAR x6h.</t>
  </si>
  <si>
    <t>Separador Nº3 RIVER x6h.</t>
  </si>
  <si>
    <t>Separador Nº3 SELECCION x6h.</t>
  </si>
  <si>
    <t>Separador De Materias ONIX N°3x6h.Cactus 2</t>
  </si>
  <si>
    <t>Separador De Materias ONIX N°3x6h.DEPORTES</t>
  </si>
  <si>
    <t>Separador De Materias ONIX N°3x6h.Fast Speed</t>
  </si>
  <si>
    <t>Separador De Materias ONIX N°3x6h.Gamer</t>
  </si>
  <si>
    <t>Separador De Materias ONIX N°3x6h.Rainbow</t>
  </si>
  <si>
    <t>Separador de Materias ONIX Nº3 Black &amp; Pink</t>
  </si>
  <si>
    <t>Separador de Materias ONIX Nº3 Kraft Inclusiva</t>
  </si>
  <si>
    <t>Separador de Materias ONIX Nº3 Live Fast</t>
  </si>
  <si>
    <t>Separador de Materias ONIX Nº3 Nature 2</t>
  </si>
  <si>
    <t>Separador de Materias ONIX Nº3 Rainbow 2</t>
  </si>
  <si>
    <t>Separador de Materias Nº3 ONIX Salvaje</t>
  </si>
  <si>
    <t>Separador Nº3 Frozen x6h.</t>
  </si>
  <si>
    <t>Separador Nº3 Pastel x6h.</t>
  </si>
  <si>
    <t>Separador Nº3 StarWars x6h.</t>
  </si>
  <si>
    <t>Separador Nº3 Sweet x6h.</t>
  </si>
  <si>
    <t>Separadores PPR Arcoiris Nº3 xu.</t>
  </si>
  <si>
    <t>Separadores PPR Astrológica Nº3 xu.</t>
  </si>
  <si>
    <t>Separadores PPR Cachorros Nº3 xu.</t>
  </si>
  <si>
    <t>Separadores PPR Cute Nº3 xu.</t>
  </si>
  <si>
    <t>Separadores PPR Fluo Nº3 xu.</t>
  </si>
  <si>
    <t>Separadores PPR Game Zone Nº3 xu.</t>
  </si>
  <si>
    <t>Separadores PPR Holografica Nº3 xu.</t>
  </si>
  <si>
    <t>Separadores PPR Just Cool Nº3 xu.</t>
  </si>
  <si>
    <t>Separadores PPR Rock Nº3 xu.</t>
  </si>
  <si>
    <t>Separadores PPR Street Racing Nº3 xu.</t>
  </si>
  <si>
    <t xml:space="preserve">ROLLOS FAX-SUMAR </t>
  </si>
  <si>
    <t>Rollo Registrador 76mm. x26mts. x3u.</t>
  </si>
  <si>
    <t>Rollo HÚSARES Térmico 37mm. x20mts. x10u.</t>
  </si>
  <si>
    <t>Rollo HÚSARES Térmico 37mm. x30mts. x10u.</t>
  </si>
  <si>
    <t>Rollo HÚSARES Térmico 44mm. x50mts. x10u.</t>
  </si>
  <si>
    <t>Rollo HÚSARES Térmico 57mm. x20mts. x10u.</t>
  </si>
  <si>
    <t>Rollo HÚSARES Térmico 80mm. x30mts.</t>
  </si>
  <si>
    <t>Rollo Papel Obra MEDORO 57mm x30mm. x10u.</t>
  </si>
  <si>
    <t>Rollo Papel Termico MEDORO 57mm x30mm. x10u.</t>
  </si>
  <si>
    <t>Rollo Papel Termico MEDORO 57mmx20 x10u.</t>
  </si>
  <si>
    <t>Rollo Posnet HÚSARES Químico 75 x 30mts. x3u.</t>
  </si>
  <si>
    <t>Rollo Sumar 37mm. x40mts.x10u.</t>
  </si>
  <si>
    <t>Rollo Sumar 44mm. x40mts.x10u.</t>
  </si>
  <si>
    <t>Rollo Sumar 57mm. x25mts.x10u.</t>
  </si>
  <si>
    <t>Rollo Sumar 57mm.x25mts.x10u.</t>
  </si>
  <si>
    <t>Rollo Sumar 74mm. x30mts.x10u.</t>
  </si>
  <si>
    <t>Rollo Sumar Químico 57mm. x20mts.x10u.</t>
  </si>
  <si>
    <t>Rollo Sumar Químico 74mm. x20mts.x10u.</t>
  </si>
  <si>
    <t>Rollo Sumar Químico 76mm. x20mts.x10u.</t>
  </si>
  <si>
    <t>Rollo Sumar Termico 57mm. x20mts.x10u.</t>
  </si>
  <si>
    <t xml:space="preserve">TALONARIOS </t>
  </si>
  <si>
    <t>Talonario MIL 28 "Duplicado" Chico</t>
  </si>
  <si>
    <t>Talonario MIL 28 "Duplicado" Grande</t>
  </si>
  <si>
    <t>Talonario MIL 28 "Pagaré Dólares"</t>
  </si>
  <si>
    <t>Talonario MIL 28 "Pagaré Pesos"</t>
  </si>
  <si>
    <t>Talonario MIL 28 "Recibí" Chico</t>
  </si>
  <si>
    <t>Talonario MIL 28 "Recibí" Mini</t>
  </si>
  <si>
    <t>Talonario 1028 Recibo De Alquiler Chico</t>
  </si>
  <si>
    <t>Talonario MILENIUM 768S Compra-Venta de Terreno x50h.</t>
  </si>
  <si>
    <t>Talonario CONGRESO "Pagará Pesos"</t>
  </si>
  <si>
    <t>Talonario CONGRESO "Recibí" Alquiler Chico</t>
  </si>
  <si>
    <t>Talonario CONGRESO "Recibí" Chico</t>
  </si>
  <si>
    <t>Talonario CONGRESO "Recibí" Alquiler Mediano</t>
  </si>
  <si>
    <t>Talonario CONGRESO "Recibí" Mini</t>
  </si>
  <si>
    <t>Talonario CONGRESO "Vale por" Chico</t>
  </si>
  <si>
    <t>Talonario CONGRESO "Vale por" Mini</t>
  </si>
  <si>
    <t>Talonario ECONOMICO "Duplicado" Chico</t>
  </si>
  <si>
    <t>Talonario Económico "Duplicado" Grande</t>
  </si>
  <si>
    <t>Talonario "Guardarropas" 1 al 100</t>
  </si>
  <si>
    <t>Talonario Guardarropas 1 al 1000</t>
  </si>
  <si>
    <t>Talonario "Guardarropas" 1 al 200</t>
  </si>
  <si>
    <t>Talonario "Guardarropas" 1 al 300</t>
  </si>
  <si>
    <t>Talonario HÚSARES 1815 "Multiples Usos" Duplicado Grande</t>
  </si>
  <si>
    <t>Talonario HÚSARES 1819 "Multiuso para Cheques" Duplicado Chico</t>
  </si>
  <si>
    <t>Talonario HÚSARES 1818 "Pedido" Duplicado Chico</t>
  </si>
  <si>
    <t>Talonario HÚSARES 1812 "Pedido" Duplicado Grande</t>
  </si>
  <si>
    <t>Talonario HÚSARES 1831 "Control" Duplicado</t>
  </si>
  <si>
    <t>Talonario HÚSARES 1817 "Presupuesto" Duplicado Chico</t>
  </si>
  <si>
    <t>Talonario HÚSARES 1813 "Presupuesto" Duplicado Grande</t>
  </si>
  <si>
    <t>Talonario HÚSARES "Pagaré" xu.</t>
  </si>
  <si>
    <t>Talonario HÚSARES 1825 "Recibí" Duplicado</t>
  </si>
  <si>
    <t>Talonario HÚSARES 1824 "Recibo de Alquiler"</t>
  </si>
  <si>
    <t>Talonario HÚSARES 1615 "Multipropósito" Triplicado</t>
  </si>
  <si>
    <t>Talonario HÚSARES 1613 "Presupuesto" Triplicado</t>
  </si>
  <si>
    <t>Talonario MILENIUM M460 "Contrato de Locación"</t>
  </si>
  <si>
    <t>Talonario MILENIUM Compra-Venta Automotor x50h.</t>
  </si>
  <si>
    <t>Talonario MILENIUM M300 Compra-Venta Cuota</t>
  </si>
  <si>
    <t>Talonario MILENIUM "Compra-Venta Propiedad Horizontal" x50h.</t>
  </si>
  <si>
    <t>Talonario MILENIUM M001 Planilla de Caja Oficio</t>
  </si>
  <si>
    <t>Talonario MILENIUM M302 Recibo de Seña Automotor</t>
  </si>
  <si>
    <t>Talonario MILENIUM M707 D "Recibo de Expensas Común"</t>
  </si>
  <si>
    <t>Talonario MILENIUM Recibo de Propiedad Horizontal xh.</t>
  </si>
  <si>
    <t>Talonario MILENIUM Responsabilidad Civil Automotor x50h.</t>
  </si>
  <si>
    <t>Talonario MILENIUM 623 "Vale Caja" x50h.</t>
  </si>
  <si>
    <t>Talonario MILENIUM 110/M210 "Vale por" con Talón</t>
  </si>
  <si>
    <t>Talonario MILENIUM M260 "Vale por"</t>
  </si>
  <si>
    <t>Talonario MILENIUM M146D-546 Orden de Pago</t>
  </si>
  <si>
    <t>Talonario "Números para Turnos"</t>
  </si>
  <si>
    <t>Talonario MILENIUM "Comprobante de Caja"</t>
  </si>
  <si>
    <t xml:space="preserve">FICHAS Y LIBROS COMERCIALES </t>
  </si>
  <si>
    <t>Diario RAB Corona 2 Manos 2 Columnas</t>
  </si>
  <si>
    <t>Diario RAB Corona 2 Manos 3 Columnas</t>
  </si>
  <si>
    <t>Fichas MIL 28 Nº1 Rayadas</t>
  </si>
  <si>
    <t>Fichas MIL 28 Nº3 Rayadas</t>
  </si>
  <si>
    <t>Fichas RAB Cuenta Corriente Nº3 x100u.</t>
  </si>
  <si>
    <t>Fichas MEDORO Nº1 7,5 x 12,5cm. x100u.</t>
  </si>
  <si>
    <t>Fichas RAB Rayadas Nº3 x100u.</t>
  </si>
  <si>
    <t>Libro Banco Cuenta Corriente</t>
  </si>
  <si>
    <t>Libro de Actas RAB Chico 2261/N (Cloch)</t>
  </si>
  <si>
    <t>Libro de Actas RAB Oficio 2224/A x100hj.</t>
  </si>
  <si>
    <t>LibroDiario 3 Columnas RAB Tapa Flexible Chico 29f.</t>
  </si>
  <si>
    <t>Libro Iva Compras RAB Tapa Flexible Chico 29f.</t>
  </si>
  <si>
    <t>Libro Iva Ventas RAB Tapa Flexible Chico 29f.</t>
  </si>
  <si>
    <t>Registro de Cheques RAB x48págs.</t>
  </si>
  <si>
    <t xml:space="preserve">BOLSAS DE REGALO </t>
  </si>
  <si>
    <t>Bolas De Regalo Safari 22x24</t>
  </si>
  <si>
    <t>Bolas De Regalo Safari 32x30</t>
  </si>
  <si>
    <t>Bolsa de Regalo Cactus 30 x 41cm.</t>
  </si>
  <si>
    <t>Bolsa de Regalo Cities 22 x 30cm.</t>
  </si>
  <si>
    <t>Bolsa de Regalo Golden Dots con Lunares 14 x 20cm.</t>
  </si>
  <si>
    <t>Bolsa de Regalo Golden Dots con Lunares 22 x 30cm.</t>
  </si>
  <si>
    <t>Bolsa de Regalo Golden Dots con Lunares 30 x 41cm.</t>
  </si>
  <si>
    <t>Bolsa de Regalo Sirenitas 22 x 30cm.</t>
  </si>
  <si>
    <t>Bolsa de Regalo Sirenitas 32 x 30cm.</t>
  </si>
  <si>
    <t>Bolsa de Regalo Sweet Panda 22 x 30cm.</t>
  </si>
  <si>
    <t>Bolsa de Regalo White Dots con Lunares 30 x 41 cm.</t>
  </si>
  <si>
    <t>Bolsa de regalo White Dots 14 x 08 x 20cm.</t>
  </si>
  <si>
    <t>Bolsa de Regalo "Acuario" Manija de Papel Amarilla 14 x 20cm.</t>
  </si>
  <si>
    <t>Bolsa de Regalo "Acuario" Manija de Papel Apple 14 x 20cm.</t>
  </si>
  <si>
    <t>Bolsa de Regalo "Acuario" Manija de Papel Azul 14 x 20cm.</t>
  </si>
  <si>
    <t>Bolsa de Regalo "Acuario" Manija de Papel Fuccia 14 x 20cm.</t>
  </si>
  <si>
    <t>Bolsa de Regalo "Acuario" Manija de Papel Funny Noel 14 x 20cm.</t>
  </si>
  <si>
    <t>Bolsa de Regalo "Acuario" Manija de Papel Negro 14 x 20cm.</t>
  </si>
  <si>
    <t>Bolsa de Regalo "Acuario" Manija de Papel Naranja 14 x 20cm.</t>
  </si>
  <si>
    <t>Bolsa de Regalo "Acuario" Manija de Papel Rojo 14 x 20cm.</t>
  </si>
  <si>
    <t>Bolsa de Regalo "Acuario" Manija de Papel Verde 14 x 20cm.</t>
  </si>
  <si>
    <t>Bolsa de Regalo "Acuario" Manija de Papel Violeta 14 x 20cm.</t>
  </si>
  <si>
    <t>Bolsa de Regalo "Acuario" Manija de Papel Amarillo 22 x 30cm.</t>
  </si>
  <si>
    <t>Bolsa de Regalo "Acuario" Manija de Papel Azul 22 x 30cm.</t>
  </si>
  <si>
    <t>Bolsa de Regalo "Acuario" Manija de Papel Fuccia 22 x 30cm.</t>
  </si>
  <si>
    <t>Bolsa de Regalo "Acuario" Manija de Papel Naranja 22 x 30cm.</t>
  </si>
  <si>
    <t>Bolsa de Regalo "Acuario" Manija de Papel Purple 22 x 30cm.</t>
  </si>
  <si>
    <t>Bolsa de Regalo "Acuario" Manija de Papel Rojo 22 x 30cm.</t>
  </si>
  <si>
    <t>Bolsa de Regalo "Acuario" Manija de Papel Verde 22 x 30cm.</t>
  </si>
  <si>
    <t>Bolsa de Regalo "Acuario" Manija de Papel Violeta 22 x 30cm.</t>
  </si>
  <si>
    <t>Bolsa de Regalo "Acuario" Amarillo Manija Retorcido 30 x 32cm.</t>
  </si>
  <si>
    <t>Bolsa de Regalo "Acuario" Azul Manija de Papel 30 x 32cm.</t>
  </si>
  <si>
    <t>Bolsa de Regalo "Acuario" Fucsia Manija de Papel 30 x 32cm.</t>
  </si>
  <si>
    <t>Bolsa de Regalo "Acuario" Negro Manija de Papel 30 x 32cm.</t>
  </si>
  <si>
    <t>Bolsa de Regalo "Acuario" Naranja Manija de Papel 30 x 32cm.</t>
  </si>
  <si>
    <t>Bolsa de Regalo "Acuario" Roja Manija de Papel 30 x 32cm.</t>
  </si>
  <si>
    <t>Bolsa de Regalo "Acuario" Verde Manija de Papel 30 x 32cm.</t>
  </si>
  <si>
    <t>Bolsa Regalo Acuario C.A.32x30 Violeta(100)</t>
  </si>
  <si>
    <t>Bolsa de Regalo "Acuario" Manija de Papel Amarillo 30 x 41cm.</t>
  </si>
  <si>
    <t>Bolsa de Regalo "Acuario" Class Blanca 14 x 20cm.</t>
  </si>
  <si>
    <t>Bolsa de Regalo "Acuario" Class Madera 14 x 20cm.</t>
  </si>
  <si>
    <t>Bolsa de Regalo Acuario Pastel Acqua 22x30cm.</t>
  </si>
  <si>
    <t>Bolsa de Regalo Acuario Pastel Pink 22x30cm.</t>
  </si>
  <si>
    <t>Bolsa de Regalo Licencia "Amor a Color" Manija Retorcida 22 x 30cm.</t>
  </si>
  <si>
    <t>"Bolsa de Regalo ""Animal Print"" Manija Retorcida 32 x 30cm."</t>
  </si>
  <si>
    <t>Bolsa de Regalo Arcoiris 22 x 30cm.</t>
  </si>
  <si>
    <t>Bolsa de Regalo Art Deco 22 x 30cm.</t>
  </si>
  <si>
    <t>Bolsa de Regalo Art Deco 30x41cm.</t>
  </si>
  <si>
    <t>Bolsa de Regalo "Blue Bow" 22x30cm.</t>
  </si>
  <si>
    <t>Bolsa de Regalo "Blue Flowers" Manija Retorcida 32 x 30cm.</t>
  </si>
  <si>
    <t>Bolsa de Regalo Blue Wine Manija Retorcida 14 x 40cm.</t>
  </si>
  <si>
    <t>Bolsa de Regalo Borgoña 22 x 42cm.</t>
  </si>
  <si>
    <t>Bolsa de Regalo para Botella "Copas" 14 x 35cm.</t>
  </si>
  <si>
    <t>"Bolsa de Regalo ""Ciudades"" Manija Retorcida 22 x 30cm."</t>
  </si>
  <si>
    <t>Bolsa de Regalo "Ciudades" Manija Retorcida 30 x 41cm.</t>
  </si>
  <si>
    <t>Bolsa de Regalo "Color Hearts" 32x30cm.</t>
  </si>
  <si>
    <t>Bolsa de Regalo ''Color Vino'' 14x40cm.</t>
  </si>
  <si>
    <t>Bolsa de Regalo Daisies Manija Retorcida 22 x 30cm.</t>
  </si>
  <si>
    <t>Bolsa de Regalo Licencia "Dino" Manija Retorcida 14 x 20cm.</t>
  </si>
  <si>
    <t>Bolsa de Regalo "Escocesa" Manija Retorcida 22 x 30cm.</t>
  </si>
  <si>
    <t>"Bolsa de Regalo Festivas Manija Retorcida 30 x 41cm."</t>
  </si>
  <si>
    <t>"Bolsa de Regalo ""Flores Acuareladas"" Manija Retorcida 32 x 30cm."</t>
  </si>
  <si>
    <t>"Bolsa de Regalo Gifts Manija Retorcida 22 x 30cm."</t>
  </si>
  <si>
    <t>Bolsa de Regalo Gold Star Manija de Papel 30 x 41cm.</t>
  </si>
  <si>
    <t>Bolsa de Regalo Gold Star 22 x 30cm.</t>
  </si>
  <si>
    <t>Bolsa de Regalo Jungle Manija Retorcida 22 x 30cm.</t>
  </si>
  <si>
    <t>"Bolsa de Regalo Jungle Manija Retorcida 30 x 41cm."</t>
  </si>
  <si>
    <t>Bolsa de Regalo Kraft Botella Madera 14 x 40cm.</t>
  </si>
  <si>
    <t>Bolsa de Regalo Kraft Madera 22 x 30cm.</t>
  </si>
  <si>
    <t>Bolsa de Regalo Kraft Madera 30 x 32cm.</t>
  </si>
  <si>
    <t>Bolsa de Regalo Kraft Madera 30 x 41cm.</t>
  </si>
  <si>
    <t>Bolsa de Regalo Kraft Blanca 22 x 30cm.</t>
  </si>
  <si>
    <t>Bolsa de Regalo "L.K" Blanca 30 x 32cm.</t>
  </si>
  <si>
    <t>"Bolsa de Regalo ""Love Colors"" Manija Retorcida 22 x 24cm."</t>
  </si>
  <si>
    <t>Bolsa de Regalo Luna Estilo Barras 22x30cm.</t>
  </si>
  <si>
    <t>Bolsa de Regalo Luna Estilo Barras 30x41cm.</t>
  </si>
  <si>
    <t>Bolsa de Regalo Luna Negra 30 x 37cm.</t>
  </si>
  <si>
    <t>"Bolsa de Regalo Moño Dots Manija Retorcida 14 x 20cm."</t>
  </si>
  <si>
    <t>"Bolsa de Regalo Moño Plumeti Manija Retorcida 14 x 20cm."</t>
  </si>
  <si>
    <t>"Bolsa de Regalo Moño Points Manija Retorcida 22 x 30cm."</t>
  </si>
  <si>
    <t>Bolsa Regalo MUERDAGO 14x20 C.A.</t>
  </si>
  <si>
    <t>Bolsa de Regalo para Dos Botellas 22 x 42cm.</t>
  </si>
  <si>
    <t>Bolsa de Regalo Puppies Manija Retorcida 22 x 30cm.</t>
  </si>
  <si>
    <t>Bolsa de Regalo ''Red Bow'' 30x41cm.</t>
  </si>
  <si>
    <t>Bolsa de Regalo Rococco Manija de Papel 30 x 41cm.</t>
  </si>
  <si>
    <t>Bolsa de Regalo Savage 22 x 30cm.</t>
  </si>
  <si>
    <t>Bolsa de Regalo "Skull KB" Manija Retorcida 14 x 20cm.</t>
  </si>
  <si>
    <t>Bolsa de Regalo Super Chica Manija Retorcida 22 x 30cm.</t>
  </si>
  <si>
    <t>Bolsa de Regalo Tropical 22 x 30cm.</t>
  </si>
  <si>
    <t>Bolsa de Regalo Licencia "Unicornio" Manija Retorcida 22 x 30cm.</t>
  </si>
  <si>
    <t>Bolsa de Regalo "Waves" Manija Retorcida 30 x 41cm.</t>
  </si>
  <si>
    <t>Bolsa de Regalo ''Wine Time'' 14x40cm.</t>
  </si>
  <si>
    <t xml:space="preserve">CARTULINAS </t>
  </si>
  <si>
    <t>Cartulina GLOSS 9 de Julio x10u.</t>
  </si>
  <si>
    <t>Cartulina GLOSS Anana y Sandia x10u.</t>
  </si>
  <si>
    <t>Cartulina GLOSS Corazón Rojo x10u.</t>
  </si>
  <si>
    <t>Cartulina GLOSS Cuadrados Rosa/Violeta x10u.</t>
  </si>
  <si>
    <t>Cartulina GLOSS Feliz Cumple x10u.</t>
  </si>
  <si>
    <t>Cartulina GLOSS Lunares Amarillo/Blanco x10u.</t>
  </si>
  <si>
    <t>Cartulina GLOSS Lunares Azul/Blanco x10u.</t>
  </si>
  <si>
    <t>Cartulina ENTRETENIDA Lunares Celeste/Blanco x10u.</t>
  </si>
  <si>
    <t>Cartulina GLOSS Lunares Negro/Blanco x10u.</t>
  </si>
  <si>
    <t>Cartulina GLOSS Lunares Naranja/Blanco x10u.</t>
  </si>
  <si>
    <t>Cartulina GLOSS Lunares Rojo/Negro x 10u.</t>
  </si>
  <si>
    <t>Cartulina GLOSS Lunares Rojo/Blanco xu.</t>
  </si>
  <si>
    <t>Cartulina GLOSS Lunares Verde/Blanco x10u.</t>
  </si>
  <si>
    <t>Cartulina GLOSS Lunares Violeta/Blanco x10u.</t>
  </si>
  <si>
    <t>Cartulina GLOSS Billetes x10u.</t>
  </si>
  <si>
    <t>Cartulina GLOSS Cuadrados Rojo/Verde x10u.</t>
  </si>
  <si>
    <t>Cartulina Glitter Naranja 250g. 50 x 35cm. x10u.</t>
  </si>
  <si>
    <t>Cartulina Glitter Verde 250g. 50 x 35cm. x10u.</t>
  </si>
  <si>
    <t>Cartulina Glitter Verde Claro 250g. 50 x 35cm. x10u.</t>
  </si>
  <si>
    <t>Cartulina glitter A4 adhesiva 250gr.x10u. negro</t>
  </si>
  <si>
    <t>Cartulina glitter A4 adhesiva 250gr.x10u. naranja</t>
  </si>
  <si>
    <t>Cartulina glitter A4 adhesiva 250gr.x10u. verde</t>
  </si>
  <si>
    <t>Cartulina glitter A4 adhesiva 250gr.x10u. verde claro</t>
  </si>
  <si>
    <t>Cartulina ENTRETENIDA 20 de Junio x10u.</t>
  </si>
  <si>
    <t>Cartulina ENTRETENIDA 25 De Mayo x10u.</t>
  </si>
  <si>
    <t>Cartulina GLOSS Animales del Agua x10u.</t>
  </si>
  <si>
    <t>Cartulina GLOSS Animales x10u.</t>
  </si>
  <si>
    <t>Cartulina GLOSS Carteles y Frases x10u.</t>
  </si>
  <si>
    <t>Cartulina GLOSS Circulos y Corazones x10u.</t>
  </si>
  <si>
    <t>Cartulina GLOSS Corazón Rojo y Negro x10u.</t>
  </si>
  <si>
    <t>Cartulina GLOSS Corazón Violeta x10u.</t>
  </si>
  <si>
    <t>Cartulina GLOSS Cuadrados Azul/Celeste x10u.</t>
  </si>
  <si>
    <t>Cartulina GLOSS Cupcakes y Helados x10u.</t>
  </si>
  <si>
    <t>Cartulina GLOSS Emoticones x10u.</t>
  </si>
  <si>
    <t>Cartulina GLOSS Estrella Azul x10u.</t>
  </si>
  <si>
    <t>Cartulina GLOSS Estrella Azul y Amarillo x10u.</t>
  </si>
  <si>
    <t>Cartulina GLOSS Estrella Roja x10u.</t>
  </si>
  <si>
    <t>Cartulina GLOSS Frutillas x10u.</t>
  </si>
  <si>
    <t>Cartulina GLOSS Golosinas y Frutas x10u.</t>
  </si>
  <si>
    <t>Cartulina GLOSS Hamburguesas y Papas Fritas x10u.</t>
  </si>
  <si>
    <t>Cartulina GLOSS Ladrillo/Teja x10u.</t>
  </si>
  <si>
    <t>Cartulina GLOSS Lechuzas x10u.</t>
  </si>
  <si>
    <t>Cartulina GLOSS Lunares Rosa/Blanco x10u.</t>
  </si>
  <si>
    <t>Cartulina GLOSS Rayita Rojo/Blanco x 10u.</t>
  </si>
  <si>
    <t>Cartulina GLOSS Treboles y Flores x10u.</t>
  </si>
  <si>
    <t>Cartulina GLOSS Cielo-Pasto x10u.</t>
  </si>
  <si>
    <t>Cartulina Color Amarillo x20u.</t>
  </si>
  <si>
    <t>Cartulina Color Azul x20u.</t>
  </si>
  <si>
    <t>Cartulina Color Pastel Beige/Piel x20u.</t>
  </si>
  <si>
    <t>Cartulina Color Blanca x20u.</t>
  </si>
  <si>
    <t>Cartulina Color Celeste x20u.</t>
  </si>
  <si>
    <t>Cartulina Color Fluo Amarilla x10u.</t>
  </si>
  <si>
    <t>Cartulina Color Fluo Fucsia x10u.</t>
  </si>
  <si>
    <t>Cartulina Color Fluo Naranja x10u.</t>
  </si>
  <si>
    <t>Cartulina Color Fluo Verde x10u.</t>
  </si>
  <si>
    <t>Cartulina Color Fucsia x20u.</t>
  </si>
  <si>
    <t>Cartulina Color Gris x20u.</t>
  </si>
  <si>
    <t>Cartulina Color Lila x20u.</t>
  </si>
  <si>
    <t>Cartulina Color Marrón Oscuro x20u.</t>
  </si>
  <si>
    <t>Cartulina Color Marrón x20u.</t>
  </si>
  <si>
    <t>Cartulina Color Naranja x20u.</t>
  </si>
  <si>
    <t>Cartulina Color Negro x20u.</t>
  </si>
  <si>
    <t>Cartulina Color Pastel Amarillo x20u.</t>
  </si>
  <si>
    <t>Cartulina Color Pastel Celeste x 20u.</t>
  </si>
  <si>
    <t>Cartulina Color Pastel Lila x20u.</t>
  </si>
  <si>
    <t>Cartulina Color Pastel Naranja/Salmón x20u.</t>
  </si>
  <si>
    <t>Cartulina Color Pastel Rosa x20u.</t>
  </si>
  <si>
    <t>Cartulina Color Pastel Verde Agua x20u.</t>
  </si>
  <si>
    <t>Cartulina Color Rojo x20u.</t>
  </si>
  <si>
    <t>Cartulina Color Rosa x20u.</t>
  </si>
  <si>
    <t>Cartulina Color Turquesa x20u.</t>
  </si>
  <si>
    <t>Cartulina Color Verde Manzana x20u.</t>
  </si>
  <si>
    <t>Cartulina Color Verde Ingles x20u.</t>
  </si>
  <si>
    <t>Cartulina Color Verde x20u.</t>
  </si>
  <si>
    <t>Cartulina Color Violeta x20u.</t>
  </si>
  <si>
    <t>Cartulina LUMA Metalizada Azul x10u.</t>
  </si>
  <si>
    <t>Cartulina LUMA Metalizada Dorada x10u.</t>
  </si>
  <si>
    <t>Cartulina Metalizada Plata x 10u.</t>
  </si>
  <si>
    <t>Cartulina LUMA Metalizada Roja x10u.</t>
  </si>
  <si>
    <t>Cartulina LUMA Metalizada Verde x10u.</t>
  </si>
  <si>
    <t xml:space="preserve">PAPEL AFICHE </t>
  </si>
  <si>
    <t>Papel Afiche Amarillo x20u.</t>
  </si>
  <si>
    <t>Papel Afiche Azul x20u.</t>
  </si>
  <si>
    <t>Papel Afiche Bandera x10u.</t>
  </si>
  <si>
    <t>Papel Afiche Blanco xu.</t>
  </si>
  <si>
    <t>Papel Afiche Beige/Salmón x20u.</t>
  </si>
  <si>
    <t>Papel Afiche Celeste x20u.</t>
  </si>
  <si>
    <t>Papel Afiche Fluo Amarillo x10u.</t>
  </si>
  <si>
    <t>Papel Afiche Fluo Naranja x10u.</t>
  </si>
  <si>
    <t>Papel Afiche Fucsia Fluo x20u.</t>
  </si>
  <si>
    <t>Papel Afiche Fucsia x20u.</t>
  </si>
  <si>
    <t>Papel Afiche Gris x20u.</t>
  </si>
  <si>
    <t>Papel Afiche Lila x20u.</t>
  </si>
  <si>
    <t>Papel Afiche Marrón x20u.</t>
  </si>
  <si>
    <t>Papel Afiche Naranja Flúo x20u.</t>
  </si>
  <si>
    <t>Papel Afiche Naranja x20u.</t>
  </si>
  <si>
    <t>Papel Afiche Navidad x10u. (7037)</t>
  </si>
  <si>
    <t>Papel Afiche Navidad x10u. (7005)</t>
  </si>
  <si>
    <t>Papel Afiche Navidad x10u. (7039)</t>
  </si>
  <si>
    <t>Papel Afiche Navidad x10u. (7020)</t>
  </si>
  <si>
    <t>Papel Afiche Navidad x10u. (7028)</t>
  </si>
  <si>
    <t>Papel Afiche Navidad x10u. (7033)</t>
  </si>
  <si>
    <t>Papel Afiche Navidad x10u. (7025)</t>
  </si>
  <si>
    <t>Papel Afiche Navidad x10u. (7038)</t>
  </si>
  <si>
    <t>Papel Afiche Navidad x10u. (7004)</t>
  </si>
  <si>
    <t>Papel Afiche Navidad x10u. (7023)</t>
  </si>
  <si>
    <t>Papel Afiche Negro x20u.</t>
  </si>
  <si>
    <t>Papel Afiche Pastel Amarillo x20u.</t>
  </si>
  <si>
    <t>Papel Afiche Pastel Celeste x20u.</t>
  </si>
  <si>
    <t>Papel Afiche Pastel Lila x20u.</t>
  </si>
  <si>
    <t>Papel Afiche Pastel Naranja x20u.</t>
  </si>
  <si>
    <t>Papel Afiche Pastel Rosa x20u.</t>
  </si>
  <si>
    <t>Papel Afiche Pastel Verdex20u.</t>
  </si>
  <si>
    <t>Papel Afiche Rojo x20u.</t>
  </si>
  <si>
    <t>Papel Afiche Rosa x20u.</t>
  </si>
  <si>
    <t>Papel Afiche Turquesa x20u.</t>
  </si>
  <si>
    <t>Papel Afiche Verde Fluo x20u.</t>
  </si>
  <si>
    <t>Papel Afiche Verde Manzana x20u.</t>
  </si>
  <si>
    <t>Papel Afiche Verde x20u.</t>
  </si>
  <si>
    <t>Papel Afiche Violeta x20u.</t>
  </si>
  <si>
    <t>Papel Afiche Básquet Urbano x20</t>
  </si>
  <si>
    <t>Papel Afiche Bigotes x20</t>
  </si>
  <si>
    <t>Papel Afiche Birds Summer x20</t>
  </si>
  <si>
    <t>Papel Afiche Colores Pastel x20</t>
  </si>
  <si>
    <t>Papel Afiche Comic x20</t>
  </si>
  <si>
    <t>Papel Afiche Flores x20</t>
  </si>
  <si>
    <t>Papel Afiche Flores Azules x20</t>
  </si>
  <si>
    <t>Papel Afiche Garden x20</t>
  </si>
  <si>
    <t>Papel Afiche Gatitos x20</t>
  </si>
  <si>
    <t>Papel Afiche Guarda Pampa x20</t>
  </si>
  <si>
    <t>Papel Afiche 5063 Hojas Elegance Blue x20</t>
  </si>
  <si>
    <t>Papel Afiche Hojas Multicolor x20</t>
  </si>
  <si>
    <t>Papel Afiche Infantil Nena x20</t>
  </si>
  <si>
    <t>Papel Afiche Juventud Nena x20</t>
  </si>
  <si>
    <t>Papel Afiche Monster x20</t>
  </si>
  <si>
    <t>Papel Afiche Motos Harley x20</t>
  </si>
  <si>
    <t>Papel Afiche I Love Pastel x20</t>
  </si>
  <si>
    <t>Papel Afiche Princesas x20</t>
  </si>
  <si>
    <t>Papel Afiche Shark Pirata x20</t>
  </si>
  <si>
    <t>Papel Afiche Unicorn &amp; Rainbow x20</t>
  </si>
  <si>
    <t xml:space="preserve">PAPEL CELOFAN </t>
  </si>
  <si>
    <t>Papel Celofan Amarillo x10u.</t>
  </si>
  <si>
    <t>Papel Celofan Azul x10u.</t>
  </si>
  <si>
    <t>Papel Celofan Blanco x10u.</t>
  </si>
  <si>
    <t>Papel Celofan Dorado x10u.</t>
  </si>
  <si>
    <t>Papel Celofan Naranja x10u.</t>
  </si>
  <si>
    <t>Papel Celofan Plateado x10u.</t>
  </si>
  <si>
    <t>Papel Celofan Rojo x10u.</t>
  </si>
  <si>
    <t>Papel Celofan Transparente x25u.</t>
  </si>
  <si>
    <t>Papel Celofan Verde x10u.</t>
  </si>
  <si>
    <t>Papel Celofan Violeta x10u.</t>
  </si>
  <si>
    <t xml:space="preserve">VARIOS DE PAPELERIA </t>
  </si>
  <si>
    <t>Cuadernillos Cuadriculados</t>
  </si>
  <si>
    <t>Papel Manteca 75 x 100cm por 10 Unidades</t>
  </si>
  <si>
    <t>Papel Misionero A4 x220g. x25h.</t>
  </si>
  <si>
    <t>Papel Misionero Oficio x220g. x25h.</t>
  </si>
  <si>
    <t>Papel Secante CONGRESO 16 x 20cm. Taco x100u.</t>
  </si>
  <si>
    <t xml:space="preserve">PAPEL DE SEDA, MOLDE Y MANTECA </t>
  </si>
  <si>
    <t>Papel de Seda MIL 28 Celeste Perla x50u.</t>
  </si>
  <si>
    <t>Papel de Seda MIL 28 Verde Perla x50u.</t>
  </si>
  <si>
    <t>Papel de Seda MIL 28 Plata x50u.</t>
  </si>
  <si>
    <t>Papel de Seda LUMA Amarillo x50u.</t>
  </si>
  <si>
    <t>Papel de Seda Azul x50u.</t>
  </si>
  <si>
    <t>Papel de Seda LUMA Blanco x50u.</t>
  </si>
  <si>
    <t>Papel de Seda LUMA Celeste x50u.</t>
  </si>
  <si>
    <t>Papel de Seda Fucsia x50u.</t>
  </si>
  <si>
    <t>Papel de Seda LUMA Lila x50u.</t>
  </si>
  <si>
    <t>Papel de Seda Marrón x50u.</t>
  </si>
  <si>
    <t>Papel de Seda LUMA Naranja x50u.</t>
  </si>
  <si>
    <t>Papel de Seda Negro x50u.</t>
  </si>
  <si>
    <t>Papel de Seda con Lunares Amarillo x50u.</t>
  </si>
  <si>
    <t>Papel de Seda Lunares Azul x50u.</t>
  </si>
  <si>
    <t>Papel de Seda Lunares Celeste x50u.</t>
  </si>
  <si>
    <t>Papel de Seda a Lunares Lila x50u.</t>
  </si>
  <si>
    <t>Papel de Seda de Lunares Negro x50u.</t>
  </si>
  <si>
    <t>Papel de Seda Lunares Naranja x50u.</t>
  </si>
  <si>
    <t>Papel de Seda Lunares Rojo x50u.</t>
  </si>
  <si>
    <t>Papel de Seda Lunares Rosa x50u.</t>
  </si>
  <si>
    <t>Papel de Seda Lunares Verde Claro x50u.</t>
  </si>
  <si>
    <t>Papel de Seda LUMA Lunares Verde x50u.</t>
  </si>
  <si>
    <t>Papel de Seda Rojo x50u.</t>
  </si>
  <si>
    <t>Papel de Seda Rosa x50u.</t>
  </si>
  <si>
    <t>Papel de Seda LUMA Verde Claro x50u.</t>
  </si>
  <si>
    <t>Papel de Seda LUMA Verde x50u.</t>
  </si>
  <si>
    <t>Papel de Seda LUMA Violeta x50u.</t>
  </si>
  <si>
    <t xml:space="preserve">PAPEL AUTOHADESIVO </t>
  </si>
  <si>
    <t>Contact Glitter x45cm. x 1 Metro FJ016 Azul</t>
  </si>
  <si>
    <t>Papel Autoadhesivo MAC FLEX Madera Claro x10mts.</t>
  </si>
  <si>
    <t>Papel Autoadhesivo MAC FLEX Madera Oscuro x10mts.</t>
  </si>
  <si>
    <t>Papel Autoadhesivo MAC FLEX Amarillo x10mts.</t>
  </si>
  <si>
    <t>Papel Autoadhesivo MAC FLEX Azul x10mts.</t>
  </si>
  <si>
    <t>Papel Autoadhesivo MAC FLEX Celeste x10mts.</t>
  </si>
  <si>
    <t>Papel Autoadhesivo MAC FLEX Naranja x10mts.</t>
  </si>
  <si>
    <t>Papel Autoadhesivo MAC FLEX Rojo x10mts.</t>
  </si>
  <si>
    <t>Papel Autoadhesivo MAC FLEX Rosa x10mts.</t>
  </si>
  <si>
    <t>Papel Autoadhesivo MAC FLEX Transparente x10mts.</t>
  </si>
  <si>
    <t>Papel Autoadhesivo MAC FLEX Verde Manzana x10mts.</t>
  </si>
  <si>
    <t>Papel Autoadhesivo MAC FLEX Verde Oscuro x10mts.</t>
  </si>
  <si>
    <t xml:space="preserve">PAPEL PARA FORRAR </t>
  </si>
  <si>
    <t>Papel Araña Amarillo x 10u.</t>
  </si>
  <si>
    <t>Papel Araña Azul x 10u.</t>
  </si>
  <si>
    <t>Papel Araña Blanco x 10u.</t>
  </si>
  <si>
    <t>Papel Araña Celeste x 10u.</t>
  </si>
  <si>
    <t>Papel Araña Lila x 10u.</t>
  </si>
  <si>
    <t>Papel Araña Naranja x 10u.</t>
  </si>
  <si>
    <t>Papel Araña Negro x 10u.</t>
  </si>
  <si>
    <t>Papel Araña Rojo x 10u.</t>
  </si>
  <si>
    <t>Papel Araña Rosa x 10u.</t>
  </si>
  <si>
    <t>Papel Araña Verde x 10u.</t>
  </si>
  <si>
    <t>Papel Araña Verde Manzana x 10u.</t>
  </si>
  <si>
    <t>Papel Lunares Amarillo x 10u.</t>
  </si>
  <si>
    <t>Papel Lunares Celeste x 10u.</t>
  </si>
  <si>
    <t>Papel Lunares Lila x 10u.</t>
  </si>
  <si>
    <t>Papel Lunares Naranja x 10u.</t>
  </si>
  <si>
    <t>Papel Lunares Rojo x 10u.</t>
  </si>
  <si>
    <t>Papel Lunares Rosa x 10u.</t>
  </si>
  <si>
    <t>Papel Lunares Verde x 10u.</t>
  </si>
  <si>
    <t>Papel Lunares Verde Manzana x 10u.</t>
  </si>
  <si>
    <t>Papel Lunares Azul x 10u.</t>
  </si>
  <si>
    <t>Papel para Forrar de Dinosaurio x10u.</t>
  </si>
  <si>
    <t xml:space="preserve">PAPEL REGALO </t>
  </si>
  <si>
    <t>Papel de Regalo Arabesco 1 Blanco 70 x 100cm. x20u.</t>
  </si>
  <si>
    <t>Papel de Regalo Arco Iris 70 x 100cm. x20u.</t>
  </si>
  <si>
    <t>Papel de Regalo Argentina 70 x 100cm. x20u.</t>
  </si>
  <si>
    <t>Papel de Regalo Barriletes 70 x 100cm. x20u.</t>
  </si>
  <si>
    <t>Papel de Regalo Bebé 70 x 100cm. x20u.</t>
  </si>
  <si>
    <t>Papel de Regalo Blanco Y Negro ''1'' 70 x 100cm. x20u.</t>
  </si>
  <si>
    <t>Papel de Regalo Blanco Y Negro ''2'' 70 x 100cm. x20u.</t>
  </si>
  <si>
    <t>Papel de Regalo Bloques 70 x 100cm. x20u.</t>
  </si>
  <si>
    <t>Papel de Regalo Brujula 70 x 100cm. x20u.</t>
  </si>
  <si>
    <t>Papel de Regalo Buhitos 70 x 100cm. x20u.</t>
  </si>
  <si>
    <t>PAPEL REG.70x100x20u.CAFE</t>
  </si>
  <si>
    <t>Papel de Regalo Cerveza 70 x 100cm. x20u.</t>
  </si>
  <si>
    <t>Papel de Regalo Chicas 70 x 100cm. x20u.</t>
  </si>
  <si>
    <t>Papel de Regalo Cocktail 70 x 100cm. x20u.</t>
  </si>
  <si>
    <t>Papel de Regalo Corazón Amarillo 70 x 100cm. x20u.</t>
  </si>
  <si>
    <t>Papel de Regalo Cumpleaños 70 x 100cm. x20u.</t>
  </si>
  <si>
    <t>Papel de Regalo Dia De La Madre 70 x 100cm. x20u.</t>
  </si>
  <si>
    <t>Papel de Regalo Dia Del Niño 70 x 100cm. x20u.</t>
  </si>
  <si>
    <t>Papel de Regalo Dia Del Padre 70 x 100cm. x20u.</t>
  </si>
  <si>
    <t>Papel de Regalo Escritura 70 x 100cm. x20u.</t>
  </si>
  <si>
    <t>Papel De Regalo Frutis 70cm.x100cm.x20u.</t>
  </si>
  <si>
    <t>Papel de Regalo Cactus 70 x 100cm. x20u.</t>
  </si>
  <si>
    <t>Papel De Regalo Garage 70cm.x100cm.x20u.</t>
  </si>
  <si>
    <t>Papel de Regalo Gatitos 70 x 100cm. x20u.</t>
  </si>
  <si>
    <t>Papel De Regalo Girl Paris 70cm.x100cm.x20u.</t>
  </si>
  <si>
    <t>Papel De Regalo Girl Power 70cm.x100cm.x20u.</t>
  </si>
  <si>
    <t>Papel De Regalo Girl Power 2 70cm.x100cm.x20u.</t>
  </si>
  <si>
    <t>Papel de Regalo Happy Birthday 70 x 100cm. x20u.</t>
  </si>
  <si>
    <t>Papel De Regalo Hecho con Amor 70cm.x100cm.x20u.</t>
  </si>
  <si>
    <t>Papel de Regalo Infantil Mariposa 70 x 100cm. x20u.</t>
  </si>
  <si>
    <t>Papel de Regalo Jirafa 70 x 100cm. x20u.</t>
  </si>
  <si>
    <t>Papel de Regalo Juguetes 70 x 100cm. x20u.</t>
  </si>
  <si>
    <t>Papel de Regalo Juvenil Graf. 70 x 100cm. x20u.</t>
  </si>
  <si>
    <t>Papel de Regalo Koalas 70 x 100cm. x20u.</t>
  </si>
  <si>
    <t>Papel de Regalo Magic 70 x 100cm. x20u.</t>
  </si>
  <si>
    <t>Papel de Regalo Mandalas 70 x 100cm. x20u.</t>
  </si>
  <si>
    <t>Papel de Regalo Motocicletas 70 x 100cm. x20u.</t>
  </si>
  <si>
    <t>Papel de Regalo Muffins 70 x 100cm. x20u.</t>
  </si>
  <si>
    <t>Papel de Regalo Navidad Ciervos Y Zorros 70 x100cm. x20u.</t>
  </si>
  <si>
    <t>Papel de Regalo Navidad Conejos Y Ciervos 70 x100cm. x20u.</t>
  </si>
  <si>
    <t>Papel De Regalo Navidad Cookies 70cm.x100cm.x20u.</t>
  </si>
  <si>
    <t>Papel De Regalo Navidad Funny 70cm.x100cm.x20u.</t>
  </si>
  <si>
    <t>Papel de Regalo Navidad Gatos con Gorro 70 x100cm. x20u.</t>
  </si>
  <si>
    <t>Papel de Regalo Navidad Osos 70 x100cm. x20u.</t>
  </si>
  <si>
    <t>Papel de Regalo Navidad Papa Noel Cool 70 x100cm. x20u.</t>
  </si>
  <si>
    <t>Papel De Regalo Navidad Perros y Gatos 70cm.x100cm.x20u.</t>
  </si>
  <si>
    <t>Papel de Regalo Navidad Santa Bailando 70 x100cm. x20u.</t>
  </si>
  <si>
    <t>Papel De Regalo Navidad Snowman 70cm.x100cm.x20u.</t>
  </si>
  <si>
    <t>Papel De Regalo Navidad Tacitas 70cm.x100cm.x20u.</t>
  </si>
  <si>
    <t>Papel De Regalo Navidad Zorros Y Buhos 70cm.x100cm.x20u.</t>
  </si>
  <si>
    <t>Papel de Regalo Oro 70 x 100cm. x20u.</t>
  </si>
  <si>
    <t>Papel de Regalo Pandas 70 x 100cm. x20u.</t>
  </si>
  <si>
    <t>Papel de Regalo Perrito 70 x 100cm. x20u.</t>
  </si>
  <si>
    <t>Papel de Regalo Plantas 70 x 100cm. x20u.</t>
  </si>
  <si>
    <t>Papel de Regalo Plata 70 x 100cm. x20u.</t>
  </si>
  <si>
    <t>Papel De Regalo Poster 70cm.x100cm.x20u.</t>
  </si>
  <si>
    <t>Papel de Regalo Juvenil Quality 70 x 100cm. x20u.</t>
  </si>
  <si>
    <t>Papel de Regalo Redes 70cm x 100cm.x20u.</t>
  </si>
  <si>
    <t>Papel de Regalo Riders 70 x 100cm. x20u.</t>
  </si>
  <si>
    <t>Papel De Regalo Rosa Pastel 70cm.x100cm.x20u.</t>
  </si>
  <si>
    <t>Papel de Regalo Selva 70 x 100cm. x20u.</t>
  </si>
  <si>
    <t>Papel de Regalo Sueño de Osos 70 x 100cm. x20u.</t>
  </si>
  <si>
    <t>Papel de Regalo Surtido 70 x 100cm. x20u.</t>
  </si>
  <si>
    <t>Papel de Regalo Sweet 70 x 100cm. x20u.</t>
  </si>
  <si>
    <t>Papel de Regalo Vintage Drinks 70 x 100cm. x20u.</t>
  </si>
  <si>
    <t>Papel de Regalo Vintage Man 70 x 100cm. x20u.</t>
  </si>
  <si>
    <t xml:space="preserve">PAPEL CREPE </t>
  </si>
  <si>
    <t>Papel Crepe Bandera x10u.</t>
  </si>
  <si>
    <t>Papel Crepe CREPING Amarillo x10u.</t>
  </si>
  <si>
    <t>Papel Crepe CREPING Azul x10u.</t>
  </si>
  <si>
    <t>Papel Crepe CREPING Blanco x10u.</t>
  </si>
  <si>
    <t>Papel Crepe CREPING Beige x10u.</t>
  </si>
  <si>
    <t>Papel Crepe CREPING Celeste x10u.</t>
  </si>
  <si>
    <t>Papel Crepe CREPING Fucsia x10u.</t>
  </si>
  <si>
    <t>Papel Crepe CREPING Gris x10u.</t>
  </si>
  <si>
    <t>Papel Crepe CREPING Lila x10u.</t>
  </si>
  <si>
    <t>Papel Crepe CREPING Marrón x10u.</t>
  </si>
  <si>
    <t>Papel Crepe CREPING Naranja x10u.</t>
  </si>
  <si>
    <t>Papel Crepe CREPING Negro x10u.</t>
  </si>
  <si>
    <t>Papel Crepe Creping Pastel Surtido x10u.</t>
  </si>
  <si>
    <t>Papel Crepe CREEPING Rojo x10u.</t>
  </si>
  <si>
    <t>Papel Crepe CREPING Rosa Bebé x10u.</t>
  </si>
  <si>
    <t>Papel Crepe CREPING Rosa x10u.</t>
  </si>
  <si>
    <t>Papel Crepe CREPING Salmón x10u.</t>
  </si>
  <si>
    <t>Papel Crepe CREPING Turquesa x10u.</t>
  </si>
  <si>
    <t>Papel Crepe CREPING Verde Manzana x10u.</t>
  </si>
  <si>
    <t>Papel Crepe CREPING Verde x10u.</t>
  </si>
  <si>
    <t>Papel Crepe CREPING Violeta x10u.</t>
  </si>
  <si>
    <t>Papel Crepe LUMA Liso Color Amarillo x10u.</t>
  </si>
  <si>
    <t>Papel Crepe LUMA Liso Color Azul x10u.</t>
  </si>
  <si>
    <t>Papel Crepe LUMA Liso Color Blanco x10u.</t>
  </si>
  <si>
    <t>Papel Crepe LUMA Liso Color Celeste x10u.</t>
  </si>
  <si>
    <t>Papel Crepe LUMA Liso Color Gris x10u.</t>
  </si>
  <si>
    <t>Papel Crepe LUMA Liso Color Marrón x10u.</t>
  </si>
  <si>
    <t>Papel Crepe LUMA Liso Color Negro x10u.</t>
  </si>
  <si>
    <t>Papel Crepe LUMA Liso Color Naranja x10u.</t>
  </si>
  <si>
    <t>Papel Crepe LUMA Liso Color Rojo x10u.</t>
  </si>
  <si>
    <t>Papel Crepe LUMA Liso Color Rosa x10u.</t>
  </si>
  <si>
    <t>Papel Crepe LUMA Liso Color Verde Claro x10u.</t>
  </si>
  <si>
    <t>Papel Crepe LUMA Liso Color Verde Oscuro x10u.</t>
  </si>
  <si>
    <t>Papel Crepe LUMA Liso Color Violeta x10u.</t>
  </si>
  <si>
    <t>Papel Crepe Metalizado Dorado xu.</t>
  </si>
  <si>
    <t>Papel Crepe Metalizado Rojo xu.</t>
  </si>
  <si>
    <t>Papel Crepe Metalizado Verde xu.</t>
  </si>
  <si>
    <t>Papel Crepe Lunares Amarillo x10u.</t>
  </si>
  <si>
    <t>Papel Crepe Lunares Azul x10u.</t>
  </si>
  <si>
    <t>Papel Crepe Lunares Naranja x10u.</t>
  </si>
  <si>
    <t>Papel Crepe LUMA Lunares Rojo x10u.</t>
  </si>
  <si>
    <t>Papel Crepe Lunares Verde Claro x10u.</t>
  </si>
  <si>
    <t>Papel Crepe Lunares Verde x10u.</t>
  </si>
  <si>
    <t xml:space="preserve">CARTON </t>
  </si>
  <si>
    <t>Cartón Gris 35 x 50cm. Espesor de 1,2mm.</t>
  </si>
  <si>
    <t>Cartón Gris 50 x 70cm. Espesor de 1,2mm.</t>
  </si>
  <si>
    <t>Cartón Gris 50 x 70cm. Espesor de 3mm.</t>
  </si>
  <si>
    <t>Cartón Micro Corrugado x10u. Azul</t>
  </si>
  <si>
    <t>Cartón Micro Corrugado x10u.Amarillo</t>
  </si>
  <si>
    <t>Cartón Micro Corrugado x10u.Blanco</t>
  </si>
  <si>
    <t>Cartón Micro Corrugado x10u.Celeste</t>
  </si>
  <si>
    <t>Cartón Micro Corrugado x10u.Fucsia</t>
  </si>
  <si>
    <t>Cartón Micro Corrugado x10u.Gris</t>
  </si>
  <si>
    <t>Cartón Micro Corrugado x10u.Kraft</t>
  </si>
  <si>
    <t>Cartón Micro Corrugado x10u.Lila</t>
  </si>
  <si>
    <t>Cartón Micro Corrugado x10u.Marrón</t>
  </si>
  <si>
    <t>Cartón Micro Corrugado x10u.Naranja</t>
  </si>
  <si>
    <t>Cartón Micro Corrugado x10u.Negro</t>
  </si>
  <si>
    <t>Cartón Micro Corrugado x10u.Rojo</t>
  </si>
  <si>
    <t>Cartón Micro Corrugado x10u.Rosa</t>
  </si>
  <si>
    <t>Cartón Micro Corrugado x10u.Verde Medio</t>
  </si>
  <si>
    <t>Cartón Micro Corrugado x10u.Verde Manzana</t>
  </si>
  <si>
    <t>Cartón Micro Corrugado x10u.Violeta</t>
  </si>
  <si>
    <t>Cartón Posse Partout 35 x 50cm.</t>
  </si>
  <si>
    <t>Cartón Posse Partout 50 x 70cm.</t>
  </si>
  <si>
    <t xml:space="preserve">VARIOS </t>
  </si>
  <si>
    <t>****Envío</t>
  </si>
  <si>
    <t>Auriculares DEKKIN con Micrófono xu.</t>
  </si>
  <si>
    <t>AURICULARES DEKKIN CON MIC BCO-PLATA xu.(50)</t>
  </si>
  <si>
    <t>AURICULARES DEKKIN CON MIC NG-PLATA xu.(50)</t>
  </si>
  <si>
    <t>AURICULARES DEKKIN CON MICROFONO MANOS LIBRES BCO.xu.(50)</t>
  </si>
  <si>
    <t>AURICULARES DEKKIN CON MICROFONO MANOS LIBRES NG.xu.(50)</t>
  </si>
  <si>
    <t>Auriculares DEKKIN Ergonómicos Blanco xu.</t>
  </si>
  <si>
    <t>Auriculares DEKKIN Ergonómicos Negro xu.</t>
  </si>
  <si>
    <t>Auriculares DEKKIN Vincha con Luces ''RGB'' xu. Blanco</t>
  </si>
  <si>
    <t>Auriculares DEKKIN Vincha con Luces ''RGB'' xu. Negro</t>
  </si>
  <si>
    <t>Auriculares DEKKIN Vincha con Luces ''RGB'' xu. Gris</t>
  </si>
  <si>
    <t>Auriculares DEKKIN Vincha Con Orejas De Gato Azul xu.</t>
  </si>
  <si>
    <t>Auriculares DEKKIN Vincha Con Orejas De Gato Celeste xu.</t>
  </si>
  <si>
    <t>Auriculares DEKKIN Vincha Con Orejas De Gato Rosa xu.</t>
  </si>
  <si>
    <t>Auriculares DEKKIN Vincha Con Orejas De Gato Rosa con Gris xu.</t>
  </si>
  <si>
    <t>Auriculares DEKKIN Vincha Con Orejas De Gato Violeta xu.</t>
  </si>
  <si>
    <t>Botella Térmica SIMBALL Lunchie Bot x750ml. Con Tapa</t>
  </si>
  <si>
    <t>Round Cable 90° DEKKIN Micro USB Negro Y Blanco xu.</t>
  </si>
  <si>
    <t>Cable 90 Degrees DEKKIN Lightning Blanco xu.</t>
  </si>
  <si>
    <t>Cable 90 Degrees DEKKIN Lightning Negro xu.</t>
  </si>
  <si>
    <t>CABLE 90 GRADOS DEKKIN MICRO USB BCO.xu.(50)</t>
  </si>
  <si>
    <t>CABLE 90 GRADOS DEKKIN MICRO USB NG.xu.(50)</t>
  </si>
  <si>
    <t>CABLE 90 GRADOS DEKKIN USB TIPO C NG.xu.(50)</t>
  </si>
  <si>
    <t>CABLE 90 GRADOS DEKKIN USB TIPO C BCO.xu.(50)</t>
  </si>
  <si>
    <t>Cable DEKKIN Micro ''USB'' 1A Blanco xu.</t>
  </si>
  <si>
    <t>Cable DEKKIN Micro ''USB'' 1A Negro xu.</t>
  </si>
  <si>
    <t>Cable Metálico DEKKIN Lightning Negro xu.</t>
  </si>
  <si>
    <t>Cable Metálico DEKKIN Lightning Plata xu.</t>
  </si>
  <si>
    <t>Cable Metálico DEKKIN Micro USB Negro xu.</t>
  </si>
  <si>
    <t>Cable Metálico DEKKIN Micro USB Plata xu.</t>
  </si>
  <si>
    <t>Cable Metálico DEKKIN USB Tipo ''C'' Plata xu.</t>
  </si>
  <si>
    <t>Cable Metálico DEKKIN USB Tipo ''C'' Negro xu.</t>
  </si>
  <si>
    <t>CABLE MICRO ''USB'' DEKKIN BCO.xu. (50)</t>
  </si>
  <si>
    <t>CABLE MICRO ''USB'' DEKKIN NG.xu. (50)</t>
  </si>
  <si>
    <t>Cable Micro ''USB'' DEKKIN Carga y Sincroniza xu.</t>
  </si>
  <si>
    <t>Round Cable 90° DEKKIN Lightning Negro Y Blanco xu.</t>
  </si>
  <si>
    <t>Round Cable 90° DEKKIN Lightning Negro Y Rojo xu.</t>
  </si>
  <si>
    <t>Round Cable 90° DEKKIN Micro USB Negro Y Rojo xu.</t>
  </si>
  <si>
    <t>Round Cable 90° DEKKIN Tipo ''C'' Negro Y Blanco xu.</t>
  </si>
  <si>
    <t>Round Cable 90° DEKKIN Tipo ''C'' Negro Y Rojo xu.</t>
  </si>
  <si>
    <t>CABLE TIPO "C" DEKKIN BCO.xu.(50)</t>
  </si>
  <si>
    <t>CABLE TIPO "C" DEKKIN NG.xu.(50)</t>
  </si>
  <si>
    <t>Cable Tipo ''C'' DEKKIN Carga y Sincroniza Blanco xu.</t>
  </si>
  <si>
    <t>Cable Tipo ''C'' DEKKIN Carga y Sincroniza Negro xu.</t>
  </si>
  <si>
    <t>Cable Trenzado DEKKIN Lightning Blanco xu.</t>
  </si>
  <si>
    <t>Cable Trenzado DEKKIN Lightning Negro xu.</t>
  </si>
  <si>
    <t>Cable Trenzado DEKKIN Micro USB Blanco xu.</t>
  </si>
  <si>
    <t>Cable Trenzado DEKKIN Micro USB Negro xu.</t>
  </si>
  <si>
    <t>Cable Trenzado DEKKIN USB Tipo ''C'' Blanco xu.</t>
  </si>
  <si>
    <t>Cable Trenzado DEKKIN USB Tipo ''C'' Negro xu.</t>
  </si>
  <si>
    <t>CABLE TRENZADO MULTIPUNTA DEKKIN NG xu.(50)</t>
  </si>
  <si>
    <t>CABLE TRENZADO MULTIPUNTA DEKKIN PLATA xu.(50)</t>
  </si>
  <si>
    <t>Cafetera COFFEE BREAK Cino xu.</t>
  </si>
  <si>
    <t>Cargador de Auto DEKKIN Alta Durabilidad Blanco xu.</t>
  </si>
  <si>
    <t>Cargador de Auto DEKKIN Alta Durabilidad Negro xu.</t>
  </si>
  <si>
    <t>CARGADOR DE AUTO DEKKIN DOBLE PUERTO USB 2.1XU. (50)</t>
  </si>
  <si>
    <t>Cargador de Pared DEKKIN Doble Puerto xu.</t>
  </si>
  <si>
    <t>CARGADOR DE PARED DOBLE PUERTO 2A DEKKIN XU.(50)</t>
  </si>
  <si>
    <t>Exhibidor DEKKIN xu.</t>
  </si>
  <si>
    <t>Kit DEKKIN Car Charger + Cable Lightning xu.</t>
  </si>
  <si>
    <t>Kit DEKKIN Car Charger + Cable Micro USB xu.</t>
  </si>
  <si>
    <t>Kit DEKKIN Car Charger + Cable Tipo ''C'' xu.</t>
  </si>
  <si>
    <t>Kit DEKKIN Wall Charger + Cable Lightning xu.</t>
  </si>
  <si>
    <t>Kit DEKKIN Wall Charger + Cable Micro USB xu.</t>
  </si>
  <si>
    <t>Kit DEKKIN Wall Charger + Cable Tipo ''C'' xu.</t>
  </si>
  <si>
    <t>Kit COFFEE BREAK Vasos, Tapas y Removedores c/u x100u.</t>
  </si>
  <si>
    <t>Nieve Espuma CANDOMBE xu.</t>
  </si>
  <si>
    <t>Nieve Espuma Rey Momo xu. (12)</t>
  </si>
  <si>
    <t>PALETINAS CINCO HISPANOS x1000u.</t>
  </si>
  <si>
    <t>PANTALON GRIS</t>
  </si>
  <si>
    <t>Parlante Inalámbrico DEKKIN Color Negro xu.</t>
  </si>
  <si>
    <t>Parlante Inalámbrico DEKKIN Color Rojo xu.</t>
  </si>
  <si>
    <t>VASOS PLASTICOS CINCO HISPANOS x100u.</t>
  </si>
  <si>
    <t xml:space="preserve">PERFUMERIA </t>
  </si>
  <si>
    <t>ACONDIC.317 SACH.CERAM. x24u.(24)</t>
  </si>
  <si>
    <t>Acondicionador PONTE VECCHIO x6u.</t>
  </si>
  <si>
    <t>Afeitadora MINORA Plus 2 con Aloe Vera xu.</t>
  </si>
  <si>
    <t>Afeitadora MINORA Pro xu.</t>
  </si>
  <si>
    <t>Afeitadora UOMMO Bolsa x2u.</t>
  </si>
  <si>
    <t>Alcohol en Gel 317 Neutro x420g.</t>
  </si>
  <si>
    <t>Alcohol en Gel POP Lol Surprise x9u.</t>
  </si>
  <si>
    <t>Alcohol en Gel x75cc. (180)</t>
  </si>
  <si>
    <t>Alcohol En Gelx9u.MINIONS Tutti Frutti</t>
  </si>
  <si>
    <t>Algodón DONCELLA x140g.</t>
  </si>
  <si>
    <t>Algodón DONCELLA x70g.</t>
  </si>
  <si>
    <t>Aromatizante BAHAMA Hula Girl xu.</t>
  </si>
  <si>
    <t>AROMATIZANTE CALIFORNIA SCENTS PALMS LAGUNA BREEZEx24u.</t>
  </si>
  <si>
    <t>AROMATIZANTE CALIFORNIA SCENTS PALMS NEW CARx24u.</t>
  </si>
  <si>
    <t>Aromatizante MINI DIFF Spiced Vainilla xu.</t>
  </si>
  <si>
    <t>Aromatizante Refresh Your Car Dual Scent xu.</t>
  </si>
  <si>
    <t>Aromatizante Refresh Your Car Hawaiian Sunrise xu.</t>
  </si>
  <si>
    <t>COOL SCENTS CALIFORNIA SCENTS xu.x23g.(12)</t>
  </si>
  <si>
    <t>Apósitos CURITAS</t>
  </si>
  <si>
    <t>Dentífrico COLGATE con Calcio x70g.</t>
  </si>
  <si>
    <t>Dentífrico KOLYNOS Triple Extra Fresh x90g.</t>
  </si>
  <si>
    <t>Dentífrico KOLYNOS x70g.</t>
  </si>
  <si>
    <t>Desodorante en Aerosol DUFOUR Men Black x155cc.</t>
  </si>
  <si>
    <t>Desodorante en Aerosol POLYANA Men Sport x150cc.</t>
  </si>
  <si>
    <t>Desodorante en Aerosol POLYANA Women Clas x150cc.</t>
  </si>
  <si>
    <t>Acondicionador SEDAL S.O.S. Balance x24u. Sachet</t>
  </si>
  <si>
    <t>Acondicionador SEDAL S.O.S. Ceramidas x24u. Sachet</t>
  </si>
  <si>
    <t>Acondicionador SEDAL S.O.S. Reconstrucción Estructural x24u. Sachet</t>
  </si>
  <si>
    <t>Gel Can MIDNIGHT x70g.</t>
  </si>
  <si>
    <t>Jabón LUX Lirio Azul x125g.</t>
  </si>
  <si>
    <t>Jabón REXONA Bamboo Fresh x125g.</t>
  </si>
  <si>
    <t>Jabón REXONA Cottom Fresh x125g.</t>
  </si>
  <si>
    <t>Manteca De Cacao ZONO Caja x20u. Colores Mixtos</t>
  </si>
  <si>
    <t>ODOR ELIMINATOR CALIFORNIA SCENTS CHERRYx150g.(4)</t>
  </si>
  <si>
    <t>Odor Eiminator Californa Scents CITRUS TWIST x150g.</t>
  </si>
  <si>
    <t>Prestobarba GILLETTE 3 Filos xu.</t>
  </si>
  <si>
    <t>Prestobarba GILLETTE New Ultra Grip Cabezal Móvil</t>
  </si>
  <si>
    <t>Prestobarba GILLETTE Ultra Grip Plus</t>
  </si>
  <si>
    <t>Protectores DONCELLA Anatómicos con Desodorante x20u.</t>
  </si>
  <si>
    <t>Protectores DONCELLA Anatómicossin Desodorante x20u.</t>
  </si>
  <si>
    <t>Protectores DONCELLA Clásico sin Desodorante x20u.</t>
  </si>
  <si>
    <t>Repuesto GILLETTE MACH 3 Plus x2u.</t>
  </si>
  <si>
    <t>Repuesto GILLETTE MACH 3 Sensitive</t>
  </si>
  <si>
    <t>Repuesto GILLETTE MACH 3 x2u.</t>
  </si>
  <si>
    <t>SHAMPOO 317 SACH.CERAM. x24u.(24)</t>
  </si>
  <si>
    <t>Shampoo PANTENE Liso Extremo x24u.</t>
  </si>
  <si>
    <t>Shampoo PONTE VECCHIO x6u.</t>
  </si>
  <si>
    <t>Shampoo SEDAL S.O.S. Crema Sachet xu.</t>
  </si>
  <si>
    <t>Shampoo SEDAL S.O.S. Ceramidas Sachet x24u.</t>
  </si>
  <si>
    <t>Shampoo SEDAL S.O.S. Reconstrucción Estructural Sachet x24u.</t>
  </si>
  <si>
    <t>Tapaboca Universal con Tira x100u.</t>
  </si>
  <si>
    <t>Tapaboca Universal x100u.</t>
  </si>
  <si>
    <t>Tintura Para Pelo 317 0.11 Negro Azulado</t>
  </si>
  <si>
    <t>Tintura Para Pelo 317 0.5 Rojo Fuego</t>
  </si>
  <si>
    <t>Tintura Para Pelo 317 0.8 Ciruela Roja</t>
  </si>
  <si>
    <t>Tintura Para Pelo 317 1 Negro Intenso</t>
  </si>
  <si>
    <t>Tintura Para Pelo 317 10 Dorado Aclarante</t>
  </si>
  <si>
    <t>Tintura Para Pelo 317 10.1 Platino</t>
  </si>
  <si>
    <t>Tintura Para Pelo 317 23.31</t>
  </si>
  <si>
    <t>Tintura Para Pelo 317 24.3</t>
  </si>
  <si>
    <t>Tintura Para ëlo 317 25.42</t>
  </si>
  <si>
    <t>Tintura Para Pelo 317 27.3 Rubio Centeno</t>
  </si>
  <si>
    <t>Tintura Para Pelo 317 27.32 Miel</t>
  </si>
  <si>
    <t>Tintura Para Pelo 317 27.42</t>
  </si>
  <si>
    <t>Tintura Para Pelo 317 28.3</t>
  </si>
  <si>
    <t>Tintura Para Pelo 317 28.32</t>
  </si>
  <si>
    <t>Tintura Para Pelo 317 29.3</t>
  </si>
  <si>
    <t>Tintura Para Pelo 317 3 Castaño Oscuro</t>
  </si>
  <si>
    <t>Tintura Para Pelo 317 4 Castaño</t>
  </si>
  <si>
    <t>Tintura Para Pelo 317 4.6</t>
  </si>
  <si>
    <t>Tintura Para Pelo 317 5 Castaño Claro</t>
  </si>
  <si>
    <t>Tintura Para Pelo 317 5.1 Castaño Claro Ceniza</t>
  </si>
  <si>
    <t>Tintura Para Pelo 317 5.13 Castaño Claro Chocolate</t>
  </si>
  <si>
    <t>Tintura Para Pelo 317 5.6 Caoba</t>
  </si>
  <si>
    <t>Tintura Para Pelo 317 5.66 Rojo Oscuro</t>
  </si>
  <si>
    <t>Tintura Para Pelo 317 6 Rubio Oscuro</t>
  </si>
  <si>
    <t>Tintura Para Pelo 317 6.1 Rubio Oscuro Ceniza</t>
  </si>
  <si>
    <t>Tintura Para Pelo 317 6.4</t>
  </si>
  <si>
    <t>Tintura Para Pelo 317.6.6</t>
  </si>
  <si>
    <t>Tintura Para Pelo 317 6.66 Rojo</t>
  </si>
  <si>
    <t>Tintura Para Pelo 317 6.73 Chocolate Dorado</t>
  </si>
  <si>
    <t>Tintura Para Pelo 317 7 Rubio</t>
  </si>
  <si>
    <t>Tintura Para Pelo 317 7.1 Rubio Ceniza</t>
  </si>
  <si>
    <t>Tintura Para Pelo 317 7.11 Rubio Ceniza Tornasol</t>
  </si>
  <si>
    <t>Tintura Para Pelo 317 7.4 Rubio Tabaco</t>
  </si>
  <si>
    <t>Tintura Para Pelo 317 7.66 Rojo Claro</t>
  </si>
  <si>
    <t>Tintura Para Pelo 317 8 Rubio Claro</t>
  </si>
  <si>
    <t>Tintura Para Pelo 317 8.1 Rubio Claro Ceniza</t>
  </si>
  <si>
    <t>Tintura Para Pelo 317 8.11 Rubio Claro Ceniza Tornasol</t>
  </si>
  <si>
    <t>Tintura Para Pelo 317 8.4</t>
  </si>
  <si>
    <t>Tintura Para Pelo 317 8.73 Chocolate Claro</t>
  </si>
  <si>
    <t>Tintura Para Pelo 317 9 Rubio Claro</t>
  </si>
  <si>
    <t>Tintura Para Pelo 317 9.1 Rubio Claro Ceniza</t>
  </si>
  <si>
    <t>Tintura Para Pelo 317 9.11</t>
  </si>
  <si>
    <t>Toallas Femeninas DONCELLA con Alas y Desodorante x8u.</t>
  </si>
  <si>
    <t>Toallas Femeninas DONCELLA con Alas sin Desodorante x8u.</t>
  </si>
  <si>
    <t>Venus GILLETTE Simply 3 Filos Sens</t>
  </si>
  <si>
    <t>Venus GILLETTE Simply 3 Suave xu.</t>
  </si>
  <si>
    <t>Venus GILLETTE Simply xu.</t>
  </si>
  <si>
    <t xml:space="preserve">KIOSCO </t>
  </si>
  <si>
    <t>Batería ENERGIZER xu.</t>
  </si>
  <si>
    <t>Batería EVEREADY xu.</t>
  </si>
  <si>
    <t>Bombilla ORIGEN Grabada xu.</t>
  </si>
  <si>
    <t>Encendedor BIC Maxi x12u.</t>
  </si>
  <si>
    <t>Encendedor BIC Mini x12u.</t>
  </si>
  <si>
    <t>Encendedor CANDELA Hogar Flex xu.</t>
  </si>
  <si>
    <t>Encendedor CANDELA Transparente x25u.</t>
  </si>
  <si>
    <t>Encendedores CLIPPER Maxi Solid x15u.</t>
  </si>
  <si>
    <t>Encendedor INOVA Recargable Display x25u.</t>
  </si>
  <si>
    <t>Encendedor SHARK Transparente x25u.</t>
  </si>
  <si>
    <t>Exhibidor Preservativos CONTROL Ready To Sex x12u.</t>
  </si>
  <si>
    <t>Figurita Naruto Shippuden x20u.</t>
  </si>
  <si>
    <t>Fósforos 3 PATITOS x50u.</t>
  </si>
  <si>
    <t>Fósforos 3 PATITOS x222u.</t>
  </si>
  <si>
    <t>Globelio CANDELA Power Max x30u.</t>
  </si>
  <si>
    <t>Globo Bombucha PARTY TIME x80u.</t>
  </si>
  <si>
    <t>Globo BOMBUCHA x100u</t>
  </si>
  <si>
    <t>Globo BOMBUCHA x100u.</t>
  </si>
  <si>
    <t>Globos para Agua CANDELA x100u.</t>
  </si>
  <si>
    <t>Globo CANDELA Forma Corazón x12u.</t>
  </si>
  <si>
    <t>Globo CANDELA Impreso Amarillo con Lunares Blancos x12u.</t>
  </si>
  <si>
    <t>Globo CANDELA Impreso Azul con Lunares Blancos x12u.</t>
  </si>
  <si>
    <t>Globo CANDELA Impreso Besos x12u.</t>
  </si>
  <si>
    <t>Globo CANDELA Impreso Estrellas x12u.</t>
  </si>
  <si>
    <t>Globo CANDELA Impreso Fuegos Artificiales x12u.</t>
  </si>
  <si>
    <t>Globo CANDELA Impreso Negro con Lunares Blancos x12u.</t>
  </si>
  <si>
    <t>Globo CANDELA Impreso Negro con Lunares Rojos x12u.</t>
  </si>
  <si>
    <t>Globo CANDELA Impreso Naranja con Lunares Blancos x12u.</t>
  </si>
  <si>
    <t>Globo CANDELA Impreso Rojo con Lunares Blancos x12u.</t>
  </si>
  <si>
    <t>Globo CANDELA Impreso Verde con Lunares Blancos x12u.</t>
  </si>
  <si>
    <t>Globo CANDELA Impreso Violeta con Lunares Blancos x12u.</t>
  </si>
  <si>
    <t>GLOBO CANDELA F.CUMPLE 9"x50u.(100)</t>
  </si>
  <si>
    <t>Globo CANDELA Liso 9" x50u.</t>
  </si>
  <si>
    <t>Globo FIESTA LOCA Amarillo Liso 9" x50u.</t>
  </si>
  <si>
    <t>Globo FIESTA LOCA Azul Liso 9" x50u.</t>
  </si>
  <si>
    <t>Globo FIESTA LOCA Blanco-Celeste Liso 9" x50u.</t>
  </si>
  <si>
    <t>Globo FIESTA LOCA Blanco Liso 9" x50u.</t>
  </si>
  <si>
    <t>Globo FIESTA LOCA Blanco Perlado Liso 12" x25u.</t>
  </si>
  <si>
    <t>Globo FIESTA LOCA Celeste Liso 9" x50u.</t>
  </si>
  <si>
    <t>Globo FIESTA LOCA Celeste Perlado Liso 12" x25u.</t>
  </si>
  <si>
    <t>Globo FIESTA LOCA Rojo Liso 9" x50u.</t>
  </si>
  <si>
    <t>Globo FIESTA LOCA Surtido Liso 9" x50u.</t>
  </si>
  <si>
    <t>Globo FIESTA LOCA Surtido Perlado Liso 12" x25u.</t>
  </si>
  <si>
    <t>Hilo Algodón x10u.</t>
  </si>
  <si>
    <t>Hilo Cañamo Ovillo Oscuro xu.</t>
  </si>
  <si>
    <t>Hilo Choricero x10u. Nº 4</t>
  </si>
  <si>
    <t>Hilo Cinta Recuperado para Embalaje x bobina</t>
  </si>
  <si>
    <t>Hilo Plástico Virgen en Bobina 400g. xu.</t>
  </si>
  <si>
    <t>Hilo Plástico Virgen Bobina Chico xu.</t>
  </si>
  <si>
    <t>Hilo Sisal Ovillo Clásico (Claro) xu.</t>
  </si>
  <si>
    <t>Hilo Yute Clásico Chico xu.</t>
  </si>
  <si>
    <t>Huevo LOL Surprise Chico Toy Cosmetic xu.</t>
  </si>
  <si>
    <t>Huevo LOL Surprise Grande Toy Cosmetic xu.</t>
  </si>
  <si>
    <t>Lanza Papelitos CANDELA Dorado Metalizado xu.</t>
  </si>
  <si>
    <t>Lanza Papelitos CANDELA Dólar xu.</t>
  </si>
  <si>
    <t>Lanza Papelitos CANDELA Multicolor xu.</t>
  </si>
  <si>
    <t>Lanza Papelitos CANDELA Plateado Metalizado xu.</t>
  </si>
  <si>
    <t>Maxi Poster PANINI Qatar 2022 Con Figuritas</t>
  </si>
  <si>
    <t>Naipes CASiNO Plastificados x40u.</t>
  </si>
  <si>
    <t>Naipes CASiNO Plastificados x50u.</t>
  </si>
  <si>
    <t>Naipes CASiNO Pocker Azul x54u.</t>
  </si>
  <si>
    <t>Naipes CASiNO Pocker Rojo x54u.</t>
  </si>
  <si>
    <t>Naipes HABANA Plastificados x40u.</t>
  </si>
  <si>
    <t>NAIPES HABANA PLASTIFIC.x50(12/144)</t>
  </si>
  <si>
    <t>Naipes HACHAZO Azul x50u.</t>
  </si>
  <si>
    <t>Naipes HACHAZO Verdes x40u.</t>
  </si>
  <si>
    <t>Naipes JOKER Verdes x40u.</t>
  </si>
  <si>
    <t>Naipes JOKER Azul x50u.</t>
  </si>
  <si>
    <t>Pilas ENERGIZER 2032 BP-5 x5u.</t>
  </si>
  <si>
    <t>Pilas ENERGIZER 377/376 x5u.</t>
  </si>
  <si>
    <t>Pilas ENERGIZER A23 BPS x5u.</t>
  </si>
  <si>
    <t>Pilas ENERGIZER A27 xu.</t>
  </si>
  <si>
    <t>Pilas ENERGIZER A76BP10 x10u.</t>
  </si>
  <si>
    <t>Pilas ENERGIZER AAA x20u.</t>
  </si>
  <si>
    <t>Pilas ENERGIZER AAA x4u.</t>
  </si>
  <si>
    <t>Pilas ENERGIZER AA x20u.</t>
  </si>
  <si>
    <t>Pilas ENERGIZER AA x4u.</t>
  </si>
  <si>
    <t>Pilas ENERGIZER AZ675DPA4 x4u.</t>
  </si>
  <si>
    <t>Pilas ENERGIZER CR2025 x5u.</t>
  </si>
  <si>
    <t>Pilas ENERGIZER C Mediana x2u.</t>
  </si>
  <si>
    <t>Pilas ENERGIZER D Grande x2u.</t>
  </si>
  <si>
    <t>Pilas EVEREADY AAA x2u.</t>
  </si>
  <si>
    <t>Pilas EVEREADY AA x4u.</t>
  </si>
  <si>
    <t>Pilas EVEREADY C Mediana x2u.</t>
  </si>
  <si>
    <t>Pilas EVEREADY D Grande x2u.</t>
  </si>
  <si>
    <t>Pinta Pelo CANDELA Color Amarillo x80g.</t>
  </si>
  <si>
    <t>Pinta Pelo CANDELA Color Azul x80g.</t>
  </si>
  <si>
    <t>Pinta Pelo CANDELA Color Blanco x80g.</t>
  </si>
  <si>
    <t>Pinta Pelo CANDELA Color Celeste x80g</t>
  </si>
  <si>
    <t>Pinta Pelo CANDELA Color Rojo x80g.</t>
  </si>
  <si>
    <t>Pinta Pelo CANDELA Color Rosa x80g.</t>
  </si>
  <si>
    <t>Pinta Pelo CANDELA Color Verde x80g.</t>
  </si>
  <si>
    <t>Preservativo CONTROL Finissimo Original xu.</t>
  </si>
  <si>
    <t>Preservativo CONTROL Nature Xtra Lubre xu.</t>
  </si>
  <si>
    <t>Preservativo CONTROL New Nature 2.0 xu.</t>
  </si>
  <si>
    <t>Preservativo MAXX Espermicida xu.</t>
  </si>
  <si>
    <t>Preservativo MAXX Extra Lubricado xu.</t>
  </si>
  <si>
    <t>Preservativo MAXX Mega xu.</t>
  </si>
  <si>
    <t>Preservativo MAXX Súper Fino xu.</t>
  </si>
  <si>
    <t>Preservativo MAXX Tachas xu.</t>
  </si>
  <si>
    <t>Preservativo MAXX Texturado xu.</t>
  </si>
  <si>
    <t>Preservativos PRIME Anatómico xu.</t>
  </si>
  <si>
    <t>Preservativos PRIME Espermicida xu.</t>
  </si>
  <si>
    <t>Preservativos PRIME Extra Lubricado xu.</t>
  </si>
  <si>
    <t>Preservativos PRIME MIXta x24u.</t>
  </si>
  <si>
    <t>Preservativos PRIME Retardante xu.</t>
  </si>
  <si>
    <t>Preservativo PRIME Stronger xu.</t>
  </si>
  <si>
    <t>Preservativos PRIME Super Fino xu.</t>
  </si>
  <si>
    <t>Preservativos PRIME Tachas xu.</t>
  </si>
  <si>
    <t>Preservativos PRIME Texturado xu.</t>
  </si>
  <si>
    <t>Preservativos PRIME Turbo xu.</t>
  </si>
  <si>
    <t>Preservativos PRIME Ultra Fino xu.</t>
  </si>
  <si>
    <t>Preservativos PRIME Warming xu.</t>
  </si>
  <si>
    <t>Preservativo TULIPÁN Clásico 16 cajitas x3u. + 1Caja Sin Cargo</t>
  </si>
  <si>
    <t>Preservativo TULIPÁN Clásico 16 cajitas x3u.</t>
  </si>
  <si>
    <t>Serpentina CANDELA Surtido xu.</t>
  </si>
  <si>
    <t>Sorbetes Caja x1000u.</t>
  </si>
  <si>
    <t>Sorbetes de Papel x200u.</t>
  </si>
  <si>
    <t>Tubo Preservativo MAXX Surtido 12x3u. + Encendedores SHARK x15u.</t>
  </si>
  <si>
    <t>Vasos Plásticos Celeste Bolsa x6u.</t>
  </si>
  <si>
    <t>Vasos Plásticos Fucsia Bolsa x6u.</t>
  </si>
  <si>
    <t>Vasos Plásticos Lila Bolsa x6u.</t>
  </si>
  <si>
    <t>Vasos Plásticos Rosa Bolsa x6u.</t>
  </si>
  <si>
    <t>Vasos Plasticos Surtidos Bolsa x12u.</t>
  </si>
  <si>
    <t>Vasos Plásticos Violeta Bolsa x6u.</t>
  </si>
  <si>
    <t>Velas JERUSALEN Cortas Blancas</t>
  </si>
  <si>
    <t>Velas JERUSALEN Cortas Rojas</t>
  </si>
  <si>
    <t>VELAS JERUSALEN de Noche Blancas</t>
  </si>
  <si>
    <t>VELAS JERUSALEN de Noche Rojas</t>
  </si>
  <si>
    <t>Velas JERUSALEN Largas Blancas</t>
  </si>
  <si>
    <t>Velas JERUSALEN Largas Rojas</t>
  </si>
  <si>
    <t xml:space="preserve">LIMPIEZA </t>
  </si>
  <si>
    <t>Azufre DISMAR x20. x5u.</t>
  </si>
  <si>
    <t>Azufre DISMAR x50u.</t>
  </si>
  <si>
    <t>Azufre PUROCOL x48u.</t>
  </si>
  <si>
    <t>Crema ODEX Lavanda x500cc.</t>
  </si>
  <si>
    <t>Crema ODEX Original x500cc.</t>
  </si>
  <si>
    <t>Dentífrico ODOL x70g.</t>
  </si>
  <si>
    <t>Desinfectante LYSOFORM Aerosol Lavanda x360cc.</t>
  </si>
  <si>
    <t>Desodorante LYSOFORM Aerosol x285ml.</t>
  </si>
  <si>
    <t>Espiral FUYÍ x12 Sobres x4u.</t>
  </si>
  <si>
    <t>Espiral FUYÍ Caja x12u.</t>
  </si>
  <si>
    <t>Espiral FUYI Country Caja x12u. (24)</t>
  </si>
  <si>
    <t>Espiral FUYÍ x72u.</t>
  </si>
  <si>
    <t>Espiral RAID x12 Sobres x4u.</t>
  </si>
  <si>
    <t>Espiral RAID x12u.</t>
  </si>
  <si>
    <t>Insecticida CUCATRAP Ultra x380cc.</t>
  </si>
  <si>
    <t>Insecticida CUCATRAP x380cc.</t>
  </si>
  <si>
    <t>Insecticida MOSQUITRAP Ultra x370cc.</t>
  </si>
  <si>
    <t>Insecticida MOSQUITRAP x270cc.</t>
  </si>
  <si>
    <t>Insecticida MOSQUITRAP x370cc.</t>
  </si>
  <si>
    <t>Insecticida RAID Azul Mata Moscas y Mosquitos x360cc.</t>
  </si>
  <si>
    <t>Insecticida RAID Dorado Mata Cucarachas y Arañas x360 cc.</t>
  </si>
  <si>
    <t>Insecticida RAID Negro Mata Cucarachas x360cc.</t>
  </si>
  <si>
    <t>Lavandina ODEX Común x4l.</t>
  </si>
  <si>
    <t>Lavandina ODEX Gel x700cc.</t>
  </si>
  <si>
    <t>Liquido Anti Grasa ODEX con Amoniaco x1250cc.</t>
  </si>
  <si>
    <t>Pañuelos CANDELA x6u.</t>
  </si>
  <si>
    <t>Pañuelos CATA Box</t>
  </si>
  <si>
    <t>Pañuelos Descartables MAXISEC Box</t>
  </si>
  <si>
    <t>Pañuelos Descartables MAXISEC Mini Pocket x8u.</t>
  </si>
  <si>
    <t>Pañuelos Descartables MAXISEC x6u.</t>
  </si>
  <si>
    <t>Papel Higiénico FELPITA Blanquísimo x80mts. x4u.</t>
  </si>
  <si>
    <t>Papel Higiénico FELPITA x30mts. x4u.</t>
  </si>
  <si>
    <t>Papel Higiénico FLORIPEL Suave x30mts. x4u.</t>
  </si>
  <si>
    <t>Papel Higiénico MAXISEC Blanco x80mts.</t>
  </si>
  <si>
    <t>Papel Higiénico MAXISEC Eco x80mts.</t>
  </si>
  <si>
    <t>Papel Higiénico MAXISEC Natural x60mts.</t>
  </si>
  <si>
    <t>Papel Higiénico SWEETY Deco x4u. 30mts.</t>
  </si>
  <si>
    <t>Pomada EL COLOSO Maroon x40g.</t>
  </si>
  <si>
    <t>Repelente FUYI Vape x12u.</t>
  </si>
  <si>
    <t>Repelente FUYÍ Vape x24u.</t>
  </si>
  <si>
    <t>Repelente OFF Crema x200g.</t>
  </si>
  <si>
    <t>Repelente OFF Crema x60g.</t>
  </si>
  <si>
    <t>Rollo de Cocina CARTABELLA Daily x40 Paños x3u.</t>
  </si>
  <si>
    <t>Rollo de Cocina FELPITA Decoré x40 Paños x3u.</t>
  </si>
  <si>
    <t>Rollo De Cocina FELPITA Maxi x200h.</t>
  </si>
  <si>
    <t>Rollo de Cocina FLORIPEL Suave x40 Paños x3u.</t>
  </si>
  <si>
    <t>Rollo de Cocina SWEETY Blanco x3u.</t>
  </si>
  <si>
    <t>Rollo de Cocina SweetY Cuisine x60 Paños x3u.</t>
  </si>
  <si>
    <t>Servilletas FELPITA Decoré x70u.</t>
  </si>
  <si>
    <t>Tableta MOSQUITRAP x12u.</t>
  </si>
  <si>
    <t>Tableta MOSQUITRAP x24u.</t>
  </si>
  <si>
    <t xml:space="preserve">CIGARRILLOS </t>
  </si>
  <si>
    <t>Cigarrillo CAMEL Activate Box x20u.</t>
  </si>
  <si>
    <t>Cigarrillo CAMEL Blue Box x20</t>
  </si>
  <si>
    <t>Cigarrillo CAMEL Box 11</t>
  </si>
  <si>
    <t>Cigarrillo CAMEL Box x20u.</t>
  </si>
  <si>
    <t>Cigarrillo CAMEL Circle Box x20</t>
  </si>
  <si>
    <t>Cigarrillo CAMEL KISS x20</t>
  </si>
  <si>
    <t>Cigarrillo DOLCHESTER Box x20u.</t>
  </si>
  <si>
    <t>CIG.L.STRIKE BOX x12(10)</t>
  </si>
  <si>
    <t>Cigarrillo LUCKY STRIKE BOX x20 By Paris</t>
  </si>
  <si>
    <t>Cigarrillo LUCKY STRIJE Box x20u</t>
  </si>
  <si>
    <t>Cigarrillo LUCKY STRIKE Convertible Box 12</t>
  </si>
  <si>
    <t>CIG.L.STRIKE CONVERTIBLE BOX x20(10)</t>
  </si>
  <si>
    <t>Cigarrillo LUCKY STRIKE Convertible Kiss x20u.</t>
  </si>
  <si>
    <t>Cigarrillo LUCKY STRIKE Energía x12u.</t>
  </si>
  <si>
    <t>Cigarrillo LUCKY STRIKE Energía Box x20u.</t>
  </si>
  <si>
    <t>Cigarrillo LUCKY STRIKE Kiss Silver x20u.</t>
  </si>
  <si>
    <t>Cigarrilo LUCKY STRIKE Kiss x20u.</t>
  </si>
  <si>
    <t>CIG.L.STRIKE MIX x12(10)</t>
  </si>
  <si>
    <t>Cigarrillo LUCKY STRIKE Mix x20u</t>
  </si>
  <si>
    <t>Cigarrillo LUCKY STRIKE Mix ''XL'' x20u.</t>
  </si>
  <si>
    <t>Cigarrillo LUCKY STRIKE Origen Red x20u</t>
  </si>
  <si>
    <t>Cigarrillo LUCKY STRIKE Mix Purple x12u</t>
  </si>
  <si>
    <t>Cigarrillo LUCKY STRIKE Mix Purple x20u</t>
  </si>
  <si>
    <t>Cigarrillo LUCKY STRIKE Mix Purple XL x20u</t>
  </si>
  <si>
    <t>Cigarrillo LUCKY STRIKE Doble Capsula Wild x11u.</t>
  </si>
  <si>
    <t>Cigarrillo LUCKY STRIKE Double Plus x12u.</t>
  </si>
  <si>
    <t>Cigarrillo LUCKY STRIKE Box Twins x20</t>
  </si>
  <si>
    <t>Cigarrillo LUCKY STRIKE Double Plus x20u.</t>
  </si>
  <si>
    <t>Cigarrillo MELBOURNE Gold x20u.</t>
  </si>
  <si>
    <t>Cigarrillo MELBOURNE x20u.</t>
  </si>
  <si>
    <t>Cigarrillo MILENIO Box Gold x20u.</t>
  </si>
  <si>
    <t>Cigarrillos MILENIO Mint x20u.</t>
  </si>
  <si>
    <t>Cigarrillos MILENIO Box x20u.</t>
  </si>
  <si>
    <t>Cigarrillos MILENIO Click Mint x20u.</t>
  </si>
  <si>
    <t>Cigarrillos Red Mill x20u.</t>
  </si>
  <si>
    <t>CIG.ROTHM,CLICK FTOS.ROJOS 100'x20u.(10)</t>
  </si>
  <si>
    <t>CIG.ROTHMANS 100`By 43/70 x20(10)</t>
  </si>
  <si>
    <t>CIG.ROTHMANS BOX XL CLICK x20u.(10)</t>
  </si>
  <si>
    <t>Cigarrillo ROTHMANS Cigarrito x20 Kiss</t>
  </si>
  <si>
    <t>CIG.ROTHMANS CLICK x12</t>
  </si>
  <si>
    <t>Cigarrillo ROTHMANS Click x20 Kiss</t>
  </si>
  <si>
    <t>CIG.ROTHMANS PURPLE XL x20u.(10)</t>
  </si>
  <si>
    <t>CIG.ROTHMANS RED x12</t>
  </si>
  <si>
    <t>CIG.ROTHMANS ROJO 100'BOX XL x20u.(10)</t>
  </si>
  <si>
    <t>Papel para armar OCB Orgánico x50h. x25u.</t>
  </si>
  <si>
    <t>Papel para armar OCB Premiun x50h. x25u.</t>
  </si>
  <si>
    <t>Papel para armar OCB UltiMate x50h. x25u.</t>
  </si>
  <si>
    <t>Papel para armar OCB Virgin x50h. x25u.</t>
  </si>
  <si>
    <t>Papel para armar OCB X - Pert x50h. x25u.</t>
  </si>
  <si>
    <t>Papel para Armar PREMIER Fine x50h. x25u.</t>
  </si>
  <si>
    <t>Papel para Armar PREMIER Organic x50h. x25u.</t>
  </si>
  <si>
    <t>Papel para Armar PREMIER Plus x50h. x25u.</t>
  </si>
  <si>
    <t>Papel Para Armar RIZLA Micrón Medium x50u.</t>
  </si>
  <si>
    <t>Papel Para Armar RIZLA Natura KSS x25u.</t>
  </si>
  <si>
    <t>Papel Para Armar RIZLA Natura KSS x50u.</t>
  </si>
  <si>
    <t>Papel Para Armar RIZLA Natura Medium x50u.</t>
  </si>
  <si>
    <t>Papel Para Armar RIZLA Natura N8 x25u.</t>
  </si>
  <si>
    <t>Papel Para Armar RIZLA Pink KSS x50u.</t>
  </si>
  <si>
    <t>Papel Para Armar RIZLA Precision KSS x50u.</t>
  </si>
  <si>
    <t>Papel Para Armar RIZLA Red Medium x25u.</t>
  </si>
  <si>
    <t>Papel Para Armar RIZLA Silver Medium x25u.</t>
  </si>
  <si>
    <t>Papel Para Armar RIZLA Silver Medium x50u.</t>
  </si>
  <si>
    <t>Papel Para Armar RIZLA Surtido Display x60u.</t>
  </si>
  <si>
    <t>Tabaco DON JOSE Negro x50g.</t>
  </si>
  <si>
    <t>Tabaco LAS HOJAS Premium Chocolate x30 gramos.</t>
  </si>
  <si>
    <t>Tabaco LAS HOJAS Premium Natural x30g.</t>
  </si>
  <si>
    <t>Tabaco LAS HOJAS Premium Uva x 30 gramos.</t>
  </si>
  <si>
    <t>Tabaco LAS HOJAS Premium Vainilla x30 gramos.</t>
  </si>
  <si>
    <t>Tabaco LAS HOJAS x50g.</t>
  </si>
  <si>
    <t>Cigarrillo MELBOURNE Menthol x20u.</t>
  </si>
  <si>
    <t xml:space="preserve">TABACO </t>
  </si>
  <si>
    <t>Tabaco ACHALAY Menta x40g.</t>
  </si>
  <si>
    <t>Tabaco ACHALAY Vainilla x40g.</t>
  </si>
  <si>
    <t>Tabaco BUTTERFLY Natural x30g.</t>
  </si>
  <si>
    <t>TABACO CAPORAL x40g.</t>
  </si>
  <si>
    <t>TABACO L.STRIKE GALPAO RYO x30g.</t>
  </si>
  <si>
    <t>TABACO L.STRIKE ORIGINAL RYO x30g.</t>
  </si>
  <si>
    <t>Tabaco LEBONN x50g.</t>
  </si>
  <si>
    <t>Tabaco VAN KIFF American Blend x30g.</t>
  </si>
  <si>
    <t>Tabaco VAN KIFF Cherry x30g.</t>
  </si>
  <si>
    <t>Tabaco VAN KIFF Chocolate x30g.</t>
  </si>
  <si>
    <t>Tabaco VAN KIFF Menta x30g.</t>
  </si>
  <si>
    <t>Tabaco VAN KIFF Natural x30g.</t>
  </si>
  <si>
    <t>Tabaco VAN KIFF Uva x30g.</t>
  </si>
  <si>
    <t>Tabaco VAN KIFF Vainilla x30g.</t>
  </si>
  <si>
    <t xml:space="preserve">GALLETITAS DULCES RELLENAS </t>
  </si>
  <si>
    <t>Galletita 9 DE ORO Brigitte de Chocolate Rellena de Chocolate x120g.</t>
  </si>
  <si>
    <t>Galletita 9 DE ORO Brigitte de Chocolate Rellena de Limon x120g.</t>
  </si>
  <si>
    <t>Galletita 9 DE ORO Brigitte de Vainilla Rellena de Chocolate x120g.</t>
  </si>
  <si>
    <t>Galletita 9 DE ORO Brigitte de Vainilla Rellena de Limon x120g.</t>
  </si>
  <si>
    <t>Galletitas 9 DE ORO Pepas de Membrillo x200g.</t>
  </si>
  <si>
    <t>Galletitas BOOM Frambuesa x140g.</t>
  </si>
  <si>
    <t>Galletita CAPRICHO Sabor Limón x160g.</t>
  </si>
  <si>
    <t>Galletitas CORONITAS Chocolate Blancox140g.</t>
  </si>
  <si>
    <t>Galletitas CORONITAS Chocolate x140g.</t>
  </si>
  <si>
    <t>Galletitas CORONITAS Dulce de Leche x140g.</t>
  </si>
  <si>
    <t>Galletitas CORONITAS Durazno x140g.</t>
  </si>
  <si>
    <t>Galletitas CORONITAS Frutilla x140g.</t>
  </si>
  <si>
    <t>Galletitas CORONITAS Frambuesa x140g.</t>
  </si>
  <si>
    <t>Galletitas CORONITAS Frutos Rojos x140g.</t>
  </si>
  <si>
    <t>Galletitas CORONITAS Limón x140g.</t>
  </si>
  <si>
    <t>Galletitas CORONITAS Vainilla x140g.</t>
  </si>
  <si>
    <t>Galletitas CORONITAS Frambuesa x300g.</t>
  </si>
  <si>
    <t>Galletitas DON SATUR Pepas x300g.</t>
  </si>
  <si>
    <t>Galletitas DELICIAS DE LA NONNA Pepas Membrillo x180g.</t>
  </si>
  <si>
    <t>Galletitas DELICIAS DE LA NONNA Pepas Membrillo x350g.</t>
  </si>
  <si>
    <t>Galletitas FORMIS Chocolate con Relleno de Dulce de Leche x102g.</t>
  </si>
  <si>
    <t>Galletitas FORMIS Chocolate con Relleno de Vainilla x108g.</t>
  </si>
  <si>
    <t>Galletitas FORMIS Vainilla con Relleno de Chocolate x102g.</t>
  </si>
  <si>
    <t>Galletitas FORMIS Vainilla Con Frutilla x102g.</t>
  </si>
  <si>
    <t>Galletitas FORMIS Chocolate x72g.</t>
  </si>
  <si>
    <t>Galletitas FORMIS Chocolate Con Dulce De Leche x72g.</t>
  </si>
  <si>
    <t>Galletitas FORMIS Dulce de Leche x72g.</t>
  </si>
  <si>
    <t>Galletitas FORMIS Frutilla x72g.</t>
  </si>
  <si>
    <t>Galletitas FORMIS Vanilla Con Chocolate x72g.</t>
  </si>
  <si>
    <t>Galletitas FORMIS Vanilla Con Frutilla ''Animales'' x72g.</t>
  </si>
  <si>
    <t>Galletitas KOKIS Cañoncitos Membrillo Litografiados x200g.</t>
  </si>
  <si>
    <t>Galletitas KOKIS Cañoncitos Membrillo Litografiados x500g.</t>
  </si>
  <si>
    <t>Galletitas KOKIS Cañoncitos Manzana Litografiados x200g.</t>
  </si>
  <si>
    <t>Galletitas KOKIS Membrillitos Envase Litografiado x200g.</t>
  </si>
  <si>
    <t>Galletitas KOKIS Membrillitos Litografiados x500g.</t>
  </si>
  <si>
    <t>Galletitas KOKIS Pepos Membrillo x200g.</t>
  </si>
  <si>
    <t>Galletitas MACUCAS Mini Bolsa x140g.</t>
  </si>
  <si>
    <t>Galletitas MACUCAS x110g.</t>
  </si>
  <si>
    <t>Galletitas MACUCAS x85g.</t>
  </si>
  <si>
    <t>Galletitas MANÁ Rellena de Chocolate x152g.</t>
  </si>
  <si>
    <t>Galletitas MANÁ Rellena de Limón x152g.</t>
  </si>
  <si>
    <t>Galletitas MANÁ Rellena de Vainilla x152g.</t>
  </si>
  <si>
    <t>Galletitas MELLIZAS Tri Pack x324g.</t>
  </si>
  <si>
    <t>Galletitas KOKIS Membrillitos con Coco x200g.</t>
  </si>
  <si>
    <t>Galletita Mini POLVORITA Limon x147g.</t>
  </si>
  <si>
    <t>Galletitas PARNOR Barritas Frutos del Bosque x160gr.</t>
  </si>
  <si>
    <t>Galletitas PARNOR Barritas x160gr.Membrillo</t>
  </si>
  <si>
    <t>Galletitas PARNOR Barritasx300gr.Membrillo</t>
  </si>
  <si>
    <t>Galletita Chippis PARNOR Chips de Chocolate x120g.</t>
  </si>
  <si>
    <t>Galletita Mini Pitusas PARNOR Merengada x120g.</t>
  </si>
  <si>
    <t>Galletitas Mini Pitusas PARNOR Jalea x140g.</t>
  </si>
  <si>
    <t>Galletitas PARNOR Mini Pitusas Chocolate x160g.</t>
  </si>
  <si>
    <t>Galletitas PARNOR Mini Pitusas Frutilla x160g.</t>
  </si>
  <si>
    <t>Galletitas PARNOR Mini Pitusas Mousse x160g.</t>
  </si>
  <si>
    <t>Galletitas PARNOR Mini Pitusas Vainilla x160g.</t>
  </si>
  <si>
    <t>Galletitas PARNOR Mini Pitusas Limón x160g.</t>
  </si>
  <si>
    <t>Galletitas PARNOR Mini Pitusas Chocolate x300g.</t>
  </si>
  <si>
    <t>Galletitas PARNOR Mini Pitusas Frutilla x300g.</t>
  </si>
  <si>
    <t>Galletitas PARNOR Mini Pitusas Vainilla x300g.</t>
  </si>
  <si>
    <t>Galletitas PARNOR Pepitas x160g.</t>
  </si>
  <si>
    <t>Galletitas Pepas FANTOCHE x350g.</t>
  </si>
  <si>
    <t>Galletitas Pepas TEREPÍN x200g.</t>
  </si>
  <si>
    <t>GALL.PEPAS TEREPINx300g.BATATA(14)</t>
  </si>
  <si>
    <t>GALL.PEPAS TEREPINx300g.F.BOSQUE(14)</t>
  </si>
  <si>
    <t>Galletitas Pepas TEREPÍN x400g.</t>
  </si>
  <si>
    <t>Galletitas POLVORITA Chocolate x150g.</t>
  </si>
  <si>
    <t>Galletitas SOLITAS Pepas x400g</t>
  </si>
  <si>
    <t>Galletitas SONRISAS Frambuesa x108g.</t>
  </si>
  <si>
    <t>Galletitas TIA MARUCA Pepas x500g.</t>
  </si>
  <si>
    <t>Galletitas TIA MARUCA Pepas x180g.</t>
  </si>
  <si>
    <t>Galletitas TORTITAS Arcor Black x125g.</t>
  </si>
  <si>
    <t>Galletitas TORTITAS Arcor Chocolate x125g.</t>
  </si>
  <si>
    <t>Galletitas TRIO Frolitas x160g.</t>
  </si>
  <si>
    <t>Galletitas TRIO Frolitas x300g.</t>
  </si>
  <si>
    <t>Galletitas TRIO Frolitas x500g.</t>
  </si>
  <si>
    <t>Galletitas TRIO Glasy x175g.</t>
  </si>
  <si>
    <t>Galletita TRIO Pepas Alemanas x180g.</t>
  </si>
  <si>
    <t>Galletita TRIO Pepas Alemanas x300g</t>
  </si>
  <si>
    <t>Galletita TRIO Pepas Alemanas x500g</t>
  </si>
  <si>
    <t>Galletitas TRIO con Aceite Vegetal x300g.</t>
  </si>
  <si>
    <t>Galletitas TRIO Pepas con Chips x180g.</t>
  </si>
  <si>
    <t>Galletitas TRIO Pepas con Chips x300g.</t>
  </si>
  <si>
    <t>Galletitas TRIO Pepas con Chips x500g.</t>
  </si>
  <si>
    <t>Galletitas TRIO Tri Choc Pepas con Chocolate x180g.</t>
  </si>
  <si>
    <t>Galletitas TRIO Tri Choc Pepas con Chocolate x300g.</t>
  </si>
  <si>
    <t>Galletitas TRIO Tri Choc Pepas con Chocolate x500g.</t>
  </si>
  <si>
    <t>Galletitas TRIO Chocotrio x180g.</t>
  </si>
  <si>
    <t>Galletitas TRIO Chocotrio x300g.</t>
  </si>
  <si>
    <t>Galletitas TRIO Chocotrio x500g.</t>
  </si>
  <si>
    <t>Galletitas TRIO Pepas x200g.</t>
  </si>
  <si>
    <t>Galletitas TRIO Pepas x320g.</t>
  </si>
  <si>
    <t>Galletitas TRIO Pepas x350g.</t>
  </si>
  <si>
    <t>Galletitas TRIO Pepas x500g.</t>
  </si>
  <si>
    <t>Galletitas TRIO Peponas Batata x500g.</t>
  </si>
  <si>
    <t>Pepas DULCE MAMA x200g.</t>
  </si>
  <si>
    <t xml:space="preserve">BUDINES-MADALENAS </t>
  </si>
  <si>
    <t>Budin POZO Chocolate Relleno de Dulce de Leche x210g.</t>
  </si>
  <si>
    <t>Madalena VALENTE Vainilla con Chips x180g.</t>
  </si>
  <si>
    <t>Madalenas DALE Sabor Chocolate Rellenas De Dulce De Leche x3u.</t>
  </si>
  <si>
    <t>Madalenas DALE Sabor Dulce De Leche x3u.</t>
  </si>
  <si>
    <t>Madalenas VALENTE Sabor Chocolate Rellenas de Dulce de Leche x180g.</t>
  </si>
  <si>
    <t>Madalenas VALENTE Marmoladas x200g.</t>
  </si>
  <si>
    <t>Madalenas VALENTE Rellenas de Dulce de Leche x180g.</t>
  </si>
  <si>
    <t>Madalenas VALENTE Vainilla x200g.</t>
  </si>
  <si>
    <t>Magdalena DON SATUR Chocolate Relleno de Dulce de Leche x200g.</t>
  </si>
  <si>
    <t>Magdalenas DON SATUR Marmoladas x200g.</t>
  </si>
  <si>
    <t>Magdalena DON SATUR Vainilla Rellena de Dulce de Leche x200g.</t>
  </si>
  <si>
    <t>Magdalena DON SATUR Vainilla Con Chips x200g.</t>
  </si>
  <si>
    <t>Magdalena DON SATUR Vainilla x200g.</t>
  </si>
  <si>
    <t>Magdalena POZO de Chocolate Rellena de Dulce de Leche x7u.</t>
  </si>
  <si>
    <t>Magdalena POZO Clásica x7u.</t>
  </si>
  <si>
    <t>Magdalena POZO Marmolada x7u.</t>
  </si>
  <si>
    <t>Magdalenas POZO Rellenas de Chocolate x7u.</t>
  </si>
  <si>
    <t>Magdalena POZO Rellena de Dulce de Leche x7u.</t>
  </si>
  <si>
    <t>Magdalenas 9 DE ORO Vainilla Rellena de Dulce de Leche x230g.</t>
  </si>
  <si>
    <t>Mini Budin CAÑUELAS Vainilla x210g.</t>
  </si>
  <si>
    <t xml:space="preserve">GALLETITAS DULCES </t>
  </si>
  <si>
    <t>Amarettis URQUIZA x100g.</t>
  </si>
  <si>
    <t>Galletitas 9 DE ORO Anillito Chocolate x120g.</t>
  </si>
  <si>
    <t>Galletitas 9 DE ORO Anillito Coco x120g.</t>
  </si>
  <si>
    <t>Galletitas 9 DE ORO Anillito Vainilla x120g.</t>
  </si>
  <si>
    <t>Galletita 9 DE ORO Avena con Miel x120g</t>
  </si>
  <si>
    <t>Galletita 9 DE ORO Avena con Pasas x120g</t>
  </si>
  <si>
    <t>Galletita 9 DE ORO Cookies Con Chips de Colores x120g.</t>
  </si>
  <si>
    <t>Galletita 9 DE ORO Cookies Con Chips x120g.</t>
  </si>
  <si>
    <t>Galletitas ALFA PAMPA Rellenas de Mouse de Chocolate x12u. x19g.</t>
  </si>
  <si>
    <t>Galletitas ALFA PAMPA Rellenas de Mouse de Limón Bañadas x10u. x27g.</t>
  </si>
  <si>
    <t>Galletitas CELOSAS x110g.</t>
  </si>
  <si>
    <t>Galletitas CELOSAS x230g.</t>
  </si>
  <si>
    <t>Galletitas CELOSAS x350g.</t>
  </si>
  <si>
    <t>Galletitas CEREAL MIX Avena Y Pasas x207g.</t>
  </si>
  <si>
    <t>Galletitas CEREAL MIX Frutilla y Chia x207g.</t>
  </si>
  <si>
    <t>Galletitas CEREAL MIX Semillas y Chips x207g.</t>
  </si>
  <si>
    <t>Galletitas CHOCOLINAS Blanco x245g.</t>
  </si>
  <si>
    <t>Galletitas CHOCOLINAS x100g.</t>
  </si>
  <si>
    <t>Galletitas CHOCOLINAS x150g.</t>
  </si>
  <si>
    <t>Galletitas COFLER BLOCK x124g.</t>
  </si>
  <si>
    <t>Galletitas COFLER x120g.</t>
  </si>
  <si>
    <t>Galletitas CONDESA Mini Chips x280g.</t>
  </si>
  <si>
    <t>Galletitas COQUITAS x157g.</t>
  </si>
  <si>
    <t>Galletita CELOSAS Corazones x100g.</t>
  </si>
  <si>
    <t>Galletita Corazones CELOSAS x260g</t>
  </si>
  <si>
    <t>Galletitas CORONITAS Cereal Con Avena y Chips x140g.</t>
  </si>
  <si>
    <t>Galletitas CORONITAS Cereal Con Avena y Pasas x140g.</t>
  </si>
  <si>
    <t>Galletitas CORONITAS Cereal Con Granola x140g.</t>
  </si>
  <si>
    <t>Galletitas DELICIAS DE LA NONNA Mini Rellena x160g. Sabor Chocolate</t>
  </si>
  <si>
    <t>Galletitas DELICIAS DE LA NONNA Mini Rellena x160g. Sabor Frutilla</t>
  </si>
  <si>
    <t>Galletitas DELICIAS DE LA NONNA Mini Rellena x160g. Sabor Mousse</t>
  </si>
  <si>
    <t>Galletitas DELICIAS DE LA NONNA Mini Rellena x160g. Sabor Vainilla</t>
  </si>
  <si>
    <t>Galletitas DELICIAS DE LA NONNA Manteca x300g.</t>
  </si>
  <si>
    <t>Galletitas DELICIAS DE LA NONNA Surtido Clásico x300g.</t>
  </si>
  <si>
    <t>Galletitas DELICIAS DE LA NONNA Surtido Premiun x400g.</t>
  </si>
  <si>
    <t>Galletitas DIVERSION Arcor x390g.</t>
  </si>
  <si>
    <t>Galletitas DIVERSION Sabor Vainilla x160g.</t>
  </si>
  <si>
    <t>Galletitas DONUTS Blanca x78g.</t>
  </si>
  <si>
    <t>Galletitas DONUTS Negra x78g.</t>
  </si>
  <si>
    <t>Galletitas FANTOCHE Horóscopo x240g.</t>
  </si>
  <si>
    <t>Galletitas FANTOCHE Yayitas Black x250g.</t>
  </si>
  <si>
    <t>Galletitas FANTOCHE Yayitas x275g.</t>
  </si>
  <si>
    <t>Galletitas FANTOCHE Espumitas x300g.</t>
  </si>
  <si>
    <t>Galletitas FANTOCHE Horóscopo x300g.</t>
  </si>
  <si>
    <t>Galletitas FANTOCHE Marmolada x350g.</t>
  </si>
  <si>
    <t>Galletitas FUN FANTOCHE Rosquillas con Granas x150g.</t>
  </si>
  <si>
    <t>Galletitas FUN FANTOCHE con Chips Negros x150g.</t>
  </si>
  <si>
    <t>Galletitas FUN FANTOCHE Zombies vs Monstruos x150g.</t>
  </si>
  <si>
    <t>Galletitas FRUTIGRAN Granix Avena y Frutos Rojos x175g.</t>
  </si>
  <si>
    <t>Galletitas FRUTIGRAN Granix Tropical x175g.</t>
  </si>
  <si>
    <t>Galletitas FRUTIGRAN Granix Chía &amp; Lino x240g.</t>
  </si>
  <si>
    <t>Galletitas FRUTIGRAN Granix Avena y Frutos Rojos x250g.</t>
  </si>
  <si>
    <t>Galletitas FRUTIGRAN Granix Avena y Pasas x240g.</t>
  </si>
  <si>
    <t>Galletitas FRUTIGRAN Granix con Salvado x240g.</t>
  </si>
  <si>
    <t>Galletitas FRUTIGRAN Granix Tropical x250g.</t>
  </si>
  <si>
    <t>Galletitas FRUTIGRAN Granix con Chips x240g.</t>
  </si>
  <si>
    <t>Galletitas FRUTIGRAN Granix Sésamo, Amaranto y Girasol x240g.</t>
  </si>
  <si>
    <t>Galletitas HOJALMAR Larguitas Litografiadas x150g.</t>
  </si>
  <si>
    <t>Galletitas HOJALMAR Larguitas litografiadas x250g.</t>
  </si>
  <si>
    <t>Galletitas HOJALMAR Larguitas Veggies x150g.</t>
  </si>
  <si>
    <t>Galletitas HOJALMAR Palmeras Veggie x150g.</t>
  </si>
  <si>
    <t>Galletitas HOJALMAR Palmeras x150g.</t>
  </si>
  <si>
    <t>Galletitas HOJALMAR Ronda x150g.</t>
  </si>
  <si>
    <t>Galletitas HOJALMAR Triangulitos Litografiados x150g.</t>
  </si>
  <si>
    <t>Galletitas HOJALMAR Triangulitos Litografiados x250g.</t>
  </si>
  <si>
    <t>Galletitas HOJALMAR Triangulitos Veggies x150g.</t>
  </si>
  <si>
    <t>Galletitas KOKIS Galleguitas Vainilla x200g.</t>
  </si>
  <si>
    <t>Galletitas KOKIS Galleguitas Vainilla x500g.</t>
  </si>
  <si>
    <t>Galletitas MOLINOS NATURAL 10 Semillas x231g.</t>
  </si>
  <si>
    <t>Galletitas MOLINOS NATURAL Avena y Cacao x240g.</t>
  </si>
  <si>
    <t>Galletitas MOLINOS NATURAL Avena y Granola x236g.</t>
  </si>
  <si>
    <t>Galletitas MOLINOS NATURAL Avena y Pasas x232g. (16)</t>
  </si>
  <si>
    <t>Galletitas MOLINO NATURAL Naraja y Chips x238g. (16)</t>
  </si>
  <si>
    <t>Galletitas MANÁ Chocolatadas x145g.</t>
  </si>
  <si>
    <t>Galletitas MANÁ Leche x136g.</t>
  </si>
  <si>
    <t>Galletitas MANÁ Limón x136g.</t>
  </si>
  <si>
    <t>Galletitas MANÁ Petit x140g.</t>
  </si>
  <si>
    <t>Galletitas MANÁ Rellena de Frutilla x152g.</t>
  </si>
  <si>
    <t>Galletitas MANÁ Vainilla x136g.</t>
  </si>
  <si>
    <t>Galletitas MANÁ Vainilla x131g. x3u.</t>
  </si>
  <si>
    <t>Galletitas MELITAS x159g.</t>
  </si>
  <si>
    <t>Galletita SOLITAS Mini Alfajor Fruta x300g</t>
  </si>
  <si>
    <t>Galletitas Mini TAPITAS x200g.</t>
  </si>
  <si>
    <t>Galletitas Mini TAPITAS x400g.</t>
  </si>
  <si>
    <t>Galletitas NEVARES Biscottini Manteca x360g.</t>
  </si>
  <si>
    <t>Galletitas OKEBON Brios Chocolate x204g.</t>
  </si>
  <si>
    <t>Galletitas OKEBON Brios Vainilla x196g.</t>
  </si>
  <si>
    <t>Galletita OKEBON Girotondo Vainilla x256g.</t>
  </si>
  <si>
    <t>Galletita OKEBON Girotondo Chocolate x254g.</t>
  </si>
  <si>
    <t>Galletitas OKEBON Leche 3 Cereales x165g.</t>
  </si>
  <si>
    <t>Galletitas OKEBON Leche Chocolatada x273g.</t>
  </si>
  <si>
    <t>Galletitas OKEBON Leche x165g.</t>
  </si>
  <si>
    <t>Galletitas OKEBON Leche x273g.</t>
  </si>
  <si>
    <t>Galletitas OKEBON Panal Chocolate x242g.</t>
  </si>
  <si>
    <t>Galletitas OKEBON Panal Coco x242g.</t>
  </si>
  <si>
    <t>Galletitas OKEBON Panal miel x242g.</t>
  </si>
  <si>
    <t>Galletitas OKEBON Panal Vainilla x242g.</t>
  </si>
  <si>
    <t>Galletita PASTA FROLA Membrillo Individuales x40u. x40g.</t>
  </si>
  <si>
    <t>Galletitas PARNOR Mini Pitusas Black x130g.</t>
  </si>
  <si>
    <t>Galletitas PARNOR Leche x140g.</t>
  </si>
  <si>
    <t>Galletitas PARNOR Morochitas x140g.</t>
  </si>
  <si>
    <t>Galletitas PARNOR Suavecitas x140g.</t>
  </si>
  <si>
    <t>Galletitas PARNOR Coco x170g.</t>
  </si>
  <si>
    <t>Galletitas PARNOR Coquitos x170g.</t>
  </si>
  <si>
    <t>Galletitas PARNOR Mantecadas x170g.</t>
  </si>
  <si>
    <t>Galletitas PARNOR Marmoladas x170g.</t>
  </si>
  <si>
    <t>Galletitas PARNOR Vainilla x170g.</t>
  </si>
  <si>
    <t>Galletitas PORTEÑITAS x139g.</t>
  </si>
  <si>
    <t>Galletitas ROCKLETS x118g.</t>
  </si>
  <si>
    <t>Galletitas SOFT Frutos del Bosque x300g.</t>
  </si>
  <si>
    <t>Galletitas SOFT Limón x300g.</t>
  </si>
  <si>
    <t>Galletitas SOFT Membrillo x300g.</t>
  </si>
  <si>
    <t>Galletitas SOLITAS Frutilla x500g.</t>
  </si>
  <si>
    <t>Galletitas SOLITAS Legendarias x500g</t>
  </si>
  <si>
    <t>Galletitas SOLITAS Pensamiento x500g</t>
  </si>
  <si>
    <t>Galletitas Surtidas FAUNA x150g.</t>
  </si>
  <si>
    <t>Galletitas Surtidas FAUNA x400g.</t>
  </si>
  <si>
    <t>Galletitas Surtido BAGLEY x390g.</t>
  </si>
  <si>
    <t>Galletitas TIA MARUCA Anillos De Coco x250g.</t>
  </si>
  <si>
    <t>Galletitas TIA MARUCA Anillos De Limón x400g.</t>
  </si>
  <si>
    <t>Galletitas TIA MARUCA Cookies Con Chips x160g.</t>
  </si>
  <si>
    <t>Galletitas TIA MARUCA Naranjitas x250g.</t>
  </si>
  <si>
    <t>Galletitas TIA MARUCA Polvorón De Naranja x400g.</t>
  </si>
  <si>
    <t>Galletitas TAPITAS FANTOCHE x230g.</t>
  </si>
  <si>
    <t>Galletitas TAPITAS FANTOCHE x350g.</t>
  </si>
  <si>
    <t>Galletita TODDY x126g.</t>
  </si>
  <si>
    <t>Galletitas TODDY Mini Chips x50g.</t>
  </si>
  <si>
    <t>Galletitas TRIO Angeladas x150g.</t>
  </si>
  <si>
    <t>Galletita TRIO Anillos Azucarados Coco x500g.</t>
  </si>
  <si>
    <t>Galletitas TRIO Anillos Azucarados Limón x500g.</t>
  </si>
  <si>
    <t>Galletitas TRIO Besitos Glaseados x300g.</t>
  </si>
  <si>
    <t>Galletitas TRIO Cariño x300g.</t>
  </si>
  <si>
    <t>Galletitas TRIO Chocolatina x150g.</t>
  </si>
  <si>
    <t>Galletitas TRIO Chocolatina x300g.</t>
  </si>
  <si>
    <t>Galletitas TRIO Frolitas Batata x300g.</t>
  </si>
  <si>
    <t>Galletitas TRIO Glasy x500g.</t>
  </si>
  <si>
    <t>Galletitas TRIO Krumiri Vainilla x300g.</t>
  </si>
  <si>
    <t>Galletitas TRIO Marquise Sabor Frutos Del Bosque x300g.</t>
  </si>
  <si>
    <t>Galletitas TRIO Oskitos x150g.</t>
  </si>
  <si>
    <t>Galletitas TRIO Oskitos x300g.</t>
  </si>
  <si>
    <t>Galletitas TRIO Scons Glaseada Frutilla x350g.</t>
  </si>
  <si>
    <t>Galletitas TRIO Scons Glaseadas Frutilla x500g.</t>
  </si>
  <si>
    <t>Galletitas TRIO Scons x200g.</t>
  </si>
  <si>
    <t>Galletitas TRIO Scons x320g.</t>
  </si>
  <si>
    <t>Galletitas TRIO Variette x200g.</t>
  </si>
  <si>
    <t>Galletitas TRIO Variette x500g.</t>
  </si>
  <si>
    <t>Galletitas TRIO Surtido x180g.</t>
  </si>
  <si>
    <t>Galletitas TRIO Surtido x500g.</t>
  </si>
  <si>
    <t>Galletitas TRIO Tri Chips x150g.</t>
  </si>
  <si>
    <t>Galletitas TRIO Trichips x300g.</t>
  </si>
  <si>
    <t>Galletitas MAURI Vainillas x160g.</t>
  </si>
  <si>
    <t>Galletitas MAURI Vainillas x14u. x320g.</t>
  </si>
  <si>
    <t>Galletitas MAURI Vainillas x80g.</t>
  </si>
  <si>
    <t>Galletitas Vainillas POZO x12u.</t>
  </si>
  <si>
    <t>Galletitas Vainillas POZO x36u.</t>
  </si>
  <si>
    <t>Galletitas Vainillas VALENTE x160g. x12u.</t>
  </si>
  <si>
    <t>Galletitas Vainillas VALENTE x480g. x36u.</t>
  </si>
  <si>
    <t>Galletitas VOCACIÓN Acarameladas x145g.</t>
  </si>
  <si>
    <t>Galletitas VOCACIÓN Acarameladas x3u.</t>
  </si>
  <si>
    <t>Galletitas VOCACION Clasicas x3u. x128g.</t>
  </si>
  <si>
    <t>Galletitas VOCACION Clasicas x141g.</t>
  </si>
  <si>
    <t>Merenguitos URQUIZA Mediano Blanco x100g.</t>
  </si>
  <si>
    <t>Merenguitos URQUIZA Mediano Color Surtido x100g.</t>
  </si>
  <si>
    <t>Merenguitos URQUIZA Super Mini Blanco x100g.</t>
  </si>
  <si>
    <t>Merenguitos URQUIZA Super Mini Color Surtido x100g.</t>
  </si>
  <si>
    <t>Tarteletes TRIO Frutillas x300g.</t>
  </si>
  <si>
    <t>Tartelettes TRIO Frutos del Bosque x300g.</t>
  </si>
  <si>
    <t>Tostadas CRIOLLITAS Dulces x195g.</t>
  </si>
  <si>
    <t xml:space="preserve">BIZCOCHOS </t>
  </si>
  <si>
    <t>Bizcocho 9 DE ORO Agridulce x200g.</t>
  </si>
  <si>
    <t>Bizcocho 9 DE ORO Azucarados x210g.</t>
  </si>
  <si>
    <t>Bizcochos 9 DE ORO Light x170g.</t>
  </si>
  <si>
    <t>Bizcochos 9 DE ORO Salvado x200g.</t>
  </si>
  <si>
    <t>Bizcochos 9 DE ORO Clásico x200g.</t>
  </si>
  <si>
    <t>Bizcochos de Arroz GALLO Dulces x100g.</t>
  </si>
  <si>
    <t>Bizcochos de Arroz GALLO Salados x100g.</t>
  </si>
  <si>
    <t>Bizcochos de Arroz GALLO Dulces x50g.</t>
  </si>
  <si>
    <t>Bizcochos de Arroz GALLO Salados x50g.</t>
  </si>
  <si>
    <t>Galletitas Biscuits SORIANO Bañada en Chocolate x15u. x20g.</t>
  </si>
  <si>
    <t>Bizcochos HJ Bay Biscuit x130g.</t>
  </si>
  <si>
    <t>Galletitas Biscuits SORIANO x125g.</t>
  </si>
  <si>
    <t>Bizcochos BISCOTTI DORYS x100g.</t>
  </si>
  <si>
    <t>Bizcochos BISCUITS x2u. x25g.</t>
  </si>
  <si>
    <t>Bizcocho DON SATUR Dulce x200g.</t>
  </si>
  <si>
    <t>Bizcocho DON SATUR Salado x200g.</t>
  </si>
  <si>
    <t>Bizcocho DON SATUR Negrito x200g.</t>
  </si>
  <si>
    <t>Bizcochuelo EXQUISITA 1 Minuto Sabor Chocolate x55g.</t>
  </si>
  <si>
    <t>Bizcocho de Grasa FANTOCHE x200g.</t>
  </si>
  <si>
    <t>Bizcochos HOJALMAR Snack Matero Azucarado x180g.</t>
  </si>
  <si>
    <t>Bizcochos HOJALMAR Snack Matero Salado x180g.</t>
  </si>
  <si>
    <t>Bizcochitos JORGITO con Grasa x200g.</t>
  </si>
  <si>
    <t>Bizcochitos JORGITO con Grasa x400g.</t>
  </si>
  <si>
    <t>Bizcochitos Azucarados MEDIATARDE x180g.</t>
  </si>
  <si>
    <t>Bizcochito de Grasa MEDIATARDE x180g.</t>
  </si>
  <si>
    <t>Bizcocho TIA MARUCA Azucarados x250g.</t>
  </si>
  <si>
    <t>Bizcochos TIA MARUCA Grasa x250g.</t>
  </si>
  <si>
    <t xml:space="preserve">GALLETITAS SALADAS Y CRACKERS </t>
  </si>
  <si>
    <t>Aritos de Arroz DOS HERMANOS Crema y Cebolla x60g.</t>
  </si>
  <si>
    <t>Barrita De Arroz SIN CULPA x12u. x14g. Frutos Rojos</t>
  </si>
  <si>
    <t>Barrita De Arroz SIN CULPA x12u. x14g. Limón</t>
  </si>
  <si>
    <t>Barrita De Arroz SIN CULPA x12u. x14g. Manzana</t>
  </si>
  <si>
    <t>Barrita De Arroz SIN CULPA x12u. x14g. Mix De Frutas</t>
  </si>
  <si>
    <t>Barrita de Arroz TASTY CRUNCH x12g. Chocolate</t>
  </si>
  <si>
    <t>Barrita de Arroz TASTY CRUNCH x12g. Frutilla</t>
  </si>
  <si>
    <t>Dips De Arroz MOLINOS ALA x100g.</t>
  </si>
  <si>
    <t>Galletas con Arroz ARROCITAS 3 Cereales x101g.</t>
  </si>
  <si>
    <t>Galletas con Arroz ARROCITAS con Sal x101g.</t>
  </si>
  <si>
    <t>Galletas con Arroz ARROCITAS Dulces x101g.</t>
  </si>
  <si>
    <t>Galletas con Arroz ARROCITAS Miel x101g.</t>
  </si>
  <si>
    <t>Galletas con Arroz ARROCITAS sin Sal x101g.</t>
  </si>
  <si>
    <t>Galletas con Arroz ARROCITAS Trigo x101g.</t>
  </si>
  <si>
    <t>Galletita de Arroz Chocodisco x16u.</t>
  </si>
  <si>
    <t>Galletas de Arroz DOS HERMANOS Dulces x100g.</t>
  </si>
  <si>
    <t>Galletas de Arroz DOS HERMANOS Sin Sal x100g.</t>
  </si>
  <si>
    <t>Galletas de Arroz DOS HERMANOS Saladas x100g.</t>
  </si>
  <si>
    <t>Galletas con Arroz MACROBIOTICA con Sal x102g.</t>
  </si>
  <si>
    <t>Galletas con Arroz MACROBIOTICA Dulces x102g.</t>
  </si>
  <si>
    <t>Galletas de Arroz MACROBIOTICA Multicereal x102g.</t>
  </si>
  <si>
    <t>Galletas con Arroz MACROBIOTICA sin Sal x102g.</t>
  </si>
  <si>
    <t>Galleta Arroz RIERA Integral x98g.</t>
  </si>
  <si>
    <t>Galletitas BAGLEY Crackers Arroz x181g.</t>
  </si>
  <si>
    <t>Galletitas BAGLEY Crackers Avena x155g.</t>
  </si>
  <si>
    <t>Galletitas BAGLEY Crackers Maiz x189g.</t>
  </si>
  <si>
    <t>Galletitas BAGLEY Salvado Sin Sal x169g.</t>
  </si>
  <si>
    <t>Galletitas BAGLEY Salvado x169g.</t>
  </si>
  <si>
    <t>Galletitas BAGLEY Salvado x169g. x3u.</t>
  </si>
  <si>
    <t>Galletitas CRIOLLITAS sin Sal x169g.</t>
  </si>
  <si>
    <t>Galletitas CRIOLLITAS triPack x300g.</t>
  </si>
  <si>
    <t>Galletitas CRIOLLITAS x100g.</t>
  </si>
  <si>
    <t>Galletitas CRIOLLITAS x169g.</t>
  </si>
  <si>
    <t>Galletita GALLO Lemon Bar xu.</t>
  </si>
  <si>
    <t>Galletitas GRANIX Cereal x185g.</t>
  </si>
  <si>
    <t>Galletitas GRANIX Granagua Sandwich x200g.</t>
  </si>
  <si>
    <t>Galletitas GRANIX Lino x185g.</t>
  </si>
  <si>
    <t>Galletitas GRANIX Salvado x135g.</t>
  </si>
  <si>
    <t>Galletitas GRANIX Salvado x270g.</t>
  </si>
  <si>
    <t>Galletitas GRANIX Sésamo sin Sal x175g.</t>
  </si>
  <si>
    <t>Galletitas GRANIX Sésamo x185g.</t>
  </si>
  <si>
    <t>Galletitas GRANIX sin Sal x140g.</t>
  </si>
  <si>
    <t>Galletitas GRANIX sin Sal x185g.</t>
  </si>
  <si>
    <t>Galletitas HOGAREÑAS Mix Cereales x185g</t>
  </si>
  <si>
    <t>Galletitas HOGAREÑAS 7 Semillas x189g</t>
  </si>
  <si>
    <t>Galletitas HOGAREÑAS Salvado x200g</t>
  </si>
  <si>
    <t>Galletitas HOGAREÑAS Mix Cereales x3u. x185g</t>
  </si>
  <si>
    <t>Galletitas HOGAREÑAS 7 Semillas x3u. x189g</t>
  </si>
  <si>
    <t>Galletitas HOGAREÑAS Salvado x3u. x200g</t>
  </si>
  <si>
    <t>Galletitas KESiTAS x125g.</t>
  </si>
  <si>
    <t>Galletitas KESiTAS x75g.</t>
  </si>
  <si>
    <t>Galletitas LEIVA Familiar sin Sal x300g. x3u.</t>
  </si>
  <si>
    <t>Galletitas LEIVA Marineras Light sin Sal x420g. x4u.</t>
  </si>
  <si>
    <t>Galletitas LEIVA Marinera sin Sal x300g. x3u.</t>
  </si>
  <si>
    <t>Galletitas LEIVA Marinera sin Sal x420g. x4u.</t>
  </si>
  <si>
    <t>Galletitas LEIVA Marinera Salvado x330g.</t>
  </si>
  <si>
    <t>Galletitas LEIVA Salvado x420g.</t>
  </si>
  <si>
    <t>Galletitas LEIVA Sándwich Familiar x300g.</t>
  </si>
  <si>
    <t>Galletitas LEIVA Sandwich Light x330g. x3u.</t>
  </si>
  <si>
    <t>Galletitas LEIVA Sandwich x330g. x3u.</t>
  </si>
  <si>
    <t>Galletitas MEDIATARDE Sandwich x321g.</t>
  </si>
  <si>
    <t>Galletitas MEDA TARDE Sandwich x5 x107g.</t>
  </si>
  <si>
    <t>Galletitas MEDIA TARDE x105g.</t>
  </si>
  <si>
    <t>Galletitas Mini ARROCITAS Queso Romano x42g.</t>
  </si>
  <si>
    <t>Galletitas Mini ARROCITAS Caramelo x53g.</t>
  </si>
  <si>
    <t>Galletitas Mini ARROCITAS Chocolate x53g.</t>
  </si>
  <si>
    <t>Galletitas Mini ARROCITAS Finas Hierbas x53g.</t>
  </si>
  <si>
    <t>Galletitas PASEO Crackers x300g.</t>
  </si>
  <si>
    <t>Galletitas PASEO Crackers 5 Semillas x300g.</t>
  </si>
  <si>
    <t>Galletitas PASEO Crackers MIX Cereales x300g.</t>
  </si>
  <si>
    <t>Galletitas PASEO Crackers Sésamo x300g.</t>
  </si>
  <si>
    <t>Galletitas PASEO Crackers sin Sal x300g.</t>
  </si>
  <si>
    <t>Galletitas PASEO Salvado x300g.</t>
  </si>
  <si>
    <t>Galletitas REX x125g.</t>
  </si>
  <si>
    <t>Galletitas REX Sobre x75g.</t>
  </si>
  <si>
    <t>Galletitas REX Tubo x75g.</t>
  </si>
  <si>
    <t>Galletitas SALADIX Calabresa x100g.</t>
  </si>
  <si>
    <t>Galletitas SALADIX Jamón x100g.</t>
  </si>
  <si>
    <t>Galletitas SALADIX Parmesano x100g.</t>
  </si>
  <si>
    <t>Galletitas SALADIX Pizza x100g.</t>
  </si>
  <si>
    <t>Galletitas SALADIX Dúo Queso-Jamón x25g.</t>
  </si>
  <si>
    <t>Galletitas SALADIX Calabresa x25g.</t>
  </si>
  <si>
    <t>Galletitas SALADIX Jamón x30g.</t>
  </si>
  <si>
    <t>Galletitas SALADIX Pizza x25g.</t>
  </si>
  <si>
    <t>Galletitas SALADIX Dúo Queso-Jamón x80g.</t>
  </si>
  <si>
    <t>Galletitas SERRANITAS x315g.</t>
  </si>
  <si>
    <t>Galletitas TIA MARUCA Fajitas Sabor Clasicas x120g.</t>
  </si>
  <si>
    <t>Galletitas TIA MARUCA Fajitas Sabor Light x120g.</t>
  </si>
  <si>
    <t>Galletitas TIA MARUCA Fajitas Sabor Pizza x120g.</t>
  </si>
  <si>
    <t>Galletitas TIA MARUCA Fajitas Sabor Queso x120g.</t>
  </si>
  <si>
    <t>Galletitas TIA MARUCA Light x180g.</t>
  </si>
  <si>
    <t>Galletitas TIA MARUCA Marineras Clásicas x350g.</t>
  </si>
  <si>
    <t>Galletitas TIA MARUCA Marineras Sin Sal x350g.</t>
  </si>
  <si>
    <t>Galletitas TIA MARUCA Sandwich Salvado x210g.</t>
  </si>
  <si>
    <t>Galletitas TIA MARUCA Sandwich Salvado x630g.</t>
  </si>
  <si>
    <t>Galletitas TIA MARUCA Sandwich x318g.</t>
  </si>
  <si>
    <t>Galletitas DON SATUR Talitas con Semillas x140g.</t>
  </si>
  <si>
    <t>Galletitas DON SATUR Talitas x140g.</t>
  </si>
  <si>
    <t>Galletitas Veganas ANIMAL KIND Chocolate x170g.</t>
  </si>
  <si>
    <t>Galletitas Veganas ANIMAL KIND Vainilla x170g.</t>
  </si>
  <si>
    <t>Grisines RIERA Finas Hierbas x160g.</t>
  </si>
  <si>
    <t>Grisines RIERA Integrales con Semillas x160g.</t>
  </si>
  <si>
    <t>Grisines RIERA Light x160g.</t>
  </si>
  <si>
    <t>Grisines RIERA Sésamo x160g.</t>
  </si>
  <si>
    <t>Grisines RIERA sin Sal x160g.</t>
  </si>
  <si>
    <t>Grisines RIERA Tradicional x160g.</t>
  </si>
  <si>
    <t>Tostadas RIERA 100% Integrales x200g.</t>
  </si>
  <si>
    <t>Tostadas RIERA Bio Organico x200g.</t>
  </si>
  <si>
    <t>Tostadas RIERA Veggie x200g.</t>
  </si>
  <si>
    <t>Galletitas de Arroz DOS HERMANOS Asado x80g.</t>
  </si>
  <si>
    <t>Galletitas de Arroz DOS HERMANOS Jamon Serrano x80g.</t>
  </si>
  <si>
    <t>Galletitas de Arroz DOS HERMANOS Queso x60g.</t>
  </si>
  <si>
    <t>Galletitas de Arroz DOS HERMANOS Salame x80g.</t>
  </si>
  <si>
    <t>Galletitas SOLITAS Sin Sal x500g</t>
  </si>
  <si>
    <t>Talitas URQUIZA Ajo y Oliva x100g.</t>
  </si>
  <si>
    <t>Talitas URQUIZA Cebolla x100g.</t>
  </si>
  <si>
    <t>Talitas URQUIZA Cheddar x100g.</t>
  </si>
  <si>
    <t>Talitas URQUIZA Clásicas x110g.</t>
  </si>
  <si>
    <t>Talitas URQUIZA Jamon x100g.</t>
  </si>
  <si>
    <t>Talitas URQUIZA Pizza x100g.</t>
  </si>
  <si>
    <t>Talitas URQUIZA Queso x100g.</t>
  </si>
  <si>
    <t>Tostadas de Arroz LEIVA Clásicas x150g.</t>
  </si>
  <si>
    <t>Tostadas de Arroz LEIVA Dulces x150g.</t>
  </si>
  <si>
    <t>Tostadas de Arroz LEIVA sin Sal x150g.</t>
  </si>
  <si>
    <t>Tostadas de Arroz RIERA Clásicas Dulce x150g.</t>
  </si>
  <si>
    <t>Tostadas de Arroz RIERA Clásicas sin Gluten x150g.</t>
  </si>
  <si>
    <t>Tostadas de Arroz RIERA Clásicas sin Sal x150g.</t>
  </si>
  <si>
    <t>Tostadas de Arroz DOS HERMANOS Sin Sal x120g.</t>
  </si>
  <si>
    <t>Tostaditas de Arroz MOLINOS ALA x120g Clásicas</t>
  </si>
  <si>
    <t>Tostadas MEDIA TARDE Clásicas x187g.</t>
  </si>
  <si>
    <t>Tostadas MEDIA TARDE Salvado x187g.</t>
  </si>
  <si>
    <t>Tostaditas MOLINOS ALA Sin Sal x120g.</t>
  </si>
  <si>
    <t>Tostaditas MOLINOS ALA Veggie Arroz + Arveja x100g.</t>
  </si>
  <si>
    <t>Tostadas de Arroz MOLINOS ALA Veggie Arroz Garbanzo y Maíz x150g.</t>
  </si>
  <si>
    <t>Tostaditas MOLINOS ALA Veggie Arroz + Garbanzo x100g.</t>
  </si>
  <si>
    <t>Tostadas ARROCITAS Con Sal x120g.</t>
  </si>
  <si>
    <t>Tostadas ARROCITAS Sabor Chocolate Y Arándanos x70g.</t>
  </si>
  <si>
    <t>Tostadas ARROCITAS Sabor Chocolate Y Naranja x70g.</t>
  </si>
  <si>
    <t>Tostadas CRIOLLITAS Clásicas x195g.</t>
  </si>
  <si>
    <t>Tostadas De Arroz DOS HERMANOS Con Sal x120g.</t>
  </si>
  <si>
    <t>Tostadas De Arroz DOS HERMANOS Dulce x120g.</t>
  </si>
  <si>
    <t>Tostadas de Arroz MOLINOS ALA Clásicas x150g.</t>
  </si>
  <si>
    <t>Tostadas de Arroz MOLINOS ALA Integrales Sin Sal x150g.</t>
  </si>
  <si>
    <t>Tostadas de Arroz MOLINOS ALA Integrales x150g.</t>
  </si>
  <si>
    <t>Tostadas MOLINOS DEL BOSQUE con Sal x150g.</t>
  </si>
  <si>
    <t>Tostadas MOLINOS DEL BOSQUE Dulces x150g.</t>
  </si>
  <si>
    <t>Tostadas MOLINOS DEL BOSQUE Integral Libre De Gluten x150g.</t>
  </si>
  <si>
    <t>Tostadas MOLINOS DEL BOSQUE sin Sal x150g.</t>
  </si>
  <si>
    <t>Tostadas MOLINOS DEL BOSQUE Vainilla Light x150g</t>
  </si>
  <si>
    <t>Tostadas RIERA Línea Clásica Dulces x200g.</t>
  </si>
  <si>
    <t>Tostadas RIERA Línea Clásica Integrales x200g.</t>
  </si>
  <si>
    <t>Tostadas RIERA Línea Clásica Mesa x200g.</t>
  </si>
  <si>
    <t>Tostadas RIERA Línea Clásica sin Sal x200g.</t>
  </si>
  <si>
    <t>Tostadas RIERA Línea Equilibrio Light Dulces x200g.</t>
  </si>
  <si>
    <t>Tostadas RIERA Línea Equilibrio Light x200g.</t>
  </si>
  <si>
    <t>Tostadas RIERA Línea Equilibrio Multi Semilla x200g.</t>
  </si>
  <si>
    <t>Tostadas RIERA Línea Equilibrio Vainilla y Chocolate x200g.</t>
  </si>
  <si>
    <t>Tostaditas TWISTOS Queso x95g.</t>
  </si>
  <si>
    <t>Tostaditas TWISTOS Jamón x45g.</t>
  </si>
  <si>
    <t>Tostaditas TWISTOS Queso x40g.</t>
  </si>
  <si>
    <t xml:space="preserve">PROMOCIONES </t>
  </si>
  <si>
    <t>**PALLETS</t>
  </si>
  <si>
    <t>COMBO ARBANIT 2</t>
  </si>
  <si>
    <t>COMBO ARBANIT 3</t>
  </si>
  <si>
    <t>COMBO DE LA NONNA</t>
  </si>
  <si>
    <t>COMBO DEKKIN + CORBATERO</t>
  </si>
  <si>
    <t>COMBO DEKKIN + EXHIBIDOR GRANDE</t>
  </si>
  <si>
    <t>COMBO DEKKIN EXHIBIDOR CHICO</t>
  </si>
  <si>
    <t>COMBO DEKKIN EXHIBIDOR MEDIANO</t>
  </si>
  <si>
    <t>COMBO DON SATUR</t>
  </si>
  <si>
    <t>COMBO RELLENAS DE LA NONNA</t>
  </si>
  <si>
    <t>Kit Matero ORIGEN Blanco Mate + Bombilla + Yerba</t>
  </si>
  <si>
    <t>Kit Matero ORIGEN Negro Mate + Bombilla + Yerba</t>
  </si>
  <si>
    <t>Pack FERRERO Introducción + Linterna Con Herramientas</t>
  </si>
  <si>
    <t xml:space="preserve">ALFAJORES </t>
  </si>
  <si>
    <t>Alfajor Mini CASTILLO DULCE Chocolate x150g.</t>
  </si>
  <si>
    <t>Alfajor CASTILLO DULCE Maicena x150g.</t>
  </si>
  <si>
    <t>Alfajor Mini CASTILLO DULCE Maicena x150g. x4u.</t>
  </si>
  <si>
    <t>Alfajor ALFA PAMPA Mouse de Avellanas x39g.</t>
  </si>
  <si>
    <t>Alfajor ALFA PAMPA Mouse de Frutilla x39g.</t>
  </si>
  <si>
    <t>Alfajor AGUILA Mini Torta Brownie 74g. xu.</t>
  </si>
  <si>
    <t>Alfajor ÁGUILA Mini Torta Chocolate Blanco x72g.</t>
  </si>
  <si>
    <t>Alfajor AGUILA Mini Torta Coco 73g. xu.</t>
  </si>
  <si>
    <t>Alfajor AGUILA Mini Torta Clásico 72g. xu.</t>
  </si>
  <si>
    <t>Alfajor de Arroz Marroc Mousse xu.</t>
  </si>
  <si>
    <t>Alfajor VAUQUITA de Arroz Mousse y Dulce de Leche con Baño Blanco xu.</t>
  </si>
  <si>
    <t>Alfajor VAUQUITA Arroz Mousse Y Vainilla con Baño de Frutilla xu.</t>
  </si>
  <si>
    <t>Alfajor de Arroz TASTY CRUNCH x25g. Dulce de Leche</t>
  </si>
  <si>
    <t>Alfajor VAUQUITA de Arroz Mousse Dulce de Leche 28g. xu.</t>
  </si>
  <si>
    <t>Alfajor VAUQUITA de Arroz Mousse Dulce de Limón 28g. xu.</t>
  </si>
  <si>
    <t>Alfajor B&amp;N 3.0 Blanco 73,5g.</t>
  </si>
  <si>
    <t>Alfajor B&amp;N 3.0 Negro 73.5g.</t>
  </si>
  <si>
    <t>Alfajor B&amp;N Blanco 50g. xu.</t>
  </si>
  <si>
    <t>Alfajor B&amp;N 3.0 Negro x50g.</t>
  </si>
  <si>
    <t>Alfajor BON O BON 3 Negro 60g. xu.</t>
  </si>
  <si>
    <t>Alfajor BON O BON Blanco 40g. xu.</t>
  </si>
  <si>
    <t>Alfajor BON O BON Negro 40g. xu.</t>
  </si>
  <si>
    <t>Alfajor CAPRICHO Simple Blanco 12u.x35g.</t>
  </si>
  <si>
    <t>Alfajor CAPRICHO Simple Negro x12u.x35g.</t>
  </si>
  <si>
    <t>Alfajor CAPRICHO Simple Blanco x35g.</t>
  </si>
  <si>
    <t>Alfajor CAPRICHO Simple Negro x35g.</t>
  </si>
  <si>
    <t>Alfajor CAPRICHO Simple Merengue x50g. xu.</t>
  </si>
  <si>
    <t>Alfajor CAPRICHO Simple Mousse 12u.x50g.</t>
  </si>
  <si>
    <t>Alfajor CAPRICHO Simple Blanco 12u.x70g.</t>
  </si>
  <si>
    <t>Alfajor CAPRICHO Simple Blanco x70g. xu.</t>
  </si>
  <si>
    <t>Alfajor CAPRICHO Simple Maicenax70g.</t>
  </si>
  <si>
    <t>Alfajor CAPRICHO Simple Negro x12u.x70g.</t>
  </si>
  <si>
    <t>Alfajor CAPRICHO Simple Negro x70g. xu.</t>
  </si>
  <si>
    <t>Alfajor CASTILLO DULCE Maicena x75g.</t>
  </si>
  <si>
    <t>Alfajor CHOCO ARROZ Blanco x22g.</t>
  </si>
  <si>
    <t>Alfajor CHOCO ARROZ Clásico 22g.</t>
  </si>
  <si>
    <t>Alfajor CHOCO ARROZ Limón 22g. xu.</t>
  </si>
  <si>
    <t>Alfajor CHOCO ARROZ Marroc 22g. xu.</t>
  </si>
  <si>
    <t>Alfajor COFLER BLOCK x40g.</t>
  </si>
  <si>
    <t>Alfajor COFLER BLOCK x6u.</t>
  </si>
  <si>
    <t>Alfajor COFLER BLOCK 60g. xu.</t>
  </si>
  <si>
    <t>Alfajor EL PRINCIPE Chocolate Premium x80g.</t>
  </si>
  <si>
    <t>Alfajor FANTOCHE Day 50g. xu.</t>
  </si>
  <si>
    <t>Alfajor FANTOCHE Night 50g. xu.</t>
  </si>
  <si>
    <t>Alfajor FANTOCHE Triple Blanco 85g. x12u.</t>
  </si>
  <si>
    <t>Alfajor FANTOCHE Triple Day x85g. xu.</t>
  </si>
  <si>
    <t>Alfajor FANTOCHE Triple Negro 85g. x12u.</t>
  </si>
  <si>
    <t>Alfajor FANTOCHE Triple Night 85g. xu.</t>
  </si>
  <si>
    <t>Alfajor FULL MANI x45g.</t>
  </si>
  <si>
    <t>Alfajor CHOCO CRUNCH Clasico x20g</t>
  </si>
  <si>
    <t>Alfajor GENIO Triple Blanco 60g. xu.</t>
  </si>
  <si>
    <t>Alfajor GENIO Triple Negro 60g. xu.</t>
  </si>
  <si>
    <t>Alfajor GRANDIOSO Blanco</t>
  </si>
  <si>
    <t>Alfajor GRANDIOSO Negro</t>
  </si>
  <si>
    <t>Alfajor GUAYMALLEN Triple Blanco xu.</t>
  </si>
  <si>
    <t>Alfajor GUAYMALLEN Triple Fruta xu.</t>
  </si>
  <si>
    <t>Alfajor GUAYMALLEN Triple Negro xu.</t>
  </si>
  <si>
    <t>Alfajor GUAYMALLEN Blanco 38g. x40u.</t>
  </si>
  <si>
    <t>Alfajor GUAYMALLEN Fruta x40u.</t>
  </si>
  <si>
    <t>Alfajor GUAYMALLEN Negro x40u.</t>
  </si>
  <si>
    <t>Alfajor GUAYMALLEN Oro xu.</t>
  </si>
  <si>
    <t>Alfajor JORGELIN Blanco x85g. xu.</t>
  </si>
  <si>
    <t>Alfajor JORGELIN Glaseado 85g. xu.</t>
  </si>
  <si>
    <t>Alfajor JORGELIN Negro x85g. xu.</t>
  </si>
  <si>
    <t>Alfajor JORGITO Blanco x50g. xu.</t>
  </si>
  <si>
    <t>Alfajor JORGITO Chocolate Blanco x55g.</t>
  </si>
  <si>
    <t>Alfajor JORGITO Fruta x50g. xu.</t>
  </si>
  <si>
    <t>Alfajor JORGITO Negro 55g. xu.</t>
  </si>
  <si>
    <t>Alfajor LA ALDEA 70% Cacao x65g.</t>
  </si>
  <si>
    <t>Alfajor LA ALDEA Negro x65g.</t>
  </si>
  <si>
    <t>Alfajor ALFACHIPI Rockets x150g.</t>
  </si>
  <si>
    <t>Alfajor CASTILLO DULCE Mini BLACK x150g.</t>
  </si>
  <si>
    <t>Alfajor CASTILLO DULCE Mini Marmolado x150g.</t>
  </si>
  <si>
    <t>Alfajor Mini TOFI Negro x6u. x24g.</t>
  </si>
  <si>
    <t>Alfajor MOGY Blanco x40u. x38g.</t>
  </si>
  <si>
    <t>Alfajor MOGY Negro x38g.</t>
  </si>
  <si>
    <t>Alfajor NEVARES Blanco 45g. x36u.</t>
  </si>
  <si>
    <t>Alfajor NEVARES Negro 45g. x36u.</t>
  </si>
  <si>
    <t>Alfajor SER x47g. xu.</t>
  </si>
  <si>
    <t>Alfajor SIN CULPA Blanco x60g.</t>
  </si>
  <si>
    <t>Alfajor SIN CULPA Negro x60g.</t>
  </si>
  <si>
    <t>Alfajor SMACK Relleno Chocolate y Mani x50g.</t>
  </si>
  <si>
    <t>Alfajor SMACK Relleno Chocolate y Mousse x50g.</t>
  </si>
  <si>
    <t>Alfajor SMACK Relleno Dulce de Leche x60g.</t>
  </si>
  <si>
    <t>Alfajor TODDY Relleno de Dulce de Leche con Cobertura de Chocolate x60g.</t>
  </si>
  <si>
    <t>Alfajor TOFI Blanco x44g.</t>
  </si>
  <si>
    <t>Alfajor TOFI Negro x46g.</t>
  </si>
  <si>
    <t>Alfajor TOFI Triple Blanco 73g. xu.</t>
  </si>
  <si>
    <t>Alfajor TOFI Triple Negro 73g. xu.</t>
  </si>
  <si>
    <t>Alfajor TRASSENS Blanco x65g. xu.</t>
  </si>
  <si>
    <t>Alfajor TRASSENS Negro x65g. xu.</t>
  </si>
  <si>
    <t>Alfajor VAUQUITA Clásico 75g. xu.</t>
  </si>
  <si>
    <t>Alfajor Vegano ANIMAL KIND x50g. Avellanas con Chocolate</t>
  </si>
  <si>
    <t>Alfajor Vegano ANIMAL KIND x42g. Avellana</t>
  </si>
  <si>
    <t>Alfajor Vegano ANIMAL KIND x50g. Limon con Chocolate</t>
  </si>
  <si>
    <t>Alfajor Vegano ANIMAL KIND x42g. Limón</t>
  </si>
  <si>
    <t>Alfajor Vegano ANIMAL KIND x50g. Maní con Chocolate</t>
  </si>
  <si>
    <t>Alfajor Vegano ANIMAL KIND x42g. Maní</t>
  </si>
  <si>
    <t>Alfajor VIMAR Simple Blanco x40u.</t>
  </si>
  <si>
    <t>Alfajor VIMAR Simple Blanco x60u.</t>
  </si>
  <si>
    <t>Alfajor VIMAR Simple Surtido x60u.</t>
  </si>
  <si>
    <t>Alfajor VIMAR Simple Negro x40u.</t>
  </si>
  <si>
    <t>Alfajor VIMAR Triple Blanco x60g.</t>
  </si>
  <si>
    <t>Alfajor VIMAR Triple Negro x60g.</t>
  </si>
  <si>
    <t>Alfajor ALFA WEY Chocolate Blanco x43g.</t>
  </si>
  <si>
    <t>Alfajor ALFA WEY Chocolate Negro x43g.</t>
  </si>
  <si>
    <t>Alfajorcito Mini BON O BONx6un.Negro(24)</t>
  </si>
  <si>
    <t>Alfajorcito Mini FANTOCHE Rose x25g.</t>
  </si>
  <si>
    <t>Alfajorcito FANTOCHE Mini Blanco 150g.</t>
  </si>
  <si>
    <t>Alfajorcito FANTOCHE Mini Negro 150g.</t>
  </si>
  <si>
    <t>Alfajorcito JORGITO Chocolate Blanco x160g.</t>
  </si>
  <si>
    <t>Alfajorcito JORGITO Azucarado Blanco x155g.</t>
  </si>
  <si>
    <t>Alfajorcito JORGITO Fruta x150g.</t>
  </si>
  <si>
    <t>Alfajorcito JORGITO Mousse x128g.</t>
  </si>
  <si>
    <t>Alfajorcito JORGITO Negro 155g.</t>
  </si>
  <si>
    <t>CHOCO FAN Mini Torta Blanco x68g.</t>
  </si>
  <si>
    <t>CHOCO FAN Mini Torta Brownie x68g.</t>
  </si>
  <si>
    <t>CHOCO FAN Mini Torta Chocolate x68g.</t>
  </si>
  <si>
    <t xml:space="preserve">GASEOSAS </t>
  </si>
  <si>
    <t>Agua KIN Sin Gas x500cc. x12u.</t>
  </si>
  <si>
    <t>COCA COLA Light Botella x2.25l. x4u.</t>
  </si>
  <si>
    <t>COCA COLA Botella x1.75l. x8u. Sin Azúcar</t>
  </si>
  <si>
    <t>COCA COLA Botella Sin Azúcar x237ml. x8u.</t>
  </si>
  <si>
    <t>COCA COLA Sin Azucares Botella x2.25l. x4u.</t>
  </si>
  <si>
    <t>COCA COLA Botella x237ml. x8u.</t>
  </si>
  <si>
    <t>COCA COLA Botella x1.75l. x8u.</t>
  </si>
  <si>
    <t>COCA COLA Botella x2.25l. x4u.</t>
  </si>
  <si>
    <t>COCA COLA Botella x500ml. x6u.</t>
  </si>
  <si>
    <t>COCA COLA 'Creations' Lata x473ml. x6u.</t>
  </si>
  <si>
    <t>COCA COLA Lata x473ml. x6u.</t>
  </si>
  <si>
    <t>COCA COLA Zero LATA x473cc.x6u.</t>
  </si>
  <si>
    <t>COCA COLA Lata x354ml. x6u.</t>
  </si>
  <si>
    <t>COCA COLA Light Botella x1.75l. x4u.</t>
  </si>
  <si>
    <t>COCA COLA Light Botella x500ml. x6u.</t>
  </si>
  <si>
    <t>COCA COLA S/AZUCAR botellax500cc.x6u.</t>
  </si>
  <si>
    <t>COCA COLA Zero Lata x354ml. x6u.</t>
  </si>
  <si>
    <t>CUNNINGTON x500cc. x9u.</t>
  </si>
  <si>
    <t>FANTA Botella Sin Azúcares x1.75l. x8u.</t>
  </si>
  <si>
    <t>FANTA Botella x237ml. x8u.</t>
  </si>
  <si>
    <t>FANTA Botella x2.25L. x4u.</t>
  </si>
  <si>
    <t>FANTA Botella x500ml. x6u.</t>
  </si>
  <si>
    <t>FANTA Lata Sin Azúcar x354ml. x6u.</t>
  </si>
  <si>
    <t>FANTA Lata x354ml. x6u.</t>
  </si>
  <si>
    <t>FANTA Misterio Botella x500ml. x6u.</t>
  </si>
  <si>
    <t>FANTA Naranja Botella x1.75l. x8u.</t>
  </si>
  <si>
    <t>FANTA Zero Botella x500ml. x6u.</t>
  </si>
  <si>
    <t>Gaseosa MANAOS Cola x2.25L x6u.</t>
  </si>
  <si>
    <t>Gaseosa MANAOS Cola x600cc. x12u.</t>
  </si>
  <si>
    <t>Gaseosa MANAOS Lima Limon x2.25L x6u.</t>
  </si>
  <si>
    <t>Gaseosa MANAOS Lima Limon x600cc. x12u.</t>
  </si>
  <si>
    <t>Gaseosa MANAOS Naranja x2.25L x6u.</t>
  </si>
  <si>
    <t>Gaseosa MANAOS Naranja x600cc. x12u.</t>
  </si>
  <si>
    <t>Gaseosa MANAOS Pomelo Amarillo x2.25L x6u.</t>
  </si>
  <si>
    <t>Gaseosa MANAOS Pomelo Rosa x2.25L x6u.</t>
  </si>
  <si>
    <t>Gaseosa MANAOS Pomelo x2.25L x6u.</t>
  </si>
  <si>
    <t>Gaseosa MANAOS Pomelo Blanco x600cc. x12u.</t>
  </si>
  <si>
    <t>MIRINDA x500cc. x6u.</t>
  </si>
  <si>
    <t>Bebida Energizante MONSTER Mango Loco x473ml. x6u.</t>
  </si>
  <si>
    <t>Bebida Energizante MONSTER Rossi x473cc. x6u.</t>
  </si>
  <si>
    <t>Bebida Energizante MONSTER Ultra Paradise x473ml. x6u.</t>
  </si>
  <si>
    <t>Bebida Energizante MONSTER Ultra Sunrise x473cc x6u.</t>
  </si>
  <si>
    <t>Bebida Energizante MONSTER Ultra Watermelon x473ml. x6u.</t>
  </si>
  <si>
    <t>Bebida Energizante MONSTER Ultra x473cc. x6u.</t>
  </si>
  <si>
    <t>Bebida Energizante MONSTER Reserve Anana x473ml. x6u.</t>
  </si>
  <si>
    <t>Bebida Energizante MONSTER x473ml. x6u.</t>
  </si>
  <si>
    <t>PASO DE LOS TOROS Pomelo x500ml. x6u.</t>
  </si>
  <si>
    <t>PEPSI Botella Black Light x500ml. x6u.</t>
  </si>
  <si>
    <t>PEPSI Botella x500ml. x6u.</t>
  </si>
  <si>
    <t>POWERADE Manzana x500cc. x6u.</t>
  </si>
  <si>
    <t>POWERADE Frutas Tropicales x500cc. x6u.</t>
  </si>
  <si>
    <t>POWERADE Mountain Blast x500cc. x6u.</t>
  </si>
  <si>
    <t>POWERADE Tropical Mango x500cc. x6u.</t>
  </si>
  <si>
    <t>POWERADE Uva x500cc. x6u.</t>
  </si>
  <si>
    <t>PRONTO! Bitt Pack x6u. x473cc.</t>
  </si>
  <si>
    <t>PRONTO! Shake Pack x6u. x473cc.</t>
  </si>
  <si>
    <t>SCHWEPPES Pomelo Sin Azúcares Lata x310ml. x8u.</t>
  </si>
  <si>
    <t>Gaseosa SCHWEPPES Pomelo Sin Azúcar x1,5L. x8u.</t>
  </si>
  <si>
    <t>SEVEN - UP Botella x500ml. x6u.</t>
  </si>
  <si>
    <t>SPEED Bebida Energizante x12u. x473cc.</t>
  </si>
  <si>
    <t>SPRITE Botella x237ml. x8u.</t>
  </si>
  <si>
    <t>SPRITE Botella x1.75l. x8u.</t>
  </si>
  <si>
    <t>SPRITE Botella x2.25l. x4u.</t>
  </si>
  <si>
    <t>SPRITE botellax500cc.x6u.</t>
  </si>
  <si>
    <t>SPRITE Lata x354ml. x6u.</t>
  </si>
  <si>
    <t>SPRITE sin Azucar Botella x1.75l. x8u.</t>
  </si>
  <si>
    <t>SPRITE Sin Azucar Botella x2.25l. x4u.</t>
  </si>
  <si>
    <t>SPRITE Zero Lata x354ml. x6u.</t>
  </si>
  <si>
    <t>SPRITE Sin Azúcares 500cc x6u.</t>
  </si>
  <si>
    <t xml:space="preserve">LECHES Y CHOCOLATADAS </t>
  </si>
  <si>
    <t>Leche LA SERENISIMA sin Azucar 0% Grasas Sabor Vainilla x1L</t>
  </si>
  <si>
    <t>Bebible SILK A Base De Almendras Sabor Natural Sin Azúcar x1 Litro</t>
  </si>
  <si>
    <t>Bebible SILK A Base De Almendras Sabor Natural x1 Litro</t>
  </si>
  <si>
    <t>Bebible SILK A Base De Almendras Sabor Vainilla Sin Azúcar x1 Litro</t>
  </si>
  <si>
    <t>Bebible SILK A Base De Almendras Sabor Chocolate x1 Litro</t>
  </si>
  <si>
    <t>Bebible SILK Liquido A Base De Coco Sin Azucar x1L.</t>
  </si>
  <si>
    <t>Bebible SILK Liquido A Base De Coco x1L.</t>
  </si>
  <si>
    <t>Botella YOGURISIMO Sabor Frutilla Con Vitaminas x190g.</t>
  </si>
  <si>
    <t>Botella YOGURISIMO Sabor Vainilla Con Vitaminas x190g.</t>
  </si>
  <si>
    <t>Chocolata LA SERENISIMA Brik x200cc.</t>
  </si>
  <si>
    <t>Flan DANETTE Sabor Vainilla x95g.</t>
  </si>
  <si>
    <t>Leche Chocolatada CINDOR x1000cc.</t>
  </si>
  <si>
    <t>Leche Chocolatada CINDOR x200cc.</t>
  </si>
  <si>
    <t>Leche Chocolatada LA MINUCHA x1l.</t>
  </si>
  <si>
    <t>Leche Chocolatada LATTE x1l.</t>
  </si>
  <si>
    <t>Leche Chocolatada LATTE x200ml.</t>
  </si>
  <si>
    <t>Leche Chocolatada LIKE x200ml.</t>
  </si>
  <si>
    <t>Leche Chocolatada NESQUIK x200ml.</t>
  </si>
  <si>
    <t>Leche Chocolatada TREGAR x200ml.</t>
  </si>
  <si>
    <t>Leche Descremada LA MINUCHA x1l.</t>
  </si>
  <si>
    <t>Leche en Polvo LA SERENISIMA Descremada Fortificada x400g.</t>
  </si>
  <si>
    <t>Leche Entera LA MINUCHA x1l.</t>
  </si>
  <si>
    <t>Leche LA SERENISIMA Baby Crecer "1" x200cc.</t>
  </si>
  <si>
    <t>Leche LA SERENISIMA Baby Crecer ''2'' x200cc.</t>
  </si>
  <si>
    <t>Leche LA SERENISIMA Baby Crecer ''3'' x200cc.</t>
  </si>
  <si>
    <t>Leche LA SERENISIMA Descremada Liviana Fortificada 1%</t>
  </si>
  <si>
    <t>Leche LA SERENISIMA Entera 3% Sachet x1L.</t>
  </si>
  <si>
    <t>Leche LA SERENISIMA Entera x1l. (12)</t>
  </si>
  <si>
    <t>Leche LA SERENISIMA Entera Fortificada 3% x1L.</t>
  </si>
  <si>
    <t>Leche LATTE x1.5L.</t>
  </si>
  <si>
    <t>Leche LATTE x1l.</t>
  </si>
  <si>
    <t>Leche LATTE x200cc.</t>
  </si>
  <si>
    <t>Leche NUTRILON 1 'Pro Futura' x200cc.</t>
  </si>
  <si>
    <t>Leche NUTRILON 2 'Pro Futura' x200cc.</t>
  </si>
  <si>
    <t>Mi Primer YOGURISIMO Batido Sabor Manzana x120g.</t>
  </si>
  <si>
    <t>Postre DANETTE Sabor Chocolate x95g.</t>
  </si>
  <si>
    <t>Postre DANETTE Sabor Crema Americana x95g.</t>
  </si>
  <si>
    <t>Postre DANETTE Sabor Dulce De Leche x95g.</t>
  </si>
  <si>
    <t>Postre LA SERENISIMA Clásico Sabor Vainilla x95g.</t>
  </si>
  <si>
    <t>Postre SERENITO Choco Bombas x118g.</t>
  </si>
  <si>
    <t>Postre SERENITO Sabor Vainilla x120g.</t>
  </si>
  <si>
    <t>Queso Crema CASANCREM Entero Con Vitaminas x480g.</t>
  </si>
  <si>
    <t>Queso Crema CASANCREM Light Fortificado x480g.</t>
  </si>
  <si>
    <t>Yogur GRAN COMPRA Batido Entero Con Cereales x154g.</t>
  </si>
  <si>
    <t>Yogur GRAN COMPRA Batido Sabor Frutilla x120g.</t>
  </si>
  <si>
    <t>Yogur GRAN COMPRA Batido Sabor Vainilla x120g.</t>
  </si>
  <si>
    <t>Yogur GRAN COMPRA Entero Con Vitaminas Sabor Frutilla Sachet x900g.</t>
  </si>
  <si>
    <t>Yogur GRAN COMPRA Entero Con Vitaminas Sabor Vainilla Sachet x900g.</t>
  </si>
  <si>
    <t>Yogur GRAN COMPRA Firme Entero Sabor Frutilla x120g.</t>
  </si>
  <si>
    <t>Yogur GRAN COMPRA Firme Entero Sabor Vainilla x120g.</t>
  </si>
  <si>
    <t>Yogur LA SERENISIMA Batido Con Confites x164g.</t>
  </si>
  <si>
    <t>Yogur LA SERENISIMA Batido Descremado Con Vitaminas Sabor Frutilla x120g.</t>
  </si>
  <si>
    <t>Yogur LA SERENISIMA Batido Descremado Con Vitaminas Sabor Vainilla x120g.</t>
  </si>
  <si>
    <t>Yogur LA SERENISIMA Batido Entero Con Cereales x159g.</t>
  </si>
  <si>
    <t>Yogur LA SERENISIMA Batido Entero Sabor Frutilla x120g.</t>
  </si>
  <si>
    <t>Yogur LA SERENISIMA Batido Entero Sabor Vainilla x120g.</t>
  </si>
  <si>
    <t>Yogur LA SERENISIMA Descremado Con Cereales x157g,</t>
  </si>
  <si>
    <t>Yogur LA SERENISIMA Descremado Pro Vitaminas Sabor Frutilla Sachet x900g.</t>
  </si>
  <si>
    <t>Yogur LA SERENISIMA Descremado Pro Vitaminas Sabor Vainilla Sachet x900g.</t>
  </si>
  <si>
    <t>Yogur LA SERENISIMA Entero Con Cereales x157g,</t>
  </si>
  <si>
    <t>Yogur LA SERENISIMA Firme Descremado Sabor Frutilla x190g.</t>
  </si>
  <si>
    <t>Yogur LA SERENISIMA Firme Descremado Sabor Vainilla x190g.</t>
  </si>
  <si>
    <t>Yogur LA SERENISIMA Firme Entero Sabor Frutilla x120g.</t>
  </si>
  <si>
    <t>Yogur LA SERENISIMA Firme Entero Sabor Frutilla x190g.</t>
  </si>
  <si>
    <t>Yogur LA SERENISIMA Firme Entero Sabor Vainilla x120g.</t>
  </si>
  <si>
    <t>Yogur LA SERENISIMA Firme Entero Sabor Vainilla x190g.</t>
  </si>
  <si>
    <t>Yogur SER Batido Con Cereales Sabor Berries x155g.</t>
  </si>
  <si>
    <t>Yogur SER Batido Con Cereales x166g.</t>
  </si>
  <si>
    <t>Yogur SER Batido Natural x175g.</t>
  </si>
  <si>
    <t>Yogur SER Colchón De Frutas Con Miel Batido x158g.</t>
  </si>
  <si>
    <t>Yogur SER Colchón De Frutas Batido x175g.</t>
  </si>
  <si>
    <t>Yogur SER Colchón De Frutas Y Manzana Batido x175g.</t>
  </si>
  <si>
    <t>Yogur SER Firme Sabor Frutilla x190g.</t>
  </si>
  <si>
    <t>Yogur SER Firme Sabor Vainilla x190g.</t>
  </si>
  <si>
    <t>Yogur SER Natural Con Probióticos x175g.</t>
  </si>
  <si>
    <t>YOGURISIMO Con Cereales x166g.</t>
  </si>
  <si>
    <t>YOGURISIMO Cremix Frutilla x120g.</t>
  </si>
  <si>
    <t>YOGURISIMO Cremix Vainilla x120g.</t>
  </si>
  <si>
    <t>YOGURISIMO Entero Batido Sabor Natural x190g.</t>
  </si>
  <si>
    <t>YOGURISIMO Firme Entero Pote Sabor Frutilla x190g.</t>
  </si>
  <si>
    <t>YOGURISIMO Firme Entero Sabor Frutilla x120g.</t>
  </si>
  <si>
    <t>YOGURISIMO Firme Entero Pote Sabor Vainilla x190g.</t>
  </si>
  <si>
    <t>YOGURISIMO Firme Entero Sabor Vainilla x120g.</t>
  </si>
  <si>
    <t xml:space="preserve">AGUAS </t>
  </si>
  <si>
    <t>Agua Saborizada AQUARIUS Manzana x500ml. x6u.</t>
  </si>
  <si>
    <t>Agua Saborizada AQUARIUS Pera x500ml. x6u.</t>
  </si>
  <si>
    <t>Agua Saborizada AQUARIUS Pomelo x500ml. x6u.</t>
  </si>
  <si>
    <t>Agua Saborizada AQUARIUS Pomelo Rosado x500ml. x6u.</t>
  </si>
  <si>
    <t>Agua Saborizada AQUARIUS Manzana x1.5l. x6u.</t>
  </si>
  <si>
    <t>Agua Saborizada AQUARIUS Pera x1.5l. x6u.</t>
  </si>
  <si>
    <t>Agua Saborizada AQUARIUS Pomelo x1.5l. x6u.</t>
  </si>
  <si>
    <t>Agua BAGGIO Fresh Manzana Deliciosa x600ml. x6u.</t>
  </si>
  <si>
    <t>Agua BAGGIO Fresh Naranja Dulce x600ml. x6u.</t>
  </si>
  <si>
    <t>Agua BAGGIO Fresh Pomelo x600ml. x6u.</t>
  </si>
  <si>
    <t>Agua BAGGIO Fresh Sin Azucar Manzana x600ml. x6u.</t>
  </si>
  <si>
    <t>Agua BAGGIO Fresh Sin Azucar Naranja Dulce x600ml. x6u.</t>
  </si>
  <si>
    <t>Agua BAGGIO Fresh Sin Azucar Pomelo x600ml. x6u.</t>
  </si>
  <si>
    <t>Agua BAGGIO Fresh Sin Azucar Manzana Deliciosa x1.5l. x6u.</t>
  </si>
  <si>
    <t>Agua BAGGIO Fresh Sin Azucar Naranja Dulce x1.5l. x6u.</t>
  </si>
  <si>
    <t>Agua BAGGIO Fresh Sin Azucar Pomelo x1.5l. x6u.</t>
  </si>
  <si>
    <t>Agua BAGGIO Fresh MIX Frutal x1.5l. x6u.</t>
  </si>
  <si>
    <t>Agua BAGGIO Fresh Manzana Deliciosa x1.5l. x6u.</t>
  </si>
  <si>
    <t>Agua BAGGIO Fresh Naranja Dulce x1.5l. x6u.</t>
  </si>
  <si>
    <t>Agua BAGGIO Fresh Pomelo x1.5l. x6u.</t>
  </si>
  <si>
    <t>Agua de Mesa BAGGIO Fresh x1.5Lt. x6u.</t>
  </si>
  <si>
    <t>Agua de Mesa BAGGIO Fresh x600cc. x6u.</t>
  </si>
  <si>
    <t>Agua FRESH Bidon x6,5L.</t>
  </si>
  <si>
    <t>Agua Saborizada HYDRA Frutas Tropicales x12u. x600cc. Sin Gas</t>
  </si>
  <si>
    <t>Agua Saborizada HYDRA Mora x12u. x600cc. Sin Gas</t>
  </si>
  <si>
    <t>Agua Saborizada HYDRA Manzana x12u. x600cc. Sin Gas</t>
  </si>
  <si>
    <t>Agua Saborizada HYDRA Naranja x12u. x600cc. Sin Gas</t>
  </si>
  <si>
    <t>Agua PLACER Anana x500cc. x12u.</t>
  </si>
  <si>
    <t>Agua PLACER Manzana x1.5L. x6u.</t>
  </si>
  <si>
    <t>Agua PLACER Manzana x500cc. x12u.</t>
  </si>
  <si>
    <t>Agua PLACER Multifruta x1.5L. x6u.</t>
  </si>
  <si>
    <t>Agua PLACER Multifruta x500cc. x12u.</t>
  </si>
  <si>
    <t>Agua PLACER Naranja x1.5L. x6u.</t>
  </si>
  <si>
    <t>Agua PLACER Naranja x500cc. x12u.</t>
  </si>
  <si>
    <t>Agua PLACER Pera x1.5L. x6u.</t>
  </si>
  <si>
    <t>Agua PLACER Pera x500cc. x12u.</t>
  </si>
  <si>
    <t>Agua PLACER Pomelo Blanco x1.5L. x6u.</t>
  </si>
  <si>
    <t>Agua PLACER Pomelo Blanco x500cc. x12u.</t>
  </si>
  <si>
    <t>Agua PUREZA DE LAS SIERRAS Limonada x1,5l. x6u.</t>
  </si>
  <si>
    <t>Agua PUREZA DE LAS SIERRAS Manzana x1,5l. x6u.</t>
  </si>
  <si>
    <t>Agua PUREZA DE LAS SIERRAS Naranja x1,5l. x6u.</t>
  </si>
  <si>
    <t>Agua PUREZA DE LAS SIERRAS Pomelo Blanco x1,5l. x6u.</t>
  </si>
  <si>
    <t>Agua PUREZA DE LAS SIERRAS Pomelo Rosado x1,5l. x6u.</t>
  </si>
  <si>
    <t>Agua PUREZA DE LAS SIERRAS Limonada x500cc. x6u.</t>
  </si>
  <si>
    <t>Agua PUREZA DE LAS SIERRAS Manzana x500cc. x6u.</t>
  </si>
  <si>
    <t>Agua PUREZA DE LAS SIERRAS Naranja x500cc. x6u.</t>
  </si>
  <si>
    <t>Agua PUREZA DE LAS SIERRAS Pomelo Blanco x500cc. x6u.</t>
  </si>
  <si>
    <t>Agua PUREZA DE LAS SIERRAS Pomelo Rosado x500cc. x6u.</t>
  </si>
  <si>
    <t>Agua SiERRA DE LOS PADRES Run x600ml. x12u.</t>
  </si>
  <si>
    <t>Agua Saborizada SiERRA DE LOS PADRES Naranja Sin Gas x1.5L. x6u.</t>
  </si>
  <si>
    <t>Agua Saborizada SiERRA DE LOS PADRES Pomelo Sin Gas x1.5L. x6u.</t>
  </si>
  <si>
    <t>Agua SIERRA DE LOS PADRES x2l. x6u.</t>
  </si>
  <si>
    <t>Agua SIERRA DE LOS PADRES x600ml. x12u.</t>
  </si>
  <si>
    <t>Agua SMART WATER x6u. x591cc.</t>
  </si>
  <si>
    <t>Agua Saborizada VILLA DEL SUR Levité Manzana x500ml. x12u.</t>
  </si>
  <si>
    <t>Agua Saborizada VILLA DEL SUR Levité Naranja x500ml. x12u.</t>
  </si>
  <si>
    <t>Agua Saborizada VILLA DEL SUR Levité Pomelo x500ml. x12u.</t>
  </si>
  <si>
    <t>Agua VILLA DEL SUR Levité Manzana x1,5l. x6u.</t>
  </si>
  <si>
    <t>Agua VILLA DEL SUR Levité Naranja x1,5l. x6u.</t>
  </si>
  <si>
    <t>Agua VILLA DEL SUR Levité Pomelo x1,5l. x6u.</t>
  </si>
  <si>
    <t>Agua VILLA MANAOS x2Lt. x6u.</t>
  </si>
  <si>
    <t>Agua VILLA MANAOS x600cc. x12u.</t>
  </si>
  <si>
    <t>Agua VILLA MANAOS x6Lt.</t>
  </si>
  <si>
    <t>Agua VILLAVICENCIO x1.5l. x6u.</t>
  </si>
  <si>
    <t>Agua VILLAVICENCIO x2l. x6u.</t>
  </si>
  <si>
    <t>Agua VILLAVICENCIO x500ml. x12u.</t>
  </si>
  <si>
    <t>Agua Mineral KIN Bidón 6L</t>
  </si>
  <si>
    <t>Agua Tónica SCHWEPPES x1,5L x8u.</t>
  </si>
  <si>
    <t>Soda MANAOS x2Lt. x6u.</t>
  </si>
  <si>
    <t>Soda SIERRA DE LOS PADRES Sifon x6u. x1,75L</t>
  </si>
  <si>
    <t xml:space="preserve">JUGOS </t>
  </si>
  <si>
    <t>Jugo CEPITA Fresh Sabor Manzana x1.5L x6u.</t>
  </si>
  <si>
    <t>Jugo CEPITA Fresh Sabor Naranja x1.5L</t>
  </si>
  <si>
    <t>Jugo CEPITA FRESH Pomelo x1,5L x6u.</t>
  </si>
  <si>
    <t>Jugo CEPITA Fresh Sabor Pomelo x500cc</t>
  </si>
  <si>
    <t>Jugo CEPITA Sabor Manzana x200cc</t>
  </si>
  <si>
    <t>Jugo CEPITA Sabor Multifruta x200cc</t>
  </si>
  <si>
    <t>Jugo CEPITA Sabor Naranja x200cc</t>
  </si>
  <si>
    <t>Jugo MOCORETÁ Concentrado Naranja x1.5Lt. x6u.</t>
  </si>
  <si>
    <t>Jugo MOCORETÁ Concentrado Super Naranja x500cc. x6u.</t>
  </si>
  <si>
    <t>Jugo MOCORETÁ Concentrado Super Pomelo x500cc. x6u.</t>
  </si>
  <si>
    <t>Jugo SMUDIS Sabor Manzana x500cc.</t>
  </si>
  <si>
    <t>Jugo SMUDIS Sabor Pomelo x500cc.</t>
  </si>
  <si>
    <t>Jugo TUTTI 50% Sabor Naranja x1L.</t>
  </si>
  <si>
    <t>Jugo TUTTI Sabor Durazno x1L.</t>
  </si>
  <si>
    <t>Jugo TUTTI Minions Sabor Durazno x200cc.</t>
  </si>
  <si>
    <t>Jugo TUTTI Minions Sabor Multifruta x200cc.</t>
  </si>
  <si>
    <t>Jugo TUTTI Minions Sabor Manzana x200cc.</t>
  </si>
  <si>
    <t>Jugo TUTTI Minions Sabor Naranja x200cc.</t>
  </si>
  <si>
    <t>Jugo TUTTI Minions Sabor Uva x200cc.</t>
  </si>
  <si>
    <t>Jugo TUTTI Sabor Multifruta x1L.</t>
  </si>
  <si>
    <t>Jugo TUTTI Sabor Manzana x1L.</t>
  </si>
  <si>
    <t>Jugos ARCOR Manzana x1000ml.</t>
  </si>
  <si>
    <t>Jugos ARCOR Manzana x200ml.</t>
  </si>
  <si>
    <t>Jugos ARCOR Multifruta x1000ml.</t>
  </si>
  <si>
    <t>Jugos ARCOR Multifruta x200ml.</t>
  </si>
  <si>
    <t>Jugos ARCOR Naranja x1000ml.</t>
  </si>
  <si>
    <t>Jugos ARCOR Naranja x200ml.</t>
  </si>
  <si>
    <t>Jugos Arcor Ananá x18u.</t>
  </si>
  <si>
    <t>Jugos ARCOR Sabor Frutilla x18u.</t>
  </si>
  <si>
    <t>Jugos Arcor Manzana x18u.</t>
  </si>
  <si>
    <t>Jugos Arcor Multifruta x18u.</t>
  </si>
  <si>
    <t>Jugos Arcor Naranja x18u.</t>
  </si>
  <si>
    <t>Jugos ARCORx18u.Naranja-Mango.</t>
  </si>
  <si>
    <t>Jugos Arcor Naranja Dulce x18u.</t>
  </si>
  <si>
    <t>Jugo BAGGIO FRESH Multifruta x1.5l.</t>
  </si>
  <si>
    <t>Jugos BAGGIO Fresh Manzana Deliciosa x1,5l.</t>
  </si>
  <si>
    <t>Jugo BAGGIO FRESH Naranja Dulce x1.5L.</t>
  </si>
  <si>
    <t>Jugos BAGGIO Fresh Multifruta x1L</t>
  </si>
  <si>
    <t>Jugos BAGGIO Fresh Manzana Deliciosa x1l.</t>
  </si>
  <si>
    <t>Jugos BAGGIO Fresh Naranja Dulce x1l.</t>
  </si>
  <si>
    <t>Jugos BAGGIO Fresh Multifruta x200ml.</t>
  </si>
  <si>
    <t>Jugos BAGGIO Fresh Manzana Deliciosa x200ml.</t>
  </si>
  <si>
    <t>Jugos BAGGIO Fresh Naranja x200ml.</t>
  </si>
  <si>
    <t>Jugos BAGGIO Junior Multifruta x18u.</t>
  </si>
  <si>
    <t>Jugos BAGGIO Junior Manzana x18u.</t>
  </si>
  <si>
    <t>Jugos BAGGIO Junior Naranja x18u.</t>
  </si>
  <si>
    <t>Jugos BAGGIO Sin Azucar Multifruta x1l.</t>
  </si>
  <si>
    <t>Jugos BAGGIO Sin Azucar Manzana x1l.</t>
  </si>
  <si>
    <t>Jugos BAGGIO Sin Azucar Naranja x1l.</t>
  </si>
  <si>
    <t>Jugos BAGGIO Sin Azucar Durazno x200ml.</t>
  </si>
  <si>
    <t>Jugos BAGGIO Sin Azucar Multifruta x200ml.</t>
  </si>
  <si>
    <t>Jugos BAGGIO Sin Azucar Manzana x200ml.</t>
  </si>
  <si>
    <t>Jugos BAGGIO Sin Azucar Naranja x200ml.</t>
  </si>
  <si>
    <t>Jugos BAGGIO Naranja x1.5l.</t>
  </si>
  <si>
    <t>Jugos BAGGIO Multifruta x1.5l.</t>
  </si>
  <si>
    <t>Jugos BAGGIO Durazno x1l.</t>
  </si>
  <si>
    <t>Jugos BAGGIO MIX Frutal x1l.</t>
  </si>
  <si>
    <t>Jugos BAGGIO Multifruta x1l.</t>
  </si>
  <si>
    <t>Jugos BAGGIO Manzana x1l.</t>
  </si>
  <si>
    <t>Jugos BAGGIO Naranja x1l.</t>
  </si>
  <si>
    <t>Jugos BAGGIO Pera x1l.</t>
  </si>
  <si>
    <t>Jugos BAGGIO Durazno x200ml.</t>
  </si>
  <si>
    <t>Jugos BAGGIO MIXfrutal x200ml.</t>
  </si>
  <si>
    <t>Jugos BAGGIO Multifruta x200ml.</t>
  </si>
  <si>
    <t>Jugos BAGGIO Manzana x200ml.</t>
  </si>
  <si>
    <t>Jugos BAGGIO Naranja - Durazno x200ml.</t>
  </si>
  <si>
    <t>Jugos BAGGIO Naranja x200ml.</t>
  </si>
  <si>
    <t>Jugos BAGGIO Pera x200ml.</t>
  </si>
  <si>
    <t>Jugo BC en Sobre Ananá x18u.</t>
  </si>
  <si>
    <t>Jugos BC en Sobre Manzana x18u.</t>
  </si>
  <si>
    <t>Jugo BC en Sobre Manzana Roja x18u.</t>
  </si>
  <si>
    <t>Jugo BC en Sobre Naranja x18u.</t>
  </si>
  <si>
    <t>Jugos NOEL x18u. Anana</t>
  </si>
  <si>
    <t>Jugos NOEL x18u. Limonada</t>
  </si>
  <si>
    <t>Jugos NOEL x18u. Multifruta</t>
  </si>
  <si>
    <t>Jugos NOEL x18u. Manzana</t>
  </si>
  <si>
    <t>Jugos NOEL x18u. Naranja</t>
  </si>
  <si>
    <t>Jugos PINDAPOY Manzana x200cc.</t>
  </si>
  <si>
    <t>Jugos PINDAPOY Multifruta x200cc.</t>
  </si>
  <si>
    <t>Jugos PINDAPOY Naranja x200cc.</t>
  </si>
  <si>
    <t>TERMA Citrus Versión Limitada Botella x1350cc.</t>
  </si>
  <si>
    <t>TERMA Cuyano Botella x1350cc.</t>
  </si>
  <si>
    <t>TERMA Limón Botella x1350cc.</t>
  </si>
  <si>
    <t>TERMA Patagónico Edición Limitada Botella x1350cc.</t>
  </si>
  <si>
    <t>TERMA Pomelo Rosado Botella x1350cc.</t>
  </si>
  <si>
    <t>TERMA Pomelo Botella x1350cc.</t>
  </si>
  <si>
    <t>TERMA Serrano Botella x1350cc.</t>
  </si>
  <si>
    <t xml:space="preserve">BEBIDAS CON ALCOHOL </t>
  </si>
  <si>
    <t>Vermouth CARPANO BIANCO x950cc.</t>
  </si>
  <si>
    <t>Vermouth CARPANO ROSSO x950cc.</t>
  </si>
  <si>
    <t>Cerveza AMSTEL LAGER x473cc. Pack x6u.</t>
  </si>
  <si>
    <t>CERVEZA BRAHMA x473cc.x6u.</t>
  </si>
  <si>
    <t>Champagne NIETO SENETINER Extra Brut x750ml</t>
  </si>
  <si>
    <t>DR.LEMON Limón 4% Botella x1000cc.</t>
  </si>
  <si>
    <t>DR.LEMON Limón 4% Pack x6u. x473cc.</t>
  </si>
  <si>
    <t>DR.LEMON Red Berry 5% Botella x1000cc.</t>
  </si>
  <si>
    <t>DR.LEMON Vodka 5% Botella x1000cc.</t>
  </si>
  <si>
    <t>DR.LEMON Vodka 5% x6u. x473cc.</t>
  </si>
  <si>
    <t>DR.LEMON Vodka Pomelo 5% Botella x1000cc.</t>
  </si>
  <si>
    <t>FERNET ''1882'' Botella x750cc.</t>
  </si>
  <si>
    <t>Fernet VITTONE x450ml.</t>
  </si>
  <si>
    <t>Fernet VITTONE x750ml.</t>
  </si>
  <si>
    <t>Botella GANCIA Americano x450ml.</t>
  </si>
  <si>
    <t>Botella GANCIA Americano x950ml.</t>
  </si>
  <si>
    <t>Gin SPIRITO BLU x700cc.</t>
  </si>
  <si>
    <t>Licor Fino Café BORGHETTI x700cc.</t>
  </si>
  <si>
    <t>Liquore STREGA Limoncello x700cc.</t>
  </si>
  <si>
    <t>Vermouth PUNT E MES x750cc.</t>
  </si>
  <si>
    <t>SCHWEPPES Gin &amp; Tonic Lata x310ml. x6u.</t>
  </si>
  <si>
    <t>SCHWEPPES Vodka Citrus Lata x310ml. x6u.</t>
  </si>
  <si>
    <t>Sidra COSECHA PRIVADA 1950 x750cc.</t>
  </si>
  <si>
    <t>Sidra COSECHA PRIVADA Rose 1950 x750cc.</t>
  </si>
  <si>
    <t>Sidra FARRUCA x710cc.</t>
  </si>
  <si>
    <t>SIDRA SAENZ BRIONES 1888x750cc.(6)</t>
  </si>
  <si>
    <t>Vino MALBEC Don Nicanor x750ml.</t>
  </si>
  <si>
    <t>Vino Espumante SANTA JULIA Classic Cuvee x750ml.</t>
  </si>
  <si>
    <t>Vino MALBEC Benjamin x750ml.</t>
  </si>
  <si>
    <t>Vino MALBEN Emilia Nieto Senetiner x750ml.</t>
  </si>
  <si>
    <t>Vino MALBEC Nieto Senetiner x750ml.</t>
  </si>
  <si>
    <t>Vino NIETO SENETINER Cabernet Sauvignon x750ml.</t>
  </si>
  <si>
    <t>Vino RUCA MALEN x750ml.</t>
  </si>
  <si>
    <t>Vino STA.JULIA Chenin Dce.Latax355cc.x6u.</t>
  </si>
  <si>
    <t>Vino SANTA JULIA Malbec New x750ml.</t>
  </si>
  <si>
    <t>Vino STA.JULIA Org MB-RO Latax269cc.x6u.</t>
  </si>
  <si>
    <t>Vino SANTA JULIA Reserva Malbec x750ml.</t>
  </si>
  <si>
    <t>Vino STA.JULIA Tintillo Latax269cc.x6u.</t>
  </si>
  <si>
    <t>Vino STA.JULIA Tinto Dulce Latax269cc.x6u.</t>
  </si>
  <si>
    <t>Vino Viñalba MALBEC x750cc.</t>
  </si>
  <si>
    <t>Vodka SERNOVA Sweet Apple Pear x700cc.</t>
  </si>
  <si>
    <t>Vodka SERNOVA Wild Berries x700cc.</t>
  </si>
  <si>
    <t>Vodka SERNOVA Caribbean Blend x700cc.</t>
  </si>
  <si>
    <t>Vodka SERNOVA Fresh Citrus x700cc.</t>
  </si>
  <si>
    <t>Vodka SERNOVA Tropical Passion x700cc.</t>
  </si>
  <si>
    <t>Vodka SERNOVA x700cc.</t>
  </si>
  <si>
    <t>Whisky FAMOUS GROUSE Finest x700cc.</t>
  </si>
  <si>
    <t xml:space="preserve">CHOCOLATES RELLENOS </t>
  </si>
  <si>
    <t>Bocadito BONAFIDE Menta x24u.</t>
  </si>
  <si>
    <t>Chocolate ARCOR MILKx12g.x20un.</t>
  </si>
  <si>
    <t>Chocolate BONAFIDE Relleno Menta x100g.</t>
  </si>
  <si>
    <t>Chocolate CADBURY Yoghurt Frutilla x162g.</t>
  </si>
  <si>
    <t>Chocolate GEORGALOS Sin Azúcar Frutilla x30g.</t>
  </si>
  <si>
    <t>Chocolate HAMLET Mega Maní x165g. xu.</t>
  </si>
  <si>
    <t>Chocolate HAMLET WAY x30g.</t>
  </si>
  <si>
    <t>Chocolate HAMLET Mega Mani x40g.</t>
  </si>
  <si>
    <t>Chocolate HAMLET Chocolatoso x43g.</t>
  </si>
  <si>
    <t>Chocolate HAMLET Leche y Cookies x48g.</t>
  </si>
  <si>
    <t>Chocolate HAMLET Yoghurt Frutilla x43g.</t>
  </si>
  <si>
    <t>Chocolate HAMLET Almendras y Maní x45g.</t>
  </si>
  <si>
    <t>Chocolate HAMLET Bicolor x45g.</t>
  </si>
  <si>
    <t>Chocolate HAMLET Blanco y Cookies x45g.</t>
  </si>
  <si>
    <t>Chocolate KINDER Bueno Blanco x43g.</t>
  </si>
  <si>
    <t>Chocolate KINDER BUENO x43g.</t>
  </si>
  <si>
    <t>Chocolate MECANO Blanco Con Dulce De Leche x45g.</t>
  </si>
  <si>
    <t>Chocolate MECANO Blanco Relleno de Dulce de Leche x100g.</t>
  </si>
  <si>
    <t>Chocolate MECANO Chocolate con Leche x100g.</t>
  </si>
  <si>
    <t>Chocolate MECANO Dulce de Leche x19g.</t>
  </si>
  <si>
    <t>Chocolate MECANO Leche Con Dulce De Leche x45g.</t>
  </si>
  <si>
    <t>Chocolate NESTLE con Maní x33g.</t>
  </si>
  <si>
    <t>Chocolate NOBEL Leche con Praliné Premium x15u. x35g.</t>
  </si>
  <si>
    <t>Chocolate ONE BITE Exhibidor Surtido 3 Sabores x18u.</t>
  </si>
  <si>
    <t>Chocolate LA PIÑATA Chocolate con Maní x100g.</t>
  </si>
  <si>
    <t>Chocolate SAPITO con Maní x10g. x24u.</t>
  </si>
  <si>
    <t>Chocolate SAPITO Chocolatoso x10g. x24u.</t>
  </si>
  <si>
    <t>Chocolate SAPITO Dulce de Leche x10g. x24u.</t>
  </si>
  <si>
    <t>Chocolate SAPITO Frutilla x10g. x24u.</t>
  </si>
  <si>
    <t>Chocolate TOFI Blanco x27g.</t>
  </si>
  <si>
    <t>Chocolate TOFI Blanco x55g.</t>
  </si>
  <si>
    <t>Chocolate TOFI Leche x28g.</t>
  </si>
  <si>
    <t>Chocolate TOFI Leche x55g.</t>
  </si>
  <si>
    <t>Chocolate TOKKE Dulce de Leche y Maní x35g.</t>
  </si>
  <si>
    <t>Chocolate TOKKE Leche y Maní x500g.</t>
  </si>
  <si>
    <t>Chocolate TOKKE Dulce de Leche x72g.</t>
  </si>
  <si>
    <t>Tableta VIZZIO Chocolate 60% Cacao x50g.</t>
  </si>
  <si>
    <t>Tableta VIZZIO Chocolate Blanco x50g.</t>
  </si>
  <si>
    <t>Tableta VIZZIO Chocolate Con Leche x50g.</t>
  </si>
  <si>
    <t>Chocolate VIZZIO Relleno De Menta x100g.</t>
  </si>
  <si>
    <t>Chocolate VIZZIO Relleno De Menta x45g.</t>
  </si>
  <si>
    <t>Chocolate VIZZIO Relleno Nugaton x100gr.</t>
  </si>
  <si>
    <t xml:space="preserve">CHOCOLATES AIREADOS </t>
  </si>
  <si>
    <t>Chocolate COFLER Aireado Almendra x100g.</t>
  </si>
  <si>
    <t>Chocolate COFLER Aireado Blanco x100g.</t>
  </si>
  <si>
    <t>Chocolate COFLER Aireado Leche x100g.</t>
  </si>
  <si>
    <t>Chocolate COFLER Aireado MIXto x100g.</t>
  </si>
  <si>
    <t>Chocolate COFLER Aireado Blanco x27g.</t>
  </si>
  <si>
    <t>Chocolate COFLER Aireado MIXto x27g.</t>
  </si>
  <si>
    <t>Chocolate COFLER Aireado Leche x27g.</t>
  </si>
  <si>
    <t>Chocolate COFLER Air Relleno BON O BON x30g. (8-160)</t>
  </si>
  <si>
    <t>Chocolate COFLER Aireado Blanco x55g.</t>
  </si>
  <si>
    <t>Chocolate COFLER Aireado Leche x55g.</t>
  </si>
  <si>
    <t>Chocolate COFLER Aireado MIXto x55g.</t>
  </si>
  <si>
    <t>Chocolate COFLER Aireado Almendrado x55g.</t>
  </si>
  <si>
    <t>Chocolate COFLER Air Bon o Bon x67g.</t>
  </si>
  <si>
    <t>Chocolate COFLER Air Tofi x70g.</t>
  </si>
  <si>
    <t>Chocolate ESPACIAL FORT xu.</t>
  </si>
  <si>
    <t>Chocolate HERSHEY´S Air Leche x85g.</t>
  </si>
  <si>
    <t>Chocolate SUFLAIR Dúo x80g.</t>
  </si>
  <si>
    <t>Chocolate SUFLAIR Milk x80g.</t>
  </si>
  <si>
    <t>Chocolate SUFLAIR Leche x50g.</t>
  </si>
  <si>
    <t xml:space="preserve">BOCADITOS Y BOMBONES </t>
  </si>
  <si>
    <t>Bocadito BONAFIDE Dulce de Leche x24u.</t>
  </si>
  <si>
    <t>Bocadito BONAFIDE Rhum x24u.</t>
  </si>
  <si>
    <t>Bocadito CABSHA Negro x48u.</t>
  </si>
  <si>
    <t>Bocadito CERICET x24u.</t>
  </si>
  <si>
    <t>Bocadito CHOCOMANÍ Arcor x520g.</t>
  </si>
  <si>
    <t>Bocadito DULCILAC x520g.</t>
  </si>
  <si>
    <t>Bocadito FANTOCHE Relleno De Dulce De Leche x20u.</t>
  </si>
  <si>
    <t>Bocadito FELFORT Dulce de Leche x21g. x20u.</t>
  </si>
  <si>
    <t>Bocaditos ELVAN My Football Pote x800g.</t>
  </si>
  <si>
    <t>Bocaditos ELVAN My Wolrd Mix Pote x800g.</t>
  </si>
  <si>
    <t>Bocadito LA VACA LECHERA x520g.</t>
  </si>
  <si>
    <t>Bocadito NEVARES Relleno de Dulce de Leche x15u. x23g.</t>
  </si>
  <si>
    <t>Bombon BON O BON Aguila x16u. x270g.</t>
  </si>
  <si>
    <t>Bombón BON O BON Blancox480g.</t>
  </si>
  <si>
    <t>Bombón BON O BON Chocolina x270g</t>
  </si>
  <si>
    <t>Bombón BON O BON Clásico x450g.</t>
  </si>
  <si>
    <t>Bombón BON O BON con Dulce de Leche x192g.</t>
  </si>
  <si>
    <t>Bombón BON O BON Surtidos x255g.</t>
  </si>
  <si>
    <t>Bombón DANCING Caja x50u.</t>
  </si>
  <si>
    <t>Bombón DOR x12g. x30u.</t>
  </si>
  <si>
    <t>Bombón FERRERO ROCHER x12u.</t>
  </si>
  <si>
    <t>Bombón FERRERO ROCHER x24u.</t>
  </si>
  <si>
    <t>Bombón FERRERO ROCHER x3u.</t>
  </si>
  <si>
    <t>Bombón FERRERO ROCHER x4u.</t>
  </si>
  <si>
    <t>Bombón FERRERO ROCHER x8u.</t>
  </si>
  <si>
    <t>Bombón GAROTO Surtido x250g.</t>
  </si>
  <si>
    <t>Bombón HAMLET Leche x420g. x30u.</t>
  </si>
  <si>
    <t>Bombón JAQUELIN x15u.</t>
  </si>
  <si>
    <t>Bombón JAQUELIN x30u.</t>
  </si>
  <si>
    <t>Bombón LICORFORT Wisky x15u.</t>
  </si>
  <si>
    <t>Bombón LICORFORT Wisky x30u.</t>
  </si>
  <si>
    <t>Bombón NESTLE Especialidades x251g.</t>
  </si>
  <si>
    <t>Bombón OBLIBON Negro x510g. x30u.</t>
  </si>
  <si>
    <t>Bombón Selección de ARCOR x228,6g.</t>
  </si>
  <si>
    <t>Bombón Surtido Especial Arcor x223g.</t>
  </si>
  <si>
    <t>BOTELLITAS FELFORT con Wisky x20u.</t>
  </si>
  <si>
    <t>Chocolates ARCOR Surtidos El Kiosco x246g.</t>
  </si>
  <si>
    <t>Chocolate GEORGALOS Sin Azúcar Con Mani x35g.</t>
  </si>
  <si>
    <t>LADY BIRD Pote x800g.</t>
  </si>
  <si>
    <t>LICORITAS FELFORT x25u.</t>
  </si>
  <si>
    <t>Mentitas AGUILA x15u.</t>
  </si>
  <si>
    <t>VAUQUITA Black Menta x25g.</t>
  </si>
  <si>
    <t>VAUQUITA Coco x80g.</t>
  </si>
  <si>
    <t>VAUQUITA Dulce de Leche x140g.</t>
  </si>
  <si>
    <t>VAUQUITA Dulce de Leche Suave (Light) x140g.</t>
  </si>
  <si>
    <t>VAUQUITA Dulce de Leche Light Con Menta x22g.</t>
  </si>
  <si>
    <t>VAUQUITA Dulce de Leche Suave (Light)x22g.</t>
  </si>
  <si>
    <t>VAUQUITA Dulce de Leche x25g.</t>
  </si>
  <si>
    <t>VAUQUITA Dulce de Leche x80g.</t>
  </si>
  <si>
    <t>VAUQUITA Banana Split x80g.</t>
  </si>
  <si>
    <t>VAUQUITA Dulce de Leche Suave (Light) x80g.</t>
  </si>
  <si>
    <t>VAUQUITA Split x25g.</t>
  </si>
  <si>
    <t xml:space="preserve">CHOCOLATES MACIZOS </t>
  </si>
  <si>
    <t>Chocolate ÁGUILA Taza Blanco x100g.</t>
  </si>
  <si>
    <t>Chocolate ÁGUILA Taza Leche x100g.</t>
  </si>
  <si>
    <t>Chocolate ÁGUILA para Taza Leche x14g. x24u.</t>
  </si>
  <si>
    <t>Chocolate AGUILA taza leche x150g.</t>
  </si>
  <si>
    <t>Chocolate AGUILA 70% Cacao x150g.</t>
  </si>
  <si>
    <t>Chocolate ALTEZA Taza x90g.</t>
  </si>
  <si>
    <t>Chocolate Arcor Blancox25g.</t>
  </si>
  <si>
    <t>Chocolate ARCOR Leche con Maní x25g.</t>
  </si>
  <si>
    <t>Chocolate Arcor Leche x25g.</t>
  </si>
  <si>
    <t>Chocolate ARCOR 50% Cacao x95g.</t>
  </si>
  <si>
    <t>Chocolate ARCOR Blanco y Mani x95g.</t>
  </si>
  <si>
    <t>Chocolate ARCOR Marmolado x95g.</t>
  </si>
  <si>
    <t>Chocolate ARCOR Leche con Maní x95g.</t>
  </si>
  <si>
    <t>Chocolate BILLIKEN Leche con Maní x250g.</t>
  </si>
  <si>
    <t>Chocolate BILLIKEN Leche con Maní x500g.</t>
  </si>
  <si>
    <t>Chocolate BIZNIKE NEVADO x120g.</t>
  </si>
  <si>
    <t>Chocolate BIZNIKE NEVADO x28g.</t>
  </si>
  <si>
    <t>Chocolate BONAFIDE Rama Blanco x40g.</t>
  </si>
  <si>
    <t>Chocolate BONAFIDE Rama Leche x40g.</t>
  </si>
  <si>
    <t>Chocolate BONAFIDE Rama Leche x80g.</t>
  </si>
  <si>
    <t>Chocolate BONAFIDE Taza x150g.</t>
  </si>
  <si>
    <t>Chocolate BONAFIDE Taza x100g.</t>
  </si>
  <si>
    <t>Chocolate CADBURY Intense x25g.</t>
  </si>
  <si>
    <t>Chocolate CADBURY Tres Sueños x25g.</t>
  </si>
  <si>
    <t>Chocolate CADBURY Almendras x82g.</t>
  </si>
  <si>
    <t>Chocolate CADBURY Tres Sueños x82g.</t>
  </si>
  <si>
    <t>Chocolate CANNETTINE Blanco x25g.</t>
  </si>
  <si>
    <t>Chocolate CANNETTINE Blanco x80g.</t>
  </si>
  <si>
    <t>Chocolate CANNETTINE Leche Con Maní x25g.</t>
  </si>
  <si>
    <t>Chocolate CANNETTINE Leche Con Maní x80g.</t>
  </si>
  <si>
    <t>Chocolate CANNETTINE Leche x25g.</t>
  </si>
  <si>
    <t>Chocolate CANNETTINE Leche x80g.</t>
  </si>
  <si>
    <t>Chocolate COFLER BLOCK Bombón 16u. x16g.</t>
  </si>
  <si>
    <t>Chocolate COFLER BLOCK Blanco con Maní x38g.</t>
  </si>
  <si>
    <t>Chocolate COFLER BLOCK Miti Miti x170g.</t>
  </si>
  <si>
    <t>Chocolate COFLER BLOCK x110g.</t>
  </si>
  <si>
    <t>Chocolate COFLER BLOCK x170g.</t>
  </si>
  <si>
    <t>Chocolate COFLER BLOCK x1kg.</t>
  </si>
  <si>
    <t>Chocolate COFLER BLOCK x300g.</t>
  </si>
  <si>
    <t>Chocolate COFLER BLOCK x38g.</t>
  </si>
  <si>
    <t>Chocolate COFLER Mini Leche Con Rocklets x18g. x16u.</t>
  </si>
  <si>
    <t>Chocolate COFLER Mini Leche x18g. x16u.</t>
  </si>
  <si>
    <t>Chocolate COFLER 50% Cacao x55g.</t>
  </si>
  <si>
    <t>Chocolate COFLER Almendras x100g.</t>
  </si>
  <si>
    <t>Chocolate COFLER Blanco con Chocolinas x100g.</t>
  </si>
  <si>
    <t>Chocolate COFLER con Rocklets x100g.</t>
  </si>
  <si>
    <t>Chocolate COFLER Leche x100g.</t>
  </si>
  <si>
    <t>Chocolate COFLER 3 Placeres x55g.</t>
  </si>
  <si>
    <t>Chocolate COFLER Almendras x55g.</t>
  </si>
  <si>
    <t>Chocolate COFLER Blanco con Chocolinas x55g.</t>
  </si>
  <si>
    <t>Chocolate COFLER Leche x55g.</t>
  </si>
  <si>
    <t>Chocolate COFLER Leche con Rocklets x55g.</t>
  </si>
  <si>
    <t>Chocolate CROCO Cereal FELFORTx19g.</t>
  </si>
  <si>
    <t>Chocolate DAQUI con Maní x70g.</t>
  </si>
  <si>
    <t>Chocolate DAQUI Max con Leche y Maní x120g.</t>
  </si>
  <si>
    <t>Chocolate Familiar GODET x100g.</t>
  </si>
  <si>
    <t>Chocolate FELFORT Barrita 70% Cacao x16g.</t>
  </si>
  <si>
    <t>Chocolate FELFORT BARRITA Blanca x25g.</t>
  </si>
  <si>
    <t>Chocolate FELFORT Barrita Leche x16g.</t>
  </si>
  <si>
    <t>Chocolate FELFORT BARRITA con Maní x25g.</t>
  </si>
  <si>
    <t>Chocolate FELFORT Barrita Negro x16g.</t>
  </si>
  <si>
    <t>Chocolate FELFORT Maní x75g.</t>
  </si>
  <si>
    <t>Chocolate FULL MANI Leche x100g.</t>
  </si>
  <si>
    <t>Chocolate GEORGALOS Full Maní x35g.</t>
  </si>
  <si>
    <t>Chocolate GEORGALOS sin Azúcar con Almendras x70g.</t>
  </si>
  <si>
    <t>Chocolate GEORGALOS sin Azúcar Blancox30g.</t>
  </si>
  <si>
    <t>Chocolate GEORGALOS sin Azúcar Leche x30g.</t>
  </si>
  <si>
    <t>Chocolate GEORGALOS sin Azúcar Blancox70g.</t>
  </si>
  <si>
    <t>Chocolate GEORGALOS sin Azúcar Leche x70g.</t>
  </si>
  <si>
    <t>Chocolate GEORGALOS Full Maní x160g.</t>
  </si>
  <si>
    <t>Chocolate GEORGALOS 60% Cacao x25G.</t>
  </si>
  <si>
    <t>Chocolate GEORGALOS Blanco x25G.</t>
  </si>
  <si>
    <t>Chocolate GEORGALOS Leche x25g.</t>
  </si>
  <si>
    <t>Chocolate HERSHEY´S Cookies´N´Creme x87g.</t>
  </si>
  <si>
    <t>Chocolate KINDER BARRITA x12,5g. x24u.</t>
  </si>
  <si>
    <t>Chocolate KINDER BARRITA x50g.</t>
  </si>
  <si>
    <t>Chocolate KINDER MAXI x21g. x10u.</t>
  </si>
  <si>
    <t>Chocolate MISKY Blancox25g.</t>
  </si>
  <si>
    <t>Chocolate MISKY Negro x25g.</t>
  </si>
  <si>
    <t>Chocolate MISKY Blancox50g.</t>
  </si>
  <si>
    <t>Chocolate MISKY Negro x50g.</t>
  </si>
  <si>
    <t>Chocolate NESTLE Classic Medio Amargo x80g.</t>
  </si>
  <si>
    <t>Chocolate NESTLE Classic Duo x80g.</t>
  </si>
  <si>
    <t>Chocolate ROCKLETS Barrita x13.5g.x16u.</t>
  </si>
  <si>
    <t>Chocolate MISKY para Taza x100g.</t>
  </si>
  <si>
    <t>Chocolate TOKKE de Leche x60g.</t>
  </si>
  <si>
    <t>Chocolate TOKKE Con Leche y Mani x62g.</t>
  </si>
  <si>
    <t>Chocolate TOKKE Blanco Dulce de Leche x72g.</t>
  </si>
  <si>
    <t>Chocolate VIZZIO Leche y Maní x165gr.</t>
  </si>
  <si>
    <t>Chocolate VIZZIO Leche y Maní x85gr.</t>
  </si>
  <si>
    <t>Chocolate VIZZIO 60% Cacao x90gr.</t>
  </si>
  <si>
    <t>Chocolate VIZZIO Blanco x90gr.</t>
  </si>
  <si>
    <t>Chocolate VIZZIO Leche x90gr.</t>
  </si>
  <si>
    <t>Chocolate VIZZIO Leche y Almendras x100gr.</t>
  </si>
  <si>
    <t>Chocolate VIZZIO x165gr Almendras</t>
  </si>
  <si>
    <t>Chocolate VIZZIO Leche y Almendras x35gr.</t>
  </si>
  <si>
    <t>Chocolate VIZZIO Leche y Maní x35gr.</t>
  </si>
  <si>
    <t>Choco Cereal GEORGALOS sin Azúcar Brownie x25g.</t>
  </si>
  <si>
    <t>Choco Cereal GEORGALOS sin Azúcar x25g.</t>
  </si>
  <si>
    <t>Chocolatin Arcor Blancox8g. x20u.</t>
  </si>
  <si>
    <t>Chocolatin Arcor Negro x8g. x20u.</t>
  </si>
  <si>
    <t>Chocolatin GEORGALOS Blancox8g. x40u.</t>
  </si>
  <si>
    <t>Chocolatin GEORGALOS Negro x8g. x40u.</t>
  </si>
  <si>
    <t>Chocolatin MISKY Blanco x8g. x20u.</t>
  </si>
  <si>
    <t>Chocolatin MISKY Negro x8g. x20u.</t>
  </si>
  <si>
    <t>Exhibidor de Chocolates GEORGALOS sin Azúcar x680g.</t>
  </si>
  <si>
    <t>Monedas Capitan Morgan BONAFIDE x500g.</t>
  </si>
  <si>
    <t>TORRONCINO x23g.</t>
  </si>
  <si>
    <t>TORRONCINO 5 Cereales x23g.</t>
  </si>
  <si>
    <t xml:space="preserve">PRODUCTOS CHOCOLATADOS </t>
  </si>
  <si>
    <t>Almendras TRASSEN Chocolate Amargo 70% Cacao x80g.</t>
  </si>
  <si>
    <t>Almendras TRASSENS de Chocolate con Leche x80g.</t>
  </si>
  <si>
    <t>Bananita DOLCA Chica x14g. x15u.</t>
  </si>
  <si>
    <t>Bananita DOLCA Chica x14g. x16u.</t>
  </si>
  <si>
    <t>Bananita DOLCA Grande x30g. x16u.</t>
  </si>
  <si>
    <t>Barra ROCKLETS Relleno Chocolate Y Caramelo x44g.</t>
  </si>
  <si>
    <t>Bocadito TRASSENS 3 Capas x80g.</t>
  </si>
  <si>
    <t>Chocolate COFLER Graffiti BLANCO/LECHE x45g.</t>
  </si>
  <si>
    <t>Chocolate COFLER Graffiti x45g.</t>
  </si>
  <si>
    <t>CHOCOFAN Sabor Banana Split x37g.</t>
  </si>
  <si>
    <t>CHOCO FAN Blanco x37g.</t>
  </si>
  <si>
    <t>CHOCO FAN Black x37g.</t>
  </si>
  <si>
    <t>CHOCOFAN Sabor Chocolate x37g.</t>
  </si>
  <si>
    <t>CHOCOFAN Sabor Coco x37g.</t>
  </si>
  <si>
    <t>CHOCO FAN Super Black x37g.</t>
  </si>
  <si>
    <t>CHOCOFAN Sabor Vainilla x37g.</t>
  </si>
  <si>
    <t>Confites ROCKLETS Max Halloween x50g.</t>
  </si>
  <si>
    <t>Confites ROCKLETS Mini x440g. x44u.</t>
  </si>
  <si>
    <t>Confites ROCKLETS x20g x24u.</t>
  </si>
  <si>
    <t>Confites ROCKLETS x40g x18u.</t>
  </si>
  <si>
    <t>Confites SAPITO x15g. x24u.</t>
  </si>
  <si>
    <t>Conitos MINICCO Mani x12u. x25g.</t>
  </si>
  <si>
    <t>Conitos VIMAR x12u.</t>
  </si>
  <si>
    <t>Copitos JORGITO x12u. x34g.</t>
  </si>
  <si>
    <t>Copitos JORGITO x6u. x34g.</t>
  </si>
  <si>
    <t>Huevitos CHOCO STARS Con Sorpresa x24u. x25g.</t>
  </si>
  <si>
    <t>Huevitos HEROS Con Sorpresa x24u. x25gr.</t>
  </si>
  <si>
    <t>Huevo JACK Emoji x14g. x10u.</t>
  </si>
  <si>
    <t>MAXIMO 1 DISPLAY X CLIENTE Huevo KINDER Joy Sorpresa Emoji x12u.</t>
  </si>
  <si>
    <t>Huevo KINDER Joy Sorpresa Emoji x48u.</t>
  </si>
  <si>
    <t>Huevo KINDER Sorpresa Nena x12u.</t>
  </si>
  <si>
    <t>Huevo KINDER Sorpresa Nene x12u.</t>
  </si>
  <si>
    <t>Huevo KINDER Sorpresa x48u.</t>
  </si>
  <si>
    <t>Huevo SAPITO Sorpresa x12u. x28g.</t>
  </si>
  <si>
    <t>Huevos ARCOR Milk Chocolate con Leche x10u. x8g.</t>
  </si>
  <si>
    <t>Huevos ARCOR Milk x12u. x22g.</t>
  </si>
  <si>
    <t>KROOMY Chocolate x24u.</t>
  </si>
  <si>
    <t>KROOMY Chocolate Blanco x24u.</t>
  </si>
  <si>
    <t>KROOMY Chocolate Blanco y Frutilla x24u.</t>
  </si>
  <si>
    <t>KROOMY Chocolate Maní x24u.</t>
  </si>
  <si>
    <t>KROOMY Chocolate y Avellanas x24u.</t>
  </si>
  <si>
    <t>KROOMY Chocolate Blancox24u.</t>
  </si>
  <si>
    <t>KROOMY Chocolate y Frutilla x24u.</t>
  </si>
  <si>
    <t>Maní TRASSENS de Chocolate Sin Azúcar x80g.</t>
  </si>
  <si>
    <t>Meren Bom URQUIZA x25g. x12u.</t>
  </si>
  <si>
    <t>Merenkoa URQUIZA x15g. Display x12u.</t>
  </si>
  <si>
    <t>Oblea KIT KAT Blanco x41.5g.</t>
  </si>
  <si>
    <t>Oblea KIT KAT Dark x41.5g.</t>
  </si>
  <si>
    <t>Oblea KIT KAT x41.5g.</t>
  </si>
  <si>
    <t>Obleas CHOCOLINA XL x45g.</t>
  </si>
  <si>
    <t>Obleas COFLER BLOCK x54g.</t>
  </si>
  <si>
    <t>Pelota CHAMPION con Sorpresa x24u. x25g.</t>
  </si>
  <si>
    <t xml:space="preserve">PASCUAS </t>
  </si>
  <si>
    <t>Conejo BON O BON Leche x50g. xu.</t>
  </si>
  <si>
    <t>Chocolate ARCOR Joystick Leche con Confites x125g.</t>
  </si>
  <si>
    <t xml:space="preserve">AUTOS </t>
  </si>
  <si>
    <t>Auto Transformable Aguila xu.</t>
  </si>
  <si>
    <t>Bracitos Tortuguitas Inflables xu.</t>
  </si>
  <si>
    <t>Calesita Renata Rana Didactica xu.</t>
  </si>
  <si>
    <t>DURAVIT Jeep Mini xu.</t>
  </si>
  <si>
    <t>POPPI SQUEEZE Unicornio xu.</t>
  </si>
  <si>
    <t>Set Vehiculo DURAVIT Camion Retro y Frontal xu.</t>
  </si>
  <si>
    <t>Set Vehiculo DURAVIT Camion Mini Frontal y Retro Infantil xu.</t>
  </si>
  <si>
    <t>Vehiculo a Friccion Policia Burbuja xu.</t>
  </si>
  <si>
    <t>Vehiculo a Friccion Burbuja Chico xu.</t>
  </si>
  <si>
    <t>Vehiculo DURAVIT Camion Mini Frontal Infantil xu.</t>
  </si>
  <si>
    <t>Vehiculo DURAVIT Camion Retro Mini Infantil xu.</t>
  </si>
  <si>
    <t>Vehiculo RUEDA LIBRE Camion Escolar xu.</t>
  </si>
  <si>
    <t>Vehiculo Rueda Libre Camion Mezclador xu.</t>
  </si>
  <si>
    <t>Vehiculo WELLY Aston Martin V12 Vantage Rojo xu.</t>
  </si>
  <si>
    <t>Vehiculo WELLY Audi Q3 Naranja xu.</t>
  </si>
  <si>
    <t>Vehiculo WELLY Cadillac Escalade Blanco Crema xu.</t>
  </si>
  <si>
    <t>Vehiculo WELLY Chevrolet Silverado Blanco xu.</t>
  </si>
  <si>
    <t>Vehiculo WELLY Ford F150 Cabina Regular Rojo xu.</t>
  </si>
  <si>
    <t>Vehiculo WELLY Ford Mustang GT Rojo xu.</t>
  </si>
  <si>
    <t>Vehiculo WELLY Ford ThunderBird Rojo xu.</t>
  </si>
  <si>
    <t>Vehiculo WELLY jaguar 2010 XJ Gris Plata xu.</t>
  </si>
  <si>
    <t>Vehiculo WELLY Jaguar F-Type Coupe Blanco xu.</t>
  </si>
  <si>
    <t>Vehiculo WELLY Kia Picanto Celeste xu.</t>
  </si>
  <si>
    <t>Vehiculo WELLY Mini Copper 1300 Blanco Crema xu.</t>
  </si>
  <si>
    <t>Vehiculo WELLY OldsMobile 442 Celeste xu.</t>
  </si>
  <si>
    <t>Vehiculo WELLY Peugeot 504 1975 Celeste xu.</t>
  </si>
  <si>
    <t>Vehiculo WELLY Porsche 911 GT3 RS Blanco xu.</t>
  </si>
  <si>
    <t>Vehiculo WELLY Volkswagen Beetle Rojo xu.</t>
  </si>
  <si>
    <t>Vehiculo WELLY Volkswagen Bus T2 Naranja xu.</t>
  </si>
  <si>
    <t>Vehiculo Blocky Bomberos 2 xu.</t>
  </si>
  <si>
    <t>Vehiculo DURAVIT Ambulancia Mini xu.</t>
  </si>
  <si>
    <t>Vehiculo DURAVIT F1 Mini xu.</t>
  </si>
  <si>
    <t>Vehiculo DURAVIT Barco Flotador xu.</t>
  </si>
  <si>
    <t>Vehiculo DURAVIT Bombero xu.</t>
  </si>
  <si>
    <t>Vehiculo DURAVIT Camion Mini Frontal xu.</t>
  </si>
  <si>
    <t>Vehiculo DURAVIT Camion Retro Mini xu.</t>
  </si>
  <si>
    <t>Vehiculo DURAVIT Camión Volcador</t>
  </si>
  <si>
    <t>Vehiculo DURAVIT Cochecito De Paseo xu.</t>
  </si>
  <si>
    <t>Vehiculo DURAVIT Escarabajo xu.</t>
  </si>
  <si>
    <t>Vehiculo DURAVIT Mini Bombero</t>
  </si>
  <si>
    <t>Vehiculo DURAVIT Mini Camion Retro Infantil</t>
  </si>
  <si>
    <t>vehiculo DURAVIT SUV Mini Infantil xu.</t>
  </si>
  <si>
    <t>Vehiculo DURAVIT Trailer Fantasy Retro xu.</t>
  </si>
  <si>
    <t>Vehiculo DURAVIT Trailer Retro xu.</t>
  </si>
  <si>
    <t>Vehiculo EMCO Pocket Morphers Transformable xu.</t>
  </si>
  <si>
    <t>Vehiculo HOT WHEELS xu.</t>
  </si>
  <si>
    <t>Vehiculo RUEDA LIBRE Camion Recolector xu.</t>
  </si>
  <si>
    <t>Vehiculo RUEDA LIBRE Camion Volcador xu.</t>
  </si>
  <si>
    <t>Vehiculos Bloques De Policia x150pzs. xu.</t>
  </si>
  <si>
    <t xml:space="preserve">JUEGOS DE MESA </t>
  </si>
  <si>
    <t>Carpeta OFICIO 3 Solapas Dino xu.</t>
  </si>
  <si>
    <t>Fabrica de Rompecabezas UNIESCO Monsters xu.</t>
  </si>
  <si>
    <t>Juego De Cartas BONTUS Arma Palabras xu.</t>
  </si>
  <si>
    <t>Juego De Cartas BONTUS Verdad o Consecuencia xu.</t>
  </si>
  <si>
    <t>Juego de Cartas MATTEL Dos xu.</t>
  </si>
  <si>
    <t>Juego De Cartas RUIBAL Napies y Fichas Con Estcuhe xu.</t>
  </si>
  <si>
    <t>Juego de Mesa RUIBAL Uno xu.</t>
  </si>
  <si>
    <t>Juego De Mesa Bingo Lotto xu.</t>
  </si>
  <si>
    <t>Juego De Mesa 707 GAMES Decifra El Codigo xu.</t>
  </si>
  <si>
    <t>Juego De Mesa Mini Basket xu.</t>
  </si>
  <si>
    <t>Juego De Mesa Mini Futbol xu.</t>
  </si>
  <si>
    <t>Juego de Mesa RUIBAL Glu Glu Primero Cubos xu.</t>
  </si>
  <si>
    <t>Juego de Mesa RUIBAL Royal Ludo xu.</t>
  </si>
  <si>
    <t>Juego DON RASTRILLO Domino xu.</t>
  </si>
  <si>
    <t>Juego Jenga ARTOYS x54pzs xu.</t>
  </si>
  <si>
    <t>Juego Palitos Chinos Cobras de Shangai xu.</t>
  </si>
  <si>
    <t>Metegol A Todo Gol xu.</t>
  </si>
  <si>
    <t>Rompecabezas UNIESCO Acuario x240pzs.</t>
  </si>
  <si>
    <t>Rompecabezas ARTBOX x100pzs. xu.</t>
  </si>
  <si>
    <t>Rompecabezas Circular UNIESCO Abecedario xu.</t>
  </si>
  <si>
    <t>Rompecabezas Circular UNIESCO Argentina xu.</t>
  </si>
  <si>
    <t>Rompecabezas Circular UNIESCO Fantasy xu.</t>
  </si>
  <si>
    <t>Rompecabezas Circular UNIESCO Safari xu.</t>
  </si>
  <si>
    <t>Rompecabezas UNIESCO City x240pzs.</t>
  </si>
  <si>
    <t>Rompecabezas UNIESCO Dino x240pzs.</t>
  </si>
  <si>
    <t>Rompecabezas UNIESCO Globos x240pzs.</t>
  </si>
  <si>
    <t>Rompecabezas UNIESCO Mundo x240pzs.</t>
  </si>
  <si>
    <t>Rompecabezas UNIESCO Piratas x48pzs.</t>
  </si>
  <si>
    <t>Rompecabezas UNIESCO Plaza x48pzs.</t>
  </si>
  <si>
    <t xml:space="preserve">MASAS Y CONSTRUCCIÓN </t>
  </si>
  <si>
    <t>BLOCKY Doy Pack x100pzs. Basicas</t>
  </si>
  <si>
    <t>DURAVIT Balde + Accesorios xu.</t>
  </si>
  <si>
    <t>DURAVIT Balde Bloques x29pzs.</t>
  </si>
  <si>
    <t>DURAVIT Balde + Accesorios Canasta xu.</t>
  </si>
  <si>
    <t>DURAVIT Baldecitos Didácticos xu.</t>
  </si>
  <si>
    <t>DURAVIT De Memoria Primera Infancia x50pzs.</t>
  </si>
  <si>
    <t>DURAVIT Moldes Playa + Pala xu.</t>
  </si>
  <si>
    <t>DURAVIT Moledes Playa 2 xu.</t>
  </si>
  <si>
    <t>DURAVIT Moldes Playa xu.</t>
  </si>
  <si>
    <t>DURAVIT Set De Herramientas xu.</t>
  </si>
  <si>
    <t>DURAVIT Valija Mini Blocks x29pzs.</t>
  </si>
  <si>
    <t>Juego ANTEX Abrick Bolson x40pzs. xu.</t>
  </si>
  <si>
    <t>Juego ANTEX Abrick Bolson x70pzs. xu.</t>
  </si>
  <si>
    <t>Juego Pelota Boing Ball xu.</t>
  </si>
  <si>
    <t>Juego SUMMER FUN Tenis Playero</t>
  </si>
  <si>
    <t>Masa SUPER DOUGH Estuche x4u.</t>
  </si>
  <si>
    <t>Vehiculo Armable GUN STRIKE Bloques Cuatricilo xu.</t>
  </si>
  <si>
    <t>Vehiculos Armable Ladrillos Patrulla xu.</t>
  </si>
  <si>
    <t xml:space="preserve">NIÑOS </t>
  </si>
  <si>
    <t>Cochecito de Bebe Para Muñecas xu.</t>
  </si>
  <si>
    <t>Cupcakes HASCHEL TOYS Princesas Perfumadas xu.</t>
  </si>
  <si>
    <t>Esfera ZURU 5 Surprise Nene xu.</t>
  </si>
  <si>
    <t>Juego DURAVIT Bowling xu.</t>
  </si>
  <si>
    <t>Juego DURAVIT Te Mi Cocina x25pzs. xu.</t>
  </si>
  <si>
    <t>Juego DURAVIT Te Mi Cocina x26pzs. xu.</t>
  </si>
  <si>
    <t>Juego Varita Magica xu.</t>
  </si>
  <si>
    <t>Kit De Doctor xu.</t>
  </si>
  <si>
    <t>Kit Diseña Tus Brazaletes xu.</t>
  </si>
  <si>
    <t>Mini Cupcakes Ositos Perfumados xu.</t>
  </si>
  <si>
    <t>Muñeca Cupcakes Bears xu.</t>
  </si>
  <si>
    <t>Muñeca De Peluche 10'' Color Rosa Claro xu.</t>
  </si>
  <si>
    <t>Muñeca Flower Surprise xu.</t>
  </si>
  <si>
    <t>Muñeca Lol Opp xu.</t>
  </si>
  <si>
    <t>Muñeco Lost Kitties Blin Box xu.</t>
  </si>
  <si>
    <t>Muñecos FLEXFORCE Luchadores xu.</t>
  </si>
  <si>
    <t>Peluche MY LITTLE PONY de Mar xu.</t>
  </si>
  <si>
    <t>Peluche Coleccionable Foodie Roos Mini xu.</t>
  </si>
  <si>
    <t>Peluche SOUL DISNEY xu.</t>
  </si>
  <si>
    <t>Pizarra Magica DRAWING BOARD Ovalada Chica xu.</t>
  </si>
  <si>
    <t>Pizarra Magica DRAWING BOARD Mediana Color xu.</t>
  </si>
  <si>
    <t>Pote Sorpresa Pop A Toys xu.</t>
  </si>
  <si>
    <t>Revolver ASSAULT Grande Con Sonido xu.</t>
  </si>
  <si>
    <t>Set DURAVIT Carrito De Supermercado xu.</t>
  </si>
  <si>
    <t>Set DURAVIT Gira Bola xu.</t>
  </si>
  <si>
    <t>Set DURAVIT Mi Cocina con Frutas y Verduras xu.</t>
  </si>
  <si>
    <t>Set DURAVIT Mi Cocina x33pzs. xu.</t>
  </si>
  <si>
    <t>Set para Armar Bijou xu.</t>
  </si>
  <si>
    <t>Mascota SILLY SQUEAKS Boogie xu.</t>
  </si>
  <si>
    <t>Mascota SILLY SQUEAKS Flops xu.</t>
  </si>
  <si>
    <t>Mascota SILLY SQUEAKS Poof xu.</t>
  </si>
  <si>
    <t>Mascota SILLY SQUEAKS Slurps xu.</t>
  </si>
  <si>
    <t>Mascota SILLY SQUEAKS Tippy xu.</t>
  </si>
  <si>
    <t>Mascota SILLY SQUEAKS Tisker xu.</t>
  </si>
  <si>
    <t>Mascota SILLY SQUEAKS Tubbers xu.</t>
  </si>
  <si>
    <t>Slime XTREME GLITTERZ xu.</t>
  </si>
  <si>
    <t>TANGLE 104F CLASSICxu.(25-100)</t>
  </si>
  <si>
    <t>Yoyo Ojo De Zoombie xu.</t>
  </si>
  <si>
    <t xml:space="preserve">AIRE LIBRE </t>
  </si>
  <si>
    <t>Antiparras BESTWAY 3 Colores xu.</t>
  </si>
  <si>
    <t>Barco A Friccion 21x17x7cm. xu.</t>
  </si>
  <si>
    <t>Lanzador De Agua SPLASH WATER Pump x40cm.</t>
  </si>
  <si>
    <t>Chaleco Salvavidas Inflable 46x42cm. xu.</t>
  </si>
  <si>
    <t>Colchoneta Inlfable BESTWAY 183x69cm xu.</t>
  </si>
  <si>
    <t>Disco Volador 10'' xu.</t>
  </si>
  <si>
    <t>Disco Volador 6'' xu.</t>
  </si>
  <si>
    <t>Inflable WHAN Limon xu.</t>
  </si>
  <si>
    <t>Iflable WHAN Sandia xu.</t>
  </si>
  <si>
    <t>Inflables BESTWAY Bracitos Delfines xu.</t>
  </si>
  <si>
    <t>Inflables BEASTWAY Bracitos xu.</t>
  </si>
  <si>
    <t>Juego DURAVIT Balde con Molinete xu.</t>
  </si>
  <si>
    <t>Juego Lanza Pelota xu.</t>
  </si>
  <si>
    <t>Lanzador De Agua 25 x 5 cm.</t>
  </si>
  <si>
    <t>Lanzador De Agua boca Juniors xu.</t>
  </si>
  <si>
    <t>Lanzador De Agua RIVER PLATE xu.</t>
  </si>
  <si>
    <t>Lanzador Helicoptero Policia xu.</t>
  </si>
  <si>
    <t>Pelota de Playa BEASTWAY xu.</t>
  </si>
  <si>
    <t>Pistola de Agua Max Power xu.</t>
  </si>
  <si>
    <t>Pistola de Agua WATER GUN Chica xu.</t>
  </si>
  <si>
    <t>Pistola Lanzadora de Autos xu.</t>
  </si>
  <si>
    <t>Pistola WATER PUMP Lanza Agua x31cm xu.</t>
  </si>
  <si>
    <t>Regadera DURAVIT xu.</t>
  </si>
  <si>
    <t>Salvavidas WHAN Dona Chocolate xu.</t>
  </si>
  <si>
    <t>Set Balde con Pala y Rastrillo xu.</t>
  </si>
  <si>
    <t>Set DURAVIT Balde x4pzs. xu.</t>
  </si>
  <si>
    <t>Set DURAVIT Balde + Accesorios con Tapa xu.</t>
  </si>
  <si>
    <t>Set DURAVIT Balde + Accesorios xu.</t>
  </si>
  <si>
    <t>Set DURAVIT Balde + Accesorios x7pzs. xu.</t>
  </si>
  <si>
    <t xml:space="preserve">INFANTILES </t>
  </si>
  <si>
    <t>ANTEX Oso Polo xu.</t>
  </si>
  <si>
    <t>Aro de Basquet BESTWAY xu.</t>
  </si>
  <si>
    <t>Bey Blade Micro HASBRO xu.</t>
  </si>
  <si>
    <t>BIMBI Apilable xu.</t>
  </si>
  <si>
    <t>Bimbi Estimulacion Temprana xu.</t>
  </si>
  <si>
    <t>BIMBI Tren Didactico xu.</t>
  </si>
  <si>
    <t>Bolsa BATH TIME 4 Pelotas Surtidas Chicas .(Futból,Basquet,Rugby,Tenis)</t>
  </si>
  <si>
    <t>BONTUS Arma Oraciones xu.</t>
  </si>
  <si>
    <t>Caja de Herramientas xu.</t>
  </si>
  <si>
    <t>Camion RIVA TRUCK Calesita xu.</t>
  </si>
  <si>
    <t>Cinturon de Herramientas xu.</t>
  </si>
  <si>
    <t>DURAVIT Bolso Balde Mediano Completo xu.</t>
  </si>
  <si>
    <t>DURAVIT Puzzle Bombero x25pzs.</t>
  </si>
  <si>
    <t>DURAVIT Puzzle Arca De Noe x25pzs.</t>
  </si>
  <si>
    <t>DURAVIT Set De Golf xu.</t>
  </si>
  <si>
    <t>DURAVIT Set Didáctico xu.</t>
  </si>
  <si>
    <t>DURAVIT Vagón Primeras Formas xu.</t>
  </si>
  <si>
    <t>Fast Food Hamburguesa xu.</t>
  </si>
  <si>
    <t>Hydro Force xu.</t>
  </si>
  <si>
    <t>Juego Bimbi Disney Mickey Apilable x10pzs. xu.</t>
  </si>
  <si>
    <t>Juego De Baño KAICHI Pez Nadador xu.</t>
  </si>
  <si>
    <t>Juego De Baño KAICHI Rana Nadadora xu.</t>
  </si>
  <si>
    <t>Juego de Mate Calesita con Bandeja xu.</t>
  </si>
  <si>
    <t>Juego DURAVIT Primeras Formas xu.</t>
  </si>
  <si>
    <t>Juego DURAVIT Primeros Numeros x11pzs. xu</t>
  </si>
  <si>
    <t>Juego Xilofon Chico xu.</t>
  </si>
  <si>
    <t>Kit CHARM U + Pulseras Dijes xu.</t>
  </si>
  <si>
    <t>Kit Mediano Herramientas Calesita xu.</t>
  </si>
  <si>
    <t>Lavadero de Autos Car Wash xu.</t>
  </si>
  <si>
    <t>Libro de Aprendizaje HAP-P-KID xu.</t>
  </si>
  <si>
    <t>Llave Parlante HAP-P-KID xu.</t>
  </si>
  <si>
    <t>MACHINES STUDIO Mini Micro xu.</t>
  </si>
  <si>
    <t>Mini Basquet De Mesa xu.</t>
  </si>
  <si>
    <t>Muñeca EVI Pony xu.</t>
  </si>
  <si>
    <t>Muñeca Little Corner xu.</t>
  </si>
  <si>
    <t>Muñeco Monstruo CREEPZEEZ Surtido xu.</t>
  </si>
  <si>
    <t>My Precious Pet xu.</t>
  </si>
  <si>
    <t>Peces Nadadores Buscando a Dory xu.</t>
  </si>
  <si>
    <t>Pelota de Futbol Nº5 Champion Pro xu.</t>
  </si>
  <si>
    <t>Pelota de Futbol Nº5 Copa xu.</t>
  </si>
  <si>
    <t>Pelota de Futbol Nº5 Replay xu.</t>
  </si>
  <si>
    <t>Pelota De Goma Chica Con Sonido xu.</t>
  </si>
  <si>
    <t>Pelota De Goma Grande Con Sonido xu.</t>
  </si>
  <si>
    <t>Pianito Elefante para Bebe con Luz y Sonido xu.</t>
  </si>
  <si>
    <t>Pista VINTAGE TRAIN con Luz y Sonido x13pzs. xu.</t>
  </si>
  <si>
    <t>Pistola Lanza Discos xu.</t>
  </si>
  <si>
    <t>Pistola SPINNING TOP Lanza Discos xu.</t>
  </si>
  <si>
    <t>POWER SLIME Maxi Fluo xu.</t>
  </si>
  <si>
    <t>POWER SLIME Super Muelas xu.</t>
  </si>
  <si>
    <t>Robot POCKET TITANS Coleccionable xu.</t>
  </si>
  <si>
    <t>Set BLOCKY Fantasia 1 x105pzs. xu.</t>
  </si>
  <si>
    <t>Set BLOCKY Futbol 1 x95pzs. xu.</t>
  </si>
  <si>
    <t>Set BLOCKY Super Policias x70pzs. xu.</t>
  </si>
  <si>
    <t>Set Corona De Princesa 2 xu.</t>
  </si>
  <si>
    <t>Set Corona De Princesa xu.</t>
  </si>
  <si>
    <t>Set De Animales En Blister x8u.</t>
  </si>
  <si>
    <t>Set De Doctora xu.</t>
  </si>
  <si>
    <t>Set De Policía Mini xu.</t>
  </si>
  <si>
    <t>Set Maquillaje Infantil Unicornio Pastel con Glitter xu.</t>
  </si>
  <si>
    <t>Set Mi Primer Taller Valija xu.</t>
  </si>
  <si>
    <t>Set RASTI Autos y Camiones x50pzs. xu.</t>
  </si>
  <si>
    <t>Squishy Ball Pro xu.</t>
  </si>
  <si>
    <t>Super Arco Lanza Dardos xu.</t>
  </si>
  <si>
    <t>Antiparras SUPER COOL xu.</t>
  </si>
  <si>
    <t>Super Dough Fun Pack 4</t>
  </si>
  <si>
    <t>Super POWER SLIME Sorpresa Y Aroma x220g.</t>
  </si>
  <si>
    <t>Telefono Parlante HAP-P-KID xu.</t>
  </si>
  <si>
    <t>Vaca Didactica C/Luz y Sonido</t>
  </si>
  <si>
    <t>Vehiculo Cocodrilo Junior Con Encastre xu.</t>
  </si>
  <si>
    <t>Vehiculo DURAVIT Mini Camion con Auto xu.</t>
  </si>
  <si>
    <t>Vehiculo WEEBLES con Figuras xu.</t>
  </si>
  <si>
    <t>Zapatitos De Princesa xu.</t>
  </si>
  <si>
    <t>Codigo</t>
  </si>
  <si>
    <t>SKU</t>
  </si>
  <si>
    <t>PLU</t>
  </si>
  <si>
    <t>Descripcion</t>
  </si>
  <si>
    <t>Costo</t>
  </si>
  <si>
    <t>IVA</t>
  </si>
  <si>
    <t>Util</t>
  </si>
  <si>
    <t>Precio</t>
  </si>
  <si>
    <t>Precio2</t>
  </si>
  <si>
    <t>Proveedor</t>
  </si>
  <si>
    <t>Rubro</t>
  </si>
  <si>
    <t>Categoria</t>
  </si>
  <si>
    <t>Marca</t>
  </si>
  <si>
    <t>Stock</t>
  </si>
  <si>
    <t>CantidadEti</t>
  </si>
  <si>
    <t>ControlStk</t>
  </si>
  <si>
    <t>Bulto</t>
  </si>
  <si>
    <t>Minimo</t>
  </si>
  <si>
    <t>Maximo</t>
  </si>
  <si>
    <t>NO</t>
  </si>
  <si>
    <t>P</t>
  </si>
  <si>
    <t>S/MARCA</t>
  </si>
  <si>
    <t>Unidad</t>
  </si>
  <si>
    <t>SI</t>
  </si>
  <si>
    <t>1002</t>
  </si>
  <si>
    <t>PEBETE</t>
  </si>
  <si>
    <t>1001</t>
  </si>
  <si>
    <t>1012</t>
  </si>
  <si>
    <t>TEQUEÑOS FRITOS X 12</t>
  </si>
  <si>
    <t>1004</t>
  </si>
  <si>
    <t>TEQUEÑOS FRITOS X 4</t>
  </si>
  <si>
    <t>1006</t>
  </si>
  <si>
    <t>TEQUEÑOS FRITOS X 6</t>
  </si>
  <si>
    <t>CHIP CELULAR</t>
  </si>
  <si>
    <t>CUCHARITA SUNDAE BLANCA</t>
  </si>
  <si>
    <t>INSUMOS</t>
  </si>
  <si>
    <t>VASO PLASTICO 180 ML</t>
  </si>
  <si>
    <t>SORBETE</t>
  </si>
  <si>
    <t>5001</t>
  </si>
  <si>
    <t>QUESO BLANCO DURO</t>
  </si>
  <si>
    <t>Kg</t>
  </si>
  <si>
    <t>5002</t>
  </si>
  <si>
    <t>QUESO LLANERO SEMIDURO</t>
  </si>
  <si>
    <t>5003</t>
  </si>
  <si>
    <t>QUESO DE MANO EMPACADO</t>
  </si>
  <si>
    <t>5004</t>
  </si>
  <si>
    <t>SUERO DE LECHE 250 ML</t>
  </si>
  <si>
    <t>LA CAROREÑA</t>
  </si>
  <si>
    <t>5005</t>
  </si>
  <si>
    <t>QUESO DE AÑO PATERO</t>
  </si>
  <si>
    <t>EL TOVAREÑO</t>
  </si>
  <si>
    <t>7791620187471</t>
  </si>
  <si>
    <t>MARGARINA DANICA DORADA 250 GR</t>
  </si>
  <si>
    <t>DANICA</t>
  </si>
  <si>
    <t>739907000010</t>
  </si>
  <si>
    <t>HARINA DE MAIZ AREPAS PAN BLANCA 1 KG</t>
  </si>
  <si>
    <t>PAN</t>
  </si>
  <si>
    <t>7790199603368</t>
  </si>
  <si>
    <t>HARINA DE MAIZ MORIXE AREPAS 1 KG</t>
  </si>
  <si>
    <t>MORIXE</t>
  </si>
  <si>
    <t>7790580133955</t>
  </si>
  <si>
    <t>HARINA DE MAIZ AREPAS PRESTO PRONTA 1K</t>
  </si>
  <si>
    <t>PRESTO PRONTA</t>
  </si>
  <si>
    <t>7790890100852</t>
  </si>
  <si>
    <t>HARINA DE MAIZ AREPAS COSACO 1 KG</t>
  </si>
  <si>
    <t>COSACO</t>
  </si>
  <si>
    <t>1632021115501</t>
  </si>
  <si>
    <t>MEZCLA CACHAPAS CASTILLOS DEL SUR 500 GR</t>
  </si>
  <si>
    <t>CASTILLOS</t>
  </si>
  <si>
    <t>5043</t>
  </si>
  <si>
    <t>PAN ARABE</t>
  </si>
  <si>
    <t>5032</t>
  </si>
  <si>
    <t>DIABLITOS</t>
  </si>
  <si>
    <t>5026</t>
  </si>
  <si>
    <t>CHEEZ WHIX GRANDE</t>
  </si>
  <si>
    <t>CHEEZ WIX</t>
  </si>
  <si>
    <t>5027</t>
  </si>
  <si>
    <t>CHEEZ WHIX PEQUEÑO</t>
  </si>
  <si>
    <t>5006</t>
  </si>
  <si>
    <t>CHULETA DE CERDO AHUMADA</t>
  </si>
  <si>
    <t>5007</t>
  </si>
  <si>
    <t>RECORTES AHUMADOS</t>
  </si>
  <si>
    <t>TEQUEÑOS CONGELADOS QUESO X 12</t>
  </si>
  <si>
    <t>5041</t>
  </si>
  <si>
    <t>CACHAPAS EL INDIO</t>
  </si>
  <si>
    <t>EL INDIO</t>
  </si>
  <si>
    <t>5009</t>
  </si>
  <si>
    <t>PLATANOS</t>
  </si>
  <si>
    <t>5091</t>
  </si>
  <si>
    <t>POROTOS COLORADOS 500 GR</t>
  </si>
  <si>
    <t>DON ELIO</t>
  </si>
  <si>
    <t>5092</t>
  </si>
  <si>
    <t>5093</t>
  </si>
  <si>
    <t>POROTOS NEGROS 500 GR</t>
  </si>
  <si>
    <t>5094</t>
  </si>
  <si>
    <t>LENTEJAS 500 GR</t>
  </si>
  <si>
    <t>7798048720907</t>
  </si>
  <si>
    <t>MAIZ PISINGALLO 500 GR</t>
  </si>
  <si>
    <t>7798347670026</t>
  </si>
  <si>
    <t>PET 1.5 L RE-KOLITA</t>
  </si>
  <si>
    <t>RE-KO</t>
  </si>
  <si>
    <t>7798347670132</t>
  </si>
  <si>
    <t>PET 1.5 L RE-KOPIÑA</t>
  </si>
  <si>
    <t>7798347670019</t>
  </si>
  <si>
    <t>PET 500 ML RE-KOLITA</t>
  </si>
  <si>
    <t>7798347670033</t>
  </si>
  <si>
    <t>PET 500 ML RE-KOPIÑA</t>
  </si>
  <si>
    <t>7798347670057</t>
  </si>
  <si>
    <t>PET 500 ML RE-KOUVA</t>
  </si>
  <si>
    <t>7798344600170</t>
  </si>
  <si>
    <t>LATA 473 ML MALTA +58 CCS</t>
  </si>
  <si>
    <t>58 CCS</t>
  </si>
  <si>
    <t>7798344600194</t>
  </si>
  <si>
    <t>LATA 473 ML MALTA +58 CCS S/A</t>
  </si>
  <si>
    <t>5036</t>
  </si>
  <si>
    <t>FRESH TEA DURAZNO 500 ML</t>
  </si>
  <si>
    <t>FRESH TEA</t>
  </si>
  <si>
    <t>5037</t>
  </si>
  <si>
    <t>FRESH TEA LIMON 500 ML</t>
  </si>
  <si>
    <t>5034</t>
  </si>
  <si>
    <t>BREEZE TEA</t>
  </si>
  <si>
    <t>5035</t>
  </si>
  <si>
    <t>77982228</t>
  </si>
  <si>
    <t>FORORO MONAY 400 GR</t>
  </si>
  <si>
    <t>MONAY</t>
  </si>
  <si>
    <t>5010</t>
  </si>
  <si>
    <t>PAPELON PANELA 500 GR</t>
  </si>
  <si>
    <t>CALEÑA</t>
  </si>
  <si>
    <t>5011</t>
  </si>
  <si>
    <t>PAPELON RALLADO 500 GR</t>
  </si>
  <si>
    <t>5022</t>
  </si>
  <si>
    <t>ADOBO AHUMADO LA SAZON 180 GR</t>
  </si>
  <si>
    <t>LA SAZON</t>
  </si>
  <si>
    <t>5023</t>
  </si>
  <si>
    <t>ADOBO LA SAZON 180 GR</t>
  </si>
  <si>
    <t>7796373002712</t>
  </si>
  <si>
    <t>SALSA DE SOJA</t>
  </si>
  <si>
    <t>LA PARMESANA</t>
  </si>
  <si>
    <t>7796373002941</t>
  </si>
  <si>
    <t>SALSA INGLESA</t>
  </si>
  <si>
    <t>7796373003184</t>
  </si>
  <si>
    <t>SALSA DE AJO</t>
  </si>
  <si>
    <t>5033</t>
  </si>
  <si>
    <t>PICANTE A LO VENEZOLANO</t>
  </si>
  <si>
    <t>A LO VENEZOLANO</t>
  </si>
  <si>
    <t>78894001288</t>
  </si>
  <si>
    <t>CATALINAS TODO CASERO</t>
  </si>
  <si>
    <t>TODO CASERO</t>
  </si>
  <si>
    <t>5014</t>
  </si>
  <si>
    <t>CHICHARRON NATURAL</t>
  </si>
  <si>
    <t>PORKITOS</t>
  </si>
  <si>
    <t>5015</t>
  </si>
  <si>
    <t>CHICHARRON PICANTE</t>
  </si>
  <si>
    <t>5042</t>
  </si>
  <si>
    <t>DULCE DE TAMARINDO</t>
  </si>
  <si>
    <t>5044</t>
  </si>
  <si>
    <t>TOSTONCITOS</t>
  </si>
  <si>
    <t>5038</t>
  </si>
  <si>
    <t>CASABE</t>
  </si>
  <si>
    <t>ÑA NERIS</t>
  </si>
  <si>
    <t>5024</t>
  </si>
  <si>
    <t>BOCADILLO DE GUAYABA ARTESANAL</t>
  </si>
  <si>
    <t>7702011110800</t>
  </si>
  <si>
    <t>CHUPETIN BON BON BUM</t>
  </si>
  <si>
    <t>BON BON BUM</t>
  </si>
  <si>
    <t>5012</t>
  </si>
  <si>
    <t>NUCITA BICOLOR 10 GR</t>
  </si>
  <si>
    <t>NUCITA</t>
  </si>
  <si>
    <t>5028</t>
  </si>
  <si>
    <t>DOÑA AREPA BUDARE 30 CM</t>
  </si>
  <si>
    <t>DOÑA AREPA</t>
  </si>
  <si>
    <t>5029</t>
  </si>
  <si>
    <t>DOÑA AREPA BUDARE 34 CM</t>
  </si>
  <si>
    <t>5030</t>
  </si>
  <si>
    <t xml:space="preserve">DOÑA AREPA PATACONERA </t>
  </si>
  <si>
    <t>5031</t>
  </si>
  <si>
    <t xml:space="preserve">DOÑA AREPA QUESILLERA </t>
  </si>
  <si>
    <t>5016</t>
  </si>
  <si>
    <t>EL LLANERITO</t>
  </si>
  <si>
    <t>5039</t>
  </si>
  <si>
    <t>HOJAS DE PLATANO HALLACAS 1 KG</t>
  </si>
  <si>
    <t>5040</t>
  </si>
  <si>
    <t>HOJAS DE PLATANO HALLACAS 1/2 KG</t>
  </si>
  <si>
    <t>5008</t>
  </si>
  <si>
    <t>ONOTO GRANEL</t>
  </si>
  <si>
    <t>5025</t>
  </si>
  <si>
    <t>HILO PABILO ROLLO</t>
  </si>
  <si>
    <t>7791351131194</t>
  </si>
  <si>
    <t>AZAFRAN EL CONQUISTADOR</t>
  </si>
  <si>
    <t>EL CONQUISTADOR</t>
  </si>
  <si>
    <t>7791675908922</t>
  </si>
  <si>
    <t>CASTELL</t>
  </si>
  <si>
    <t>5045</t>
  </si>
  <si>
    <t>DELICIAS RIOJANAS</t>
  </si>
  <si>
    <t>5046</t>
  </si>
  <si>
    <t>ACEITUNAS VERDES RELLENAS MORRON</t>
  </si>
  <si>
    <t>5047</t>
  </si>
  <si>
    <t>ACEITUNAS VERDES SIN CAROZO</t>
  </si>
  <si>
    <t>7795236000049</t>
  </si>
  <si>
    <t>ANCHOAS EN ACEITE</t>
  </si>
  <si>
    <t>MARASCHI</t>
  </si>
  <si>
    <t>5048</t>
  </si>
  <si>
    <t>UVAS PASAS</t>
  </si>
  <si>
    <t>7898024395232</t>
  </si>
  <si>
    <t>NUTELLA 140 GR</t>
  </si>
  <si>
    <t>FERRERO</t>
  </si>
  <si>
    <t>7790070418289</t>
  </si>
  <si>
    <t>ALFAJOR CHOCOARROZ BLANCO 22 GR</t>
  </si>
  <si>
    <t>7899975800820</t>
  </si>
  <si>
    <t>31010845</t>
  </si>
  <si>
    <t>OREO SANDWICH</t>
  </si>
  <si>
    <t>FRIGOR</t>
  </si>
  <si>
    <t>7899975800509</t>
  </si>
  <si>
    <t>31023912</t>
  </si>
  <si>
    <t>OREO SANDWICH OCTOGONOS</t>
  </si>
  <si>
    <t>7613035242746</t>
  </si>
  <si>
    <t>31005481</t>
  </si>
  <si>
    <t>EPA CRUNCHY</t>
  </si>
  <si>
    <t>7613035242524</t>
  </si>
  <si>
    <t>31005480</t>
  </si>
  <si>
    <t>EPA DDL MAX</t>
  </si>
  <si>
    <t>7613035242500</t>
  </si>
  <si>
    <t>31005479</t>
  </si>
  <si>
    <t>EPA ROCKER</t>
  </si>
  <si>
    <t>7798304841506</t>
  </si>
  <si>
    <t>31023420</t>
  </si>
  <si>
    <t>EPA RUBI</t>
  </si>
  <si>
    <t>7899975801964</t>
  </si>
  <si>
    <t>31011003</t>
  </si>
  <si>
    <t>KIT KAT</t>
  </si>
  <si>
    <t>7798304841544</t>
  </si>
  <si>
    <t>31022761</t>
  </si>
  <si>
    <t>MILKA STICK</t>
  </si>
  <si>
    <t>7899975800790</t>
  </si>
  <si>
    <t>31010826</t>
  </si>
  <si>
    <t>MEGA ALMENDRA</t>
  </si>
  <si>
    <t>7899975802091</t>
  </si>
  <si>
    <t>31022327</t>
  </si>
  <si>
    <t>MEGA CHEESECAKE</t>
  </si>
  <si>
    <t>7891000100660</t>
  </si>
  <si>
    <t>31010827</t>
  </si>
  <si>
    <t>MEGA CLASICO</t>
  </si>
  <si>
    <t>7891000100622</t>
  </si>
  <si>
    <t>31019080</t>
  </si>
  <si>
    <t>MEGA TRUFA BLANCO</t>
  </si>
  <si>
    <t>7899975800813</t>
  </si>
  <si>
    <t>31010844</t>
  </si>
  <si>
    <t>OREO PALITO</t>
  </si>
  <si>
    <t>7798304841575</t>
  </si>
  <si>
    <t>31023324</t>
  </si>
  <si>
    <t>OREO TACITA</t>
  </si>
  <si>
    <t>7613035745414</t>
  </si>
  <si>
    <t>31005504</t>
  </si>
  <si>
    <t>LUXOR CONOAMERICANA</t>
  </si>
  <si>
    <t>7798304841476</t>
  </si>
  <si>
    <t>31023190</t>
  </si>
  <si>
    <t>SIN PARAR CHOCO-DDL</t>
  </si>
  <si>
    <t>7798304841469</t>
  </si>
  <si>
    <t>31023189</t>
  </si>
  <si>
    <t>SIN PARAR DDL-AMER</t>
  </si>
  <si>
    <t>7798304841483</t>
  </si>
  <si>
    <t>31023216</t>
  </si>
  <si>
    <t>SIN PARAR FRUT-AMER</t>
  </si>
  <si>
    <t>7798304841513</t>
  </si>
  <si>
    <t>31022718</t>
  </si>
  <si>
    <t>LA FRUTTA STICK ANANA</t>
  </si>
  <si>
    <t>7798304841520</t>
  </si>
  <si>
    <t>31022717</t>
  </si>
  <si>
    <t>LA FRUTTA STICK FRUTILLA</t>
  </si>
  <si>
    <t>7798304841599</t>
  </si>
  <si>
    <t>31024286</t>
  </si>
  <si>
    <t>LA FRUTTA STICK LIMONADA</t>
  </si>
  <si>
    <t>7798304840325</t>
  </si>
  <si>
    <t>31011717</t>
  </si>
  <si>
    <t>LUXOR BOMBON</t>
  </si>
  <si>
    <t>7798304840080</t>
  </si>
  <si>
    <t>31005639</t>
  </si>
  <si>
    <t>LUXOR DDL</t>
  </si>
  <si>
    <t>7798304841421</t>
  </si>
  <si>
    <t>31022480</t>
  </si>
  <si>
    <t>TORPEDO FRUTILLA</t>
  </si>
  <si>
    <t>7798304841414</t>
  </si>
  <si>
    <t>31022540</t>
  </si>
  <si>
    <t>TORPEDO LIMON</t>
  </si>
  <si>
    <t>7798304841438</t>
  </si>
  <si>
    <t>31022816</t>
  </si>
  <si>
    <t>TORPEDO SLIME</t>
  </si>
  <si>
    <t>7613034901088</t>
  </si>
  <si>
    <t>31005533</t>
  </si>
  <si>
    <t>FRIGOR BOMBON</t>
  </si>
  <si>
    <t>7798304841261</t>
  </si>
  <si>
    <t>31022135</t>
  </si>
  <si>
    <t>NESQUIK CHOCOLATE</t>
  </si>
  <si>
    <t>7613035725300</t>
  </si>
  <si>
    <t>31005502</t>
  </si>
  <si>
    <t>POPSY ESPACIAL</t>
  </si>
  <si>
    <t>7613034433978</t>
  </si>
  <si>
    <t>31005531</t>
  </si>
  <si>
    <t xml:space="preserve">POPSY TUTTI-NAR </t>
  </si>
  <si>
    <t>7798304840660</t>
  </si>
  <si>
    <t>31017326</t>
  </si>
  <si>
    <t>NOVELTY BOMBON AMERICANA</t>
  </si>
  <si>
    <t>7798304841216</t>
  </si>
  <si>
    <t>31020529</t>
  </si>
  <si>
    <t xml:space="preserve">NOVELTY BOMBON DULCE DE LECHE C/DDL </t>
  </si>
  <si>
    <t>7798304840042</t>
  </si>
  <si>
    <t>31005641</t>
  </si>
  <si>
    <t xml:space="preserve">FRIGOR ALMEND CRO </t>
  </si>
  <si>
    <t>7798304840837</t>
  </si>
  <si>
    <t>31017397</t>
  </si>
  <si>
    <t>NOVELTY ALMENDRADO</t>
  </si>
  <si>
    <t>7798304840899</t>
  </si>
  <si>
    <t>31017683</t>
  </si>
  <si>
    <t xml:space="preserve">NOVELTY CHOCO/DDL </t>
  </si>
  <si>
    <t>7798304840882</t>
  </si>
  <si>
    <t>31017682</t>
  </si>
  <si>
    <t xml:space="preserve">NOVELTY CREMA/DDL </t>
  </si>
  <si>
    <t>7613034790194</t>
  </si>
  <si>
    <t>31005473</t>
  </si>
  <si>
    <t>CHOMP ALMEDC/SSADDL</t>
  </si>
  <si>
    <t>7798304840868</t>
  </si>
  <si>
    <t>31017394</t>
  </si>
  <si>
    <t>CHOMP CHOCOLATE</t>
  </si>
  <si>
    <t>7613034790156</t>
  </si>
  <si>
    <t>31005471</t>
  </si>
  <si>
    <t>CHOMP DDLC/SSADDL</t>
  </si>
  <si>
    <t>7798304840851</t>
  </si>
  <si>
    <t>31017392</t>
  </si>
  <si>
    <t>CHOMP HEL DDL C/ DDL &amp; ALM FROZEN</t>
  </si>
  <si>
    <t>7798304841230</t>
  </si>
  <si>
    <t>31020526</t>
  </si>
  <si>
    <t>CHOMP HEL FRAMBUESA</t>
  </si>
  <si>
    <t>7798304840844</t>
  </si>
  <si>
    <t>31017396</t>
  </si>
  <si>
    <t>CHOMP HEL TOFFEE C/DDL FROZEN</t>
  </si>
  <si>
    <t>7613034789839</t>
  </si>
  <si>
    <t>31005472</t>
  </si>
  <si>
    <t xml:space="preserve">CHOMP TOFFEE </t>
  </si>
  <si>
    <t>77943446</t>
  </si>
  <si>
    <t>12250988</t>
  </si>
  <si>
    <t>BANANITA DOLCA 14 GR</t>
  </si>
  <si>
    <t>NESTLE</t>
  </si>
  <si>
    <t>77929235</t>
  </si>
  <si>
    <t>BANANITA DOLCA 30 GR</t>
  </si>
  <si>
    <t>7891008113952</t>
  </si>
  <si>
    <t>BOMBONES GAROTO 250 GR</t>
  </si>
  <si>
    <t>7613039352151</t>
  </si>
  <si>
    <t>BOMBONES NESTLE ESPECIALIDADES 251 GR</t>
  </si>
  <si>
    <t>7891000249239</t>
  </si>
  <si>
    <t>KIT KAT BLANCO</t>
  </si>
  <si>
    <t>7891000248829</t>
  </si>
  <si>
    <t>KIT KAT DARK</t>
  </si>
  <si>
    <t>7891000253984</t>
  </si>
  <si>
    <t>KIT KAT MINI</t>
  </si>
  <si>
    <t>7891000248799</t>
  </si>
  <si>
    <t>KIT KAT ORIGINAL</t>
  </si>
  <si>
    <t>7891000105504</t>
  </si>
  <si>
    <t>CALDO MAGGI  CARNE 2 X 9.5 GR</t>
  </si>
  <si>
    <t>MAGGI</t>
  </si>
  <si>
    <t>7891000345290</t>
  </si>
  <si>
    <t>CALDO MAGGI  GALLINA 2 X 9.5 GR</t>
  </si>
  <si>
    <t>7891000345245</t>
  </si>
  <si>
    <t>CALDO MAGGI  VERDURAS 2 X 9.5 GR</t>
  </si>
  <si>
    <t>7790490998231</t>
  </si>
  <si>
    <t>HT1231</t>
  </si>
  <si>
    <t>EDULCORANTE HILERET 250 ML CLASICO</t>
  </si>
  <si>
    <t>HILERET</t>
  </si>
  <si>
    <t>7790490998002</t>
  </si>
  <si>
    <t>HT7201</t>
  </si>
  <si>
    <t>EDULCORANTE HILERET 250 ML MATE</t>
  </si>
  <si>
    <t>8445290271013</t>
  </si>
  <si>
    <t>CAFE NESCAFE DOLCA 50 GR</t>
  </si>
  <si>
    <t>NESCAFE</t>
  </si>
  <si>
    <t>844529027101</t>
  </si>
  <si>
    <t>CAFE NESCAFE DOLCA 100 GR</t>
  </si>
  <si>
    <t>8445290256355</t>
  </si>
  <si>
    <t>12518016</t>
  </si>
  <si>
    <t>CAFE NESCAFE DOLCA CAPPUCCINO 125 GR</t>
  </si>
  <si>
    <t>8445290256317</t>
  </si>
  <si>
    <t>12518020</t>
  </si>
  <si>
    <t>CAFE NESCAFE DOLCA CHOCO MOCHA 125 GR</t>
  </si>
  <si>
    <t>8445290271099</t>
  </si>
  <si>
    <t>12518624</t>
  </si>
  <si>
    <t>CAFE NESCAFE BLACK ROAST DP 170 GR</t>
  </si>
  <si>
    <t>7891000350157</t>
  </si>
  <si>
    <t>12495975</t>
  </si>
  <si>
    <t>CAFE NESCAFE TRADICION 100% LATA</t>
  </si>
  <si>
    <t>NESQUICK</t>
  </si>
  <si>
    <t>8445290995476</t>
  </si>
  <si>
    <t>12571774</t>
  </si>
  <si>
    <t>CHOCOLATADA NESQUICK BANANITA</t>
  </si>
  <si>
    <t>8445290848956</t>
  </si>
  <si>
    <t>12561610</t>
  </si>
  <si>
    <t>CHOCOLATADA NESQUICK ORIGINAL</t>
  </si>
  <si>
    <t>7613287869982</t>
  </si>
  <si>
    <t>LECHE CONDENSADA NESTLE TETRA 395 GR</t>
  </si>
  <si>
    <t>7891000368626</t>
  </si>
  <si>
    <t>GALAK 80G</t>
  </si>
  <si>
    <t>7790040129764</t>
  </si>
  <si>
    <t>ALF MINI X 6 BON O BON</t>
  </si>
  <si>
    <t>BON O BON</t>
  </si>
  <si>
    <t>7790040141186</t>
  </si>
  <si>
    <t>ALF SIMPLE BAGLEY B</t>
  </si>
  <si>
    <t>BAGLEY</t>
  </si>
  <si>
    <t>7790040141179</t>
  </si>
  <si>
    <t>ALF SIMPLE BAGLEY N</t>
  </si>
  <si>
    <t>7790040613706</t>
  </si>
  <si>
    <t>7790040613607</t>
  </si>
  <si>
    <t>7790040484801</t>
  </si>
  <si>
    <t>ALF SIMPLE TOFI</t>
  </si>
  <si>
    <t>TOFI</t>
  </si>
  <si>
    <t>7790040953703</t>
  </si>
  <si>
    <t xml:space="preserve">ALF SIMPLE TOFI BLANCO </t>
  </si>
  <si>
    <t>7790040133570</t>
  </si>
  <si>
    <t xml:space="preserve">ALF TRIPLE AGUILA MINITORTA BLANCO </t>
  </si>
  <si>
    <t>AGUILA</t>
  </si>
  <si>
    <t>7790040133594</t>
  </si>
  <si>
    <t xml:space="preserve">ALF TRIPLE AGUILA MINITORTA BROWNIE </t>
  </si>
  <si>
    <t>7790040133587</t>
  </si>
  <si>
    <t xml:space="preserve">ALF TRIPLE AGUILA MINITORTA CLASICA </t>
  </si>
  <si>
    <t>7790040133600</t>
  </si>
  <si>
    <t xml:space="preserve">ALF TRIPLE AGUILA MINITORTA COCO </t>
  </si>
  <si>
    <t>7790040991910</t>
  </si>
  <si>
    <t>ALF TRIPLE BAGLEY 3.0 B</t>
  </si>
  <si>
    <t>7790040375000</t>
  </si>
  <si>
    <t>ALF TRIPLE BAGLEY 3.0 N</t>
  </si>
  <si>
    <t>7790040614000</t>
  </si>
  <si>
    <t>ALF TRIPLE BON O BON</t>
  </si>
  <si>
    <t>7790040659605</t>
  </si>
  <si>
    <t>ALF TRIPLE COFLER BLOCK</t>
  </si>
  <si>
    <t>BLOCK</t>
  </si>
  <si>
    <t>7790580134099</t>
  </si>
  <si>
    <t>BUTTER TOFFEES</t>
  </si>
  <si>
    <t>7790580141356</t>
  </si>
  <si>
    <t>CARAM DURO HALLOWEEN BLOODY MONSTER</t>
  </si>
  <si>
    <t>ARCOR</t>
  </si>
  <si>
    <t>7790580118273</t>
  </si>
  <si>
    <t>7790580178208</t>
  </si>
  <si>
    <t>7790580133528</t>
  </si>
  <si>
    <t>CARAMELERA EN CASA ARCOR</t>
  </si>
  <si>
    <t>7790580587307</t>
  </si>
  <si>
    <t>1005873</t>
  </si>
  <si>
    <t>FLICS FRUTA</t>
  </si>
  <si>
    <t>7790580587109</t>
  </si>
  <si>
    <t>1005871</t>
  </si>
  <si>
    <t>FLICS MENTA</t>
  </si>
  <si>
    <t>77916389</t>
  </si>
  <si>
    <t>TOPLINE 4 FRUTA</t>
  </si>
  <si>
    <t>TOPLINE</t>
  </si>
  <si>
    <t>77916426</t>
  </si>
  <si>
    <t>TOPLINE 4 MENTA</t>
  </si>
  <si>
    <t>77919489</t>
  </si>
  <si>
    <t>TOPLINE 4 SANDIA</t>
  </si>
  <si>
    <t>77916396</t>
  </si>
  <si>
    <t>TOPLINE 4 STRONG</t>
  </si>
  <si>
    <t>77939753</t>
  </si>
  <si>
    <t>TOPLINE SEVEN ATOMIC STRONG</t>
  </si>
  <si>
    <t>77983794</t>
  </si>
  <si>
    <t>TOPLINE SEVEN BUBBLE FUN</t>
  </si>
  <si>
    <t>77964137</t>
  </si>
  <si>
    <t>TOPLINE SEVEN FREEZING MENTHOL</t>
  </si>
  <si>
    <t>77932693</t>
  </si>
  <si>
    <t>TOPLINE SEVEN MANDARINA</t>
  </si>
  <si>
    <t>77951113</t>
  </si>
  <si>
    <t>TOPLINE SEVEN STRAWBERRY</t>
  </si>
  <si>
    <t>77931764</t>
  </si>
  <si>
    <t>TOPLINE SEVEN TURBO MINT</t>
  </si>
  <si>
    <t>7790580120573</t>
  </si>
  <si>
    <t>TOPLINE ULTRA CLEAN MINT</t>
  </si>
  <si>
    <t>7790580120702</t>
  </si>
  <si>
    <t>TOPLINE ULTRA GREEN MINT</t>
  </si>
  <si>
    <t>7790407031013</t>
  </si>
  <si>
    <t>AGUILA 100 GR TAZA</t>
  </si>
  <si>
    <t>77955821</t>
  </si>
  <si>
    <t>AGUILA 14 GR  60% CACAO</t>
  </si>
  <si>
    <t>77931528</t>
  </si>
  <si>
    <t>AGUILA 14 GR TAZA</t>
  </si>
  <si>
    <t>7790580129032</t>
  </si>
  <si>
    <t>AGUILA 150 GR 60% CACAO</t>
  </si>
  <si>
    <t>7790580124397</t>
  </si>
  <si>
    <t>AGUILA 150 GR 70% CACAO</t>
  </si>
  <si>
    <t>77977991</t>
  </si>
  <si>
    <t>ARCOR MILK 12 GR</t>
  </si>
  <si>
    <t>7790407022011</t>
  </si>
  <si>
    <t>BOCADITOS CABSHA</t>
  </si>
  <si>
    <t>CABSHA</t>
  </si>
  <si>
    <t>7790580219000</t>
  </si>
  <si>
    <t>BOCADITOS CABSHA REGALO X 18</t>
  </si>
  <si>
    <t>77961815</t>
  </si>
  <si>
    <t>BOMBONES BON O BON BLANCO UNI</t>
  </si>
  <si>
    <t>77958921</t>
  </si>
  <si>
    <t>BOMBONES BON O BON LECHE UNI</t>
  </si>
  <si>
    <t>7790580119126</t>
  </si>
  <si>
    <t>1011916</t>
  </si>
  <si>
    <t>BOMBONES BON O BON LECHE X 7</t>
  </si>
  <si>
    <t>7790580119164</t>
  </si>
  <si>
    <t>BOMBONES BON O BON SURTIDO PACK</t>
  </si>
  <si>
    <t>77971944</t>
  </si>
  <si>
    <t xml:space="preserve">BOMBONES COFLER BLOCK 16 GR </t>
  </si>
  <si>
    <t>7790580131371</t>
  </si>
  <si>
    <t>BOMBONES KIOSCO EN CASA PACK</t>
  </si>
  <si>
    <t>7790580131388</t>
  </si>
  <si>
    <t>BOMBONES SELECCION PACK</t>
  </si>
  <si>
    <t>COFLER</t>
  </si>
  <si>
    <t>cambiar</t>
  </si>
  <si>
    <t>7790580120092</t>
  </si>
  <si>
    <t xml:space="preserve">CHOCOLATIN ARCOR 25 GR 50% CACAO </t>
  </si>
  <si>
    <t>7790580607418</t>
  </si>
  <si>
    <t xml:space="preserve">CHOCOLATIN ARCOR 25 GR BLANCO </t>
  </si>
  <si>
    <t>7790580607210</t>
  </si>
  <si>
    <t xml:space="preserve">CHOCOLATIN ARCOR 25 GR CON LECHE </t>
  </si>
  <si>
    <t>7790580124960</t>
  </si>
  <si>
    <t xml:space="preserve">CHOCOLATIN ARCOR 25 GR LECHE MANI </t>
  </si>
  <si>
    <t>77958570</t>
  </si>
  <si>
    <t xml:space="preserve">CHOCOLATIN ARCOR 8 GR BLANCO </t>
  </si>
  <si>
    <t>77958563</t>
  </si>
  <si>
    <t>CHOCOLATIN ARCOR 8 GR LECHE</t>
  </si>
  <si>
    <t>7790580103378</t>
  </si>
  <si>
    <t>COFLER AIR 27 GR BLANCO</t>
  </si>
  <si>
    <t>7790580103361</t>
  </si>
  <si>
    <t>COFLER AIR 27 GR LECHE</t>
  </si>
  <si>
    <t>7790580103385</t>
  </si>
  <si>
    <t>COFLER AIR 27 GR MIXTO</t>
  </si>
  <si>
    <t>7790580127145</t>
  </si>
  <si>
    <t>COFLER AIR 30 GR BON O BON</t>
  </si>
  <si>
    <t>7790580103439</t>
  </si>
  <si>
    <t>COFLER AIR 55 GR ALMENDRAS</t>
  </si>
  <si>
    <t>7790580103415</t>
  </si>
  <si>
    <t>COFLER AIR 55 GR BLANCO</t>
  </si>
  <si>
    <t>7790580033408</t>
  </si>
  <si>
    <t>COFLER AIR 55 GR LECHE</t>
  </si>
  <si>
    <t>7790580103422</t>
  </si>
  <si>
    <t>COFLER AIR 55 GR MIXTO</t>
  </si>
  <si>
    <t>7790580116842</t>
  </si>
  <si>
    <t>COFLER AIR 55 GR TOFI</t>
  </si>
  <si>
    <t>7790580115562</t>
  </si>
  <si>
    <t xml:space="preserve">COFLER AIR 67 GR BON O BON </t>
  </si>
  <si>
    <t>77922120</t>
  </si>
  <si>
    <t xml:space="preserve">COFLER BLOCK 110 GR </t>
  </si>
  <si>
    <t>7790580105013</t>
  </si>
  <si>
    <t xml:space="preserve">COFLER BLOCK 170 GR </t>
  </si>
  <si>
    <t>7790580132750</t>
  </si>
  <si>
    <t>COFLER BLOCK 170 GR  MITI MITI</t>
  </si>
  <si>
    <t>7790580103743</t>
  </si>
  <si>
    <t xml:space="preserve">COFLER BLOCK 300 GR </t>
  </si>
  <si>
    <t>77953124</t>
  </si>
  <si>
    <t xml:space="preserve">COFLER BLOCK 38 GR </t>
  </si>
  <si>
    <t>77981912</t>
  </si>
  <si>
    <t>COFLER BLOCK 38 GR BLANCO</t>
  </si>
  <si>
    <t>7790580131319</t>
  </si>
  <si>
    <t>COFLER MACIZO 55 GR 50% CACAO</t>
  </si>
  <si>
    <t>7790580033507</t>
  </si>
  <si>
    <t>COFLER MACIZO 55 GR ALMENDRAS</t>
  </si>
  <si>
    <t>7790580103538</t>
  </si>
  <si>
    <t>COFLER MACIZO 55 GR BLANCO CHOCOLINAS</t>
  </si>
  <si>
    <t>7790580103484</t>
  </si>
  <si>
    <t>COFLER MACIZO 55 GR LECHE</t>
  </si>
  <si>
    <t>7790580103521</t>
  </si>
  <si>
    <t>COFLER MACIZO 55 GR ROCKLETS</t>
  </si>
  <si>
    <t>7790580106560</t>
  </si>
  <si>
    <t>COFLER MACIZO 55 GR TRES PLACERES</t>
  </si>
  <si>
    <t>7790580123642</t>
  </si>
  <si>
    <t xml:space="preserve">COFLER MACIZO 55 GR YOGURT FRUTILLA </t>
  </si>
  <si>
    <t>7790580133573</t>
  </si>
  <si>
    <t>77975263</t>
  </si>
  <si>
    <t>7790580587901</t>
  </si>
  <si>
    <t>7790580136932</t>
  </si>
  <si>
    <t>7790580128043</t>
  </si>
  <si>
    <t>1011028</t>
  </si>
  <si>
    <t>MANI CON CHOCOLATE ARCOR 35 GR</t>
  </si>
  <si>
    <t>7790580139797</t>
  </si>
  <si>
    <t>1014174</t>
  </si>
  <si>
    <t>MANI CON CHOCOLATE COFLER BLOCK 100 GR</t>
  </si>
  <si>
    <t>77947505</t>
  </si>
  <si>
    <t>7790580141707</t>
  </si>
  <si>
    <t>PASAS CON CHOCO COFLER 100 GR</t>
  </si>
  <si>
    <t>77961471</t>
  </si>
  <si>
    <t>ROCKLETON 13.5 GR</t>
  </si>
  <si>
    <t>ROCKLETS</t>
  </si>
  <si>
    <t>7790580415808</t>
  </si>
  <si>
    <t>1004158</t>
  </si>
  <si>
    <t>ROCKLETS 120 GR</t>
  </si>
  <si>
    <t>7790580118235</t>
  </si>
  <si>
    <t>ROCKLETS BOLLS 120 GR</t>
  </si>
  <si>
    <t>7790580136970</t>
  </si>
  <si>
    <t>ROCKLETS CELULAR 125 GR</t>
  </si>
  <si>
    <t>7790580421007</t>
  </si>
  <si>
    <t>ROCKLETS CONFITES 20 GRS</t>
  </si>
  <si>
    <t>7790580327415</t>
  </si>
  <si>
    <t>ROCKLETS CONFITES 40 GRS</t>
  </si>
  <si>
    <t>77942432</t>
  </si>
  <si>
    <t>ROCKLETS CONFITES MINI 10 GR</t>
  </si>
  <si>
    <t>7790580136963</t>
  </si>
  <si>
    <t>ROCKLETS JOYSTICK 125 GR</t>
  </si>
  <si>
    <t>7790580423001</t>
  </si>
  <si>
    <t>ROCKLETS MANI 120 GR</t>
  </si>
  <si>
    <t>7790580418106</t>
  </si>
  <si>
    <t>1004181</t>
  </si>
  <si>
    <t>ROCKLETS MINI 120 GR</t>
  </si>
  <si>
    <t>77974648</t>
  </si>
  <si>
    <t>TOFI 27 GR BLANCO</t>
  </si>
  <si>
    <t>77974631</t>
  </si>
  <si>
    <t xml:space="preserve">TOFI 27 GR LECHE </t>
  </si>
  <si>
    <t>7790580746711</t>
  </si>
  <si>
    <t>TOFI 55 GR BLANCO</t>
  </si>
  <si>
    <t>7790580116812</t>
  </si>
  <si>
    <t>MISTER POPS</t>
  </si>
  <si>
    <t>7790580116811</t>
  </si>
  <si>
    <t>7790580118112</t>
  </si>
  <si>
    <t>7790580116813</t>
  </si>
  <si>
    <t>7790580111274</t>
  </si>
  <si>
    <t>7790580739003</t>
  </si>
  <si>
    <t>CHOCOLINAS 150 GRS</t>
  </si>
  <si>
    <t>7790040116955</t>
  </si>
  <si>
    <t>COFLER BLOCK 124 GR</t>
  </si>
  <si>
    <t>7790040139411</t>
  </si>
  <si>
    <t>COQUITAS 157 GR</t>
  </si>
  <si>
    <t>7790040946101</t>
  </si>
  <si>
    <t>CRIOLLITAS MAS GRANDES 169 GRS</t>
  </si>
  <si>
    <t>7790040946309</t>
  </si>
  <si>
    <t>CRIOLLITAS MAS GRANDES SIN SAL 169 GRS</t>
  </si>
  <si>
    <t>7790040377707</t>
  </si>
  <si>
    <t>CRIOLLITAS ORIGINAL 100 GRS</t>
  </si>
  <si>
    <t>7790040377806</t>
  </si>
  <si>
    <t>CRIOLLITAS ORIGINAL 300 GRS 3 UN</t>
  </si>
  <si>
    <t>7790040133495</t>
  </si>
  <si>
    <t>MACUCAS 110GR</t>
  </si>
  <si>
    <t>7790040137912</t>
  </si>
  <si>
    <t>MANA LIVIANAS CHOCOLATADA</t>
  </si>
  <si>
    <t xml:space="preserve">MANA </t>
  </si>
  <si>
    <t>7790040720206</t>
  </si>
  <si>
    <t>MANA LIVIANAS CON LECHE</t>
  </si>
  <si>
    <t>7790040720305</t>
  </si>
  <si>
    <t>MANA LIVIANAS LIMON</t>
  </si>
  <si>
    <t>7790040137837</t>
  </si>
  <si>
    <t>MANA LIVIANAS VAINILLA</t>
  </si>
  <si>
    <t>7790040133242</t>
  </si>
  <si>
    <t>MANA RELLENA CHOCOLATE</t>
  </si>
  <si>
    <t>7790040133266</t>
  </si>
  <si>
    <t>MANA RELLENA FRUTILLA</t>
  </si>
  <si>
    <t>7790040133259</t>
  </si>
  <si>
    <t>MANA RELLENA LIMON</t>
  </si>
  <si>
    <t>7790040133235</t>
  </si>
  <si>
    <t>MANA RELLENA VAINILLA</t>
  </si>
  <si>
    <t>7790040139657</t>
  </si>
  <si>
    <t>MERENGADAS FRUTILLA</t>
  </si>
  <si>
    <t>7790040139268</t>
  </si>
  <si>
    <t>RUMBA COCO 108 GRS</t>
  </si>
  <si>
    <t>7790040133488</t>
  </si>
  <si>
    <t>SONRISAS FRAMBUESA 108GR</t>
  </si>
  <si>
    <t>7790040138896</t>
  </si>
  <si>
    <t>SURTIDAS BAGLEY</t>
  </si>
  <si>
    <t>7790040138902</t>
  </si>
  <si>
    <t>SURTIDAS DIVERSION 390GR</t>
  </si>
  <si>
    <t>7790040872103</t>
  </si>
  <si>
    <t>TRAVIATA 101 GRS</t>
  </si>
  <si>
    <t>7790040872202</t>
  </si>
  <si>
    <t>TRAVIATA 303 GRS 3 UN</t>
  </si>
  <si>
    <t xml:space="preserve">MOGUL 150 GR DIENTES </t>
  </si>
  <si>
    <t>MOGUL</t>
  </si>
  <si>
    <t>MOGUL 150 GR FRUTILLAS ACIDAS</t>
  </si>
  <si>
    <t>7790580141653</t>
  </si>
  <si>
    <t>MOGUL 150 GR LADRILLOS</t>
  </si>
  <si>
    <t xml:space="preserve">MOGUL 150 GR MORITAS </t>
  </si>
  <si>
    <t>MOGUL 150 GR OSITOS</t>
  </si>
  <si>
    <t>7790580169312</t>
  </si>
  <si>
    <t>MOGUL 30 GR CEREBRITOS</t>
  </si>
  <si>
    <t>7790580116958</t>
  </si>
  <si>
    <t xml:space="preserve">MOGUL 30 GR DINOSAURIOS </t>
  </si>
  <si>
    <t>7790580136109</t>
  </si>
  <si>
    <t>MOGUL 30 GR MURCIELAGOS</t>
  </si>
  <si>
    <t>7790580199913</t>
  </si>
  <si>
    <t xml:space="preserve">MOGUL 30 GR OSITOS </t>
  </si>
  <si>
    <t>7790580617813</t>
  </si>
  <si>
    <t xml:space="preserve">MOGUL 30 GR PIECITOS </t>
  </si>
  <si>
    <t>7790580200114</t>
  </si>
  <si>
    <t xml:space="preserve">MOGUL 30 GR TIBURON </t>
  </si>
  <si>
    <t>7790580602000</t>
  </si>
  <si>
    <t>MOGUL 35 GR ROLLO</t>
  </si>
  <si>
    <t>7790580116965</t>
  </si>
  <si>
    <t>MOGUL 35 GR ROLLO ACIDO</t>
  </si>
  <si>
    <t>7790580137618</t>
  </si>
  <si>
    <t>MOGUL 45 GR EXTREME ROCKS</t>
  </si>
  <si>
    <t>7790580129415</t>
  </si>
  <si>
    <t xml:space="preserve">MOGUL 50 GR EUCALIPTUS </t>
  </si>
  <si>
    <t>7790580129330</t>
  </si>
  <si>
    <t xml:space="preserve">MOGUL 50 GR EXTREME OSITOS </t>
  </si>
  <si>
    <t>7790580129347</t>
  </si>
  <si>
    <t xml:space="preserve">MOGUL 50 GR EXTREME SANDIA </t>
  </si>
  <si>
    <t>7790580129422</t>
  </si>
  <si>
    <t>MOGUL 50 GR FRUTALES</t>
  </si>
  <si>
    <t>7790580129507</t>
  </si>
  <si>
    <t>MOGUL 50 GR RODAJAS ACIDAS</t>
  </si>
  <si>
    <t>7790580129354</t>
  </si>
  <si>
    <t>MOGUL 50 GR TUTTI FRUTTI</t>
  </si>
  <si>
    <t>MOGUL TUBITOS 20 GR</t>
  </si>
  <si>
    <t>7790580140380</t>
  </si>
  <si>
    <t>MOGUL TUBITOS 20 GR TUTTI FRUTTI</t>
  </si>
  <si>
    <t>MOGUL TUBITOS 70 GR</t>
  </si>
  <si>
    <t>7790580141660</t>
  </si>
  <si>
    <t>MOGUL TUBITOS 70 GR TUTTI FRUTTI</t>
  </si>
  <si>
    <t>7790580230111</t>
  </si>
  <si>
    <t>MOGUL VIBORITAS 30 GR</t>
  </si>
  <si>
    <t>77916525</t>
  </si>
  <si>
    <t>CEREAL MIX</t>
  </si>
  <si>
    <t>77965370</t>
  </si>
  <si>
    <t>77915818</t>
  </si>
  <si>
    <t>BARRA CEREAL MIX MANZANA Y AVENA</t>
  </si>
  <si>
    <t>7790040258211</t>
  </si>
  <si>
    <t>BARRA CEREAL MIX RELLENA FRUTILLA</t>
  </si>
  <si>
    <t>7790040258013</t>
  </si>
  <si>
    <t>BARRA CEREAL MIX RELLENA MANZANA</t>
  </si>
  <si>
    <t>7790040140929</t>
  </si>
  <si>
    <t>SNACKS CEREAL MIX SIN HARINA CACAO</t>
  </si>
  <si>
    <t>7790040140912</t>
  </si>
  <si>
    <t>SNACKS CEREAL MIX SIN HARINA ORIGINAL</t>
  </si>
  <si>
    <t>77965387</t>
  </si>
  <si>
    <t>BARRA CEREAL MIX YOGUR FRUTILLA</t>
  </si>
  <si>
    <t>7790580111755</t>
  </si>
  <si>
    <t>OBLEA GRAFITTI</t>
  </si>
  <si>
    <t>7790580123741</t>
  </si>
  <si>
    <t>OBLEA GRAFITTI BLANCO</t>
  </si>
  <si>
    <t>7790580135126</t>
  </si>
  <si>
    <t>BARRA NATURAL BREAK  ALM Y CHOC</t>
  </si>
  <si>
    <t>NATURAL BREAK</t>
  </si>
  <si>
    <t>7790580133474</t>
  </si>
  <si>
    <t>BARRA NATURAL BREAK ALM Y MANI</t>
  </si>
  <si>
    <t>7790580346614</t>
  </si>
  <si>
    <t>OBLEA BON O BON BLANCO 30 GR</t>
  </si>
  <si>
    <t>7790580346515</t>
  </si>
  <si>
    <t>OBLEA BON O BON LECHE 30 GR</t>
  </si>
  <si>
    <t>7790580131586</t>
  </si>
  <si>
    <t>OBLEA CHOCOLINA XL 45 GR</t>
  </si>
  <si>
    <t>7790580131562</t>
  </si>
  <si>
    <t>OBLEA COFLER BLOCK XL 45 GR</t>
  </si>
  <si>
    <t>77971708</t>
  </si>
  <si>
    <t>OBLEA OPERA CHOCOLATE 68 GR</t>
  </si>
  <si>
    <t>77971692</t>
  </si>
  <si>
    <t>OBLEA OPERA FRUTILLA  68 GR</t>
  </si>
  <si>
    <t>77903501</t>
  </si>
  <si>
    <t>OBLEA OPERA ORIGINAL 55 GR</t>
  </si>
  <si>
    <t>7790580124298</t>
  </si>
  <si>
    <t>BARRA SIMPLE COOKIES &amp; CREAM</t>
  </si>
  <si>
    <t>SIMPLE</t>
  </si>
  <si>
    <t>7790580132736</t>
  </si>
  <si>
    <t>BARRA SIMPLE LIMON</t>
  </si>
  <si>
    <t>7790580132729</t>
  </si>
  <si>
    <t>BARRA SIMPLE PLUS</t>
  </si>
  <si>
    <t>77940131</t>
  </si>
  <si>
    <t>TURRON ARCOR</t>
  </si>
  <si>
    <t>77975737</t>
  </si>
  <si>
    <t>TURRON ARCOR CHOCOLATADA</t>
  </si>
  <si>
    <t>77958631</t>
  </si>
  <si>
    <t>MENTHOPLUS COMUN CEREZA</t>
  </si>
  <si>
    <t>MENTHOPLUS</t>
  </si>
  <si>
    <t>77958624</t>
  </si>
  <si>
    <t>MENTHOPLUS COMUN MENTOL</t>
  </si>
  <si>
    <t>77958655</t>
  </si>
  <si>
    <t>MENTHOPLUS COMUN MIEL</t>
  </si>
  <si>
    <t>77958648</t>
  </si>
  <si>
    <t>MENTHOPLUS COMUN STRONG</t>
  </si>
  <si>
    <t>77944405</t>
  </si>
  <si>
    <t>MENTHOPLUS DUO ACIDOS CHERRY</t>
  </si>
  <si>
    <t>77952455</t>
  </si>
  <si>
    <t>MENTHOPLUS DUO ACIDOS MANZANA</t>
  </si>
  <si>
    <t>77944412</t>
  </si>
  <si>
    <t>MENTHOPLUS DUO ACIDOS NARANJA</t>
  </si>
  <si>
    <t>77955111</t>
  </si>
  <si>
    <t>MENTHOPLUS DUO CAFE LATTE</t>
  </si>
  <si>
    <t>7790580137069</t>
  </si>
  <si>
    <t>MENTHOPLUS FRASCO COOL MINT</t>
  </si>
  <si>
    <t>7790580137052</t>
  </si>
  <si>
    <t>MENTHOPLUS FRASCO MIX BERRIES</t>
  </si>
  <si>
    <t>77946805</t>
  </si>
  <si>
    <t>MENTHOPLUS ZERO CHERRY</t>
  </si>
  <si>
    <t>77946829</t>
  </si>
  <si>
    <t>MENTHOPLUS ZERO MENTOL</t>
  </si>
  <si>
    <t>77901095</t>
  </si>
  <si>
    <t>MENTHOPLUS ZERO STRONG</t>
  </si>
  <si>
    <t>7790040173200</t>
  </si>
  <si>
    <t>KESITAS 125 GR</t>
  </si>
  <si>
    <t>7790040003606</t>
  </si>
  <si>
    <t>KESITAS 75 GR</t>
  </si>
  <si>
    <t>7790040719804</t>
  </si>
  <si>
    <t>REX ORIGINAL 125 GR</t>
  </si>
  <si>
    <t>7790040003569</t>
  </si>
  <si>
    <t>REX ORIGINAL 75 GR</t>
  </si>
  <si>
    <t>7790580716806</t>
  </si>
  <si>
    <t>SALADIX 100 GR CALABRESA</t>
  </si>
  <si>
    <t>7790040374607</t>
  </si>
  <si>
    <t>SALADIX 100 GR DUO QUESO Y JAMON</t>
  </si>
  <si>
    <t>7790580716707</t>
  </si>
  <si>
    <t>SALADIX 100 GR JAMON</t>
  </si>
  <si>
    <t>7790580697303</t>
  </si>
  <si>
    <t>SALADIX 100 GR PIZZA</t>
  </si>
  <si>
    <t>7790040138278</t>
  </si>
  <si>
    <t>SALADIX 30 GR BARBACOA</t>
  </si>
  <si>
    <t>7790580775407</t>
  </si>
  <si>
    <t>SALADIX 30 GR CALABRESA</t>
  </si>
  <si>
    <t>7790040374706</t>
  </si>
  <si>
    <t>SALADIX 30 GR DUO JAMON Y QUESO</t>
  </si>
  <si>
    <t>7790580387105</t>
  </si>
  <si>
    <t>SALADIX 30 GR JAMON</t>
  </si>
  <si>
    <t>7790580387006</t>
  </si>
  <si>
    <t>SALADIX 30 GR PIZZA</t>
  </si>
  <si>
    <t>7790040137707</t>
  </si>
  <si>
    <t>SALADIX 30 GR QUESO</t>
  </si>
  <si>
    <t>MILKA</t>
  </si>
  <si>
    <t>77903778</t>
  </si>
  <si>
    <t>ALF TRIPLE MILKA DDL</t>
  </si>
  <si>
    <t>77903785</t>
  </si>
  <si>
    <t>ALF TRIPLE MILKA MOUSSE</t>
  </si>
  <si>
    <t>7622300457303</t>
  </si>
  <si>
    <t>ALF TRIPLE MILKA MOUSSE BLANCO</t>
  </si>
  <si>
    <t>7622300835620</t>
  </si>
  <si>
    <t>ALF TRIPLE MILKA TORTA OREO</t>
  </si>
  <si>
    <t>77976307</t>
  </si>
  <si>
    <t xml:space="preserve">ALF TRIPLE OREO </t>
  </si>
  <si>
    <t>OREO</t>
  </si>
  <si>
    <t>77915481</t>
  </si>
  <si>
    <t>ALF TRIPLE PEPITOS</t>
  </si>
  <si>
    <t>PEPITOS</t>
  </si>
  <si>
    <t>TERRABUSI</t>
  </si>
  <si>
    <t>77956699</t>
  </si>
  <si>
    <t>ALF TRIPLE TRI-SHOT</t>
  </si>
  <si>
    <t>SHOT</t>
  </si>
  <si>
    <t>7622201802592</t>
  </si>
  <si>
    <t>PALITOS DE LA SELVA</t>
  </si>
  <si>
    <t>77969118</t>
  </si>
  <si>
    <t>BELDENT 4 FRUTILLA</t>
  </si>
  <si>
    <t>BELDENT</t>
  </si>
  <si>
    <t>77969101</t>
  </si>
  <si>
    <t>BELDENT 4 GLOBO</t>
  </si>
  <si>
    <t>77981844</t>
  </si>
  <si>
    <t>BELDENT 4 MANDARINA</t>
  </si>
  <si>
    <t>77969071</t>
  </si>
  <si>
    <t>BELDENT 4 MENTA</t>
  </si>
  <si>
    <t>77969088</t>
  </si>
  <si>
    <t>BELDENT 4 MENTA STRONG</t>
  </si>
  <si>
    <t>77969095</t>
  </si>
  <si>
    <t>BELDENT 4 MENTOL</t>
  </si>
  <si>
    <t>77987686</t>
  </si>
  <si>
    <t>BELDENT 4 SANDIA</t>
  </si>
  <si>
    <t>7622201448325</t>
  </si>
  <si>
    <t>BELDENT INFINIT BLUEBERRY</t>
  </si>
  <si>
    <t>7622201448288</t>
  </si>
  <si>
    <t>BELDENT INFINIT CITRUS</t>
  </si>
  <si>
    <t>7622201421496</t>
  </si>
  <si>
    <t>BELDENT INFINIT MENTA</t>
  </si>
  <si>
    <t>7622201448226</t>
  </si>
  <si>
    <t>BELDENT INFINIT SPEARMINT</t>
  </si>
  <si>
    <t>7622201457426</t>
  </si>
  <si>
    <t>BELDENT INFINIT X 14 CITRUS</t>
  </si>
  <si>
    <t>7622201457334</t>
  </si>
  <si>
    <t>BELDENT INFINIT X 14 MENTA</t>
  </si>
  <si>
    <t>7622201457396</t>
  </si>
  <si>
    <t>BELDENT INFINIT X 14 SPEARMINT</t>
  </si>
  <si>
    <t>7622201457457</t>
  </si>
  <si>
    <t>BELDENT INFINIT X14 BLUEBERRY</t>
  </si>
  <si>
    <t>77982360</t>
  </si>
  <si>
    <t>BUBALOO FRUTILLA</t>
  </si>
  <si>
    <t>BUBALOO</t>
  </si>
  <si>
    <t>77982346</t>
  </si>
  <si>
    <t>BUBALOO MENTA</t>
  </si>
  <si>
    <t>77982353</t>
  </si>
  <si>
    <t>BUBALOO TUTTI-FRUTTI</t>
  </si>
  <si>
    <t>77982338</t>
  </si>
  <si>
    <t>BUBALOO UVA</t>
  </si>
  <si>
    <t>77971630</t>
  </si>
  <si>
    <t xml:space="preserve">BOMBONES MILKA OREO </t>
  </si>
  <si>
    <t>7622201818692</t>
  </si>
  <si>
    <t xml:space="preserve">CADBURY 162 GR YOGURT FRUTILLA </t>
  </si>
  <si>
    <t>CADBURY</t>
  </si>
  <si>
    <t>7622201818609</t>
  </si>
  <si>
    <t xml:space="preserve">CADBURY 25 GR INTENSE </t>
  </si>
  <si>
    <t>7622201818579</t>
  </si>
  <si>
    <t xml:space="preserve">CADBURY 25 GR TRES SUEÑOS </t>
  </si>
  <si>
    <t>7622201818654</t>
  </si>
  <si>
    <t xml:space="preserve">CADBURY 29 GR YOGURT FRUTILLA </t>
  </si>
  <si>
    <t>7622201807405</t>
  </si>
  <si>
    <t xml:space="preserve">CADBURY 82 GR ALMENDRAS </t>
  </si>
  <si>
    <t>7622201818739</t>
  </si>
  <si>
    <t xml:space="preserve">CADBURY 82 GR TRES SUEÑOS </t>
  </si>
  <si>
    <t>7622201818715</t>
  </si>
  <si>
    <t xml:space="preserve">CADBURY 82 GR YOGURT FRUTILLA </t>
  </si>
  <si>
    <t>77939425</t>
  </si>
  <si>
    <t xml:space="preserve">GEORGALOS S/A 25 GR BROWNIE </t>
  </si>
  <si>
    <t>GEORGALOS</t>
  </si>
  <si>
    <t>77933898</t>
  </si>
  <si>
    <t>GEORGALOS S/A 25 GR CHOCOCEREAL</t>
  </si>
  <si>
    <t>7790380024248</t>
  </si>
  <si>
    <t xml:space="preserve">GEORGALOS S/A 30 GR BLANCO </t>
  </si>
  <si>
    <t>77909497</t>
  </si>
  <si>
    <t xml:space="preserve">GEORGALOS S/A 30 GR FRUTILLA </t>
  </si>
  <si>
    <t>77917911</t>
  </si>
  <si>
    <t>GEORGALOS S/A 30 GR LECHE</t>
  </si>
  <si>
    <t>7790380024569</t>
  </si>
  <si>
    <t xml:space="preserve">GEORGALOS S/A 35 GR LECHE Y MANI </t>
  </si>
  <si>
    <t>7790380024262</t>
  </si>
  <si>
    <t xml:space="preserve">GEORGALOS S/A 70 GR BLANCO </t>
  </si>
  <si>
    <t>7790380005612</t>
  </si>
  <si>
    <t xml:space="preserve">GEORGALOS S/A 70 GR LECHE </t>
  </si>
  <si>
    <t>7790380024521</t>
  </si>
  <si>
    <t>GEORGALOS S/A 70 GR LECHE Y ALMENDRAS</t>
  </si>
  <si>
    <t>77969330</t>
  </si>
  <si>
    <t xml:space="preserve">GEORGALOS S/A 9 GR BOMBON </t>
  </si>
  <si>
    <t>7622201812652</t>
  </si>
  <si>
    <t>MANTECOL CLASICO 111G</t>
  </si>
  <si>
    <t>MANTECOL</t>
  </si>
  <si>
    <t>7622201816384</t>
  </si>
  <si>
    <t>MANTECOL CLASICO 26GR</t>
  </si>
  <si>
    <t>7622201816414</t>
  </si>
  <si>
    <t>MANTECOL CLASICO 41G</t>
  </si>
  <si>
    <t>7622201816445</t>
  </si>
  <si>
    <t>MANTECOL CLASICO 64G</t>
  </si>
  <si>
    <t>7622201812676</t>
  </si>
  <si>
    <t>MANTECOL MARMOLADO 111G</t>
  </si>
  <si>
    <t>7622210795625</t>
  </si>
  <si>
    <t xml:space="preserve">MILKA 20 GR LECHE </t>
  </si>
  <si>
    <t>7622210795908</t>
  </si>
  <si>
    <t>MILKA 20 GR OREO</t>
  </si>
  <si>
    <t>7622210745620</t>
  </si>
  <si>
    <t>MILKA 55 GR ALMENDRAS</t>
  </si>
  <si>
    <t>7622210745583</t>
  </si>
  <si>
    <t>MILKA 55 GR BLANCO</t>
  </si>
  <si>
    <t>7622210745132</t>
  </si>
  <si>
    <t>MILKA 55 GR BLANCO OREO</t>
  </si>
  <si>
    <t>7622210745293</t>
  </si>
  <si>
    <t>MILKA 55 GR CASTAÑAS CON CARAMLEO</t>
  </si>
  <si>
    <t>7622210745224</t>
  </si>
  <si>
    <t xml:space="preserve">MILKA 55 GR LECHE </t>
  </si>
  <si>
    <t>7622300844967</t>
  </si>
  <si>
    <t xml:space="preserve">MILKA 67,5 GR DDL BLANCO </t>
  </si>
  <si>
    <t>7622300844943</t>
  </si>
  <si>
    <t>MILKA 67,5 GR DULCE DE LECHE</t>
  </si>
  <si>
    <t>7622210609885</t>
  </si>
  <si>
    <t xml:space="preserve">MILKA 90 GR DOBLE CARAMELO </t>
  </si>
  <si>
    <t>7622210609908</t>
  </si>
  <si>
    <t>MILKA 90 GR TRIPLE COCOA</t>
  </si>
  <si>
    <t>7622201492717</t>
  </si>
  <si>
    <t>MILKA CHOCO PAUSE 45G</t>
  </si>
  <si>
    <t>7622201492465</t>
  </si>
  <si>
    <t>MILKA CHOCO PAUSE OREO 45G</t>
  </si>
  <si>
    <t>7622201818975</t>
  </si>
  <si>
    <t xml:space="preserve">MILKA LEGER 50 GR ALMENDRAS </t>
  </si>
  <si>
    <t>7622201818951</t>
  </si>
  <si>
    <t>MILKA LEGER 50 GR COMBINADO</t>
  </si>
  <si>
    <t>7622201818937</t>
  </si>
  <si>
    <t>MILKA LEGER 50 GR LECHE</t>
  </si>
  <si>
    <t>7622300424084</t>
  </si>
  <si>
    <t>SHOT BARRA 170 GR</t>
  </si>
  <si>
    <t>77914217</t>
  </si>
  <si>
    <t>SHOT BARRA 35 GR</t>
  </si>
  <si>
    <t>7791249451656</t>
  </si>
  <si>
    <t>SHOT BARRA 90 GR</t>
  </si>
  <si>
    <t>77983992</t>
  </si>
  <si>
    <t>SHOT BLANCO 35 GR</t>
  </si>
  <si>
    <t>7614500010013</t>
  </si>
  <si>
    <t>TOBLERONE 100 GRS</t>
  </si>
  <si>
    <t>TOBLERONE</t>
  </si>
  <si>
    <t>7622201736033</t>
  </si>
  <si>
    <t>CEREALITAS 212 GR</t>
  </si>
  <si>
    <t>CEREALITAS</t>
  </si>
  <si>
    <t>7622300742645</t>
  </si>
  <si>
    <t>DUQUESA TERRABUSI VAINILLA 115 GRS</t>
  </si>
  <si>
    <t>7622210692245</t>
  </si>
  <si>
    <t>GALLETAS CLUB SOCIAL JAMON</t>
  </si>
  <si>
    <t>CLUB SOCIAL</t>
  </si>
  <si>
    <t>7622300990732</t>
  </si>
  <si>
    <t>GALLETAS CLUB SOCIAL ORIGINAL</t>
  </si>
  <si>
    <t>7622210691835</t>
  </si>
  <si>
    <t>GALLETAS CLUB SOCIAL X 6 JAMON</t>
  </si>
  <si>
    <t>7622300990749</t>
  </si>
  <si>
    <t>GALLETAS CLUB SOCIAL X 6 ORIGINAL</t>
  </si>
  <si>
    <t>7622300829728</t>
  </si>
  <si>
    <t>MELBA TERRABUSI 120 GRS</t>
  </si>
  <si>
    <t>7622210723567</t>
  </si>
  <si>
    <t>OREO BAÑADAS CHOC BLANCO</t>
  </si>
  <si>
    <t>7622201740368</t>
  </si>
  <si>
    <t>OREO BAÑADAS CHOCOLATE</t>
  </si>
  <si>
    <t>7622201735845</t>
  </si>
  <si>
    <t>7622201735296</t>
  </si>
  <si>
    <t>7622201806552</t>
  </si>
  <si>
    <t>7622201735869</t>
  </si>
  <si>
    <t>7622201761288</t>
  </si>
  <si>
    <t>OREO MINI 50GR</t>
  </si>
  <si>
    <t>7622201735906</t>
  </si>
  <si>
    <t>PEPITOS CHOCO CHIPS</t>
  </si>
  <si>
    <t>7622201740399</t>
  </si>
  <si>
    <t>PEPITOS MINI 50 GR</t>
  </si>
  <si>
    <t>77995681</t>
  </si>
  <si>
    <t>RHODESIA 22 GR.</t>
  </si>
  <si>
    <t>7622201142223</t>
  </si>
  <si>
    <t>RHODESIA CHOCOLATE 22 GR</t>
  </si>
  <si>
    <t>77907943</t>
  </si>
  <si>
    <t>LENGUETAZO TUTTIFRUTTI</t>
  </si>
  <si>
    <t>7622201807559</t>
  </si>
  <si>
    <t>JUGO POLVO CLIGHT ANANA</t>
  </si>
  <si>
    <t>CLIGHT</t>
  </si>
  <si>
    <t>7622201807580</t>
  </si>
  <si>
    <t>JUGO POLVO CLIGHT LIMONADA</t>
  </si>
  <si>
    <t>7622201703080</t>
  </si>
  <si>
    <t>JUGO POLVO CLIGHT MANZANA DELICIOSA</t>
  </si>
  <si>
    <t>7622201703110</t>
  </si>
  <si>
    <t>JUGO POLVO CLIGHT NARANJA</t>
  </si>
  <si>
    <t>7622201703141</t>
  </si>
  <si>
    <t>JUGO POLVO CLIGHT NARANJA DULCE</t>
  </si>
  <si>
    <t>7622201703202</t>
  </si>
  <si>
    <t>JUGO POLVO CLIGHT PERA</t>
  </si>
  <si>
    <t>7622201703172</t>
  </si>
  <si>
    <t>JUGO POLVO CLIGHT POMELO ROSADO</t>
  </si>
  <si>
    <t>7622201704582</t>
  </si>
  <si>
    <t xml:space="preserve">JUGO POLVO CLIGHT STEVIA LIMONADA </t>
  </si>
  <si>
    <t>7622201745967</t>
  </si>
  <si>
    <t>JUGO POLVO TANG ANANA</t>
  </si>
  <si>
    <t>TANG</t>
  </si>
  <si>
    <t>7622201735685</t>
  </si>
  <si>
    <t xml:space="preserve">JUGO POLVO TANG LIMONADA DULCE </t>
  </si>
  <si>
    <t>7622201705992</t>
  </si>
  <si>
    <t>JUGO POLVO TANG MANZANA</t>
  </si>
  <si>
    <t>7622201735715</t>
  </si>
  <si>
    <t>JUGO POLVO TANG MULTIFRUTA</t>
  </si>
  <si>
    <t>7622201735340</t>
  </si>
  <si>
    <t>JUGO POLVO TANG NARANJA DULCE</t>
  </si>
  <si>
    <t>7622201745707</t>
  </si>
  <si>
    <t>JUGO POLVO TANG NARANJA DURAZNO</t>
  </si>
  <si>
    <t>7622201735371</t>
  </si>
  <si>
    <t>JUGO POLVO TANG NARANJA MANGO</t>
  </si>
  <si>
    <t>7622201745738</t>
  </si>
  <si>
    <t>JUGO POLVO TANG PERA</t>
  </si>
  <si>
    <t>7622201735746</t>
  </si>
  <si>
    <t>JUGO POLVO TANG POMELO ROSADO</t>
  </si>
  <si>
    <t>7622201746117</t>
  </si>
  <si>
    <t xml:space="preserve">JUGO POLVO TANG UVA </t>
  </si>
  <si>
    <t>7622210788207</t>
  </si>
  <si>
    <t>MILKA BIS</t>
  </si>
  <si>
    <t>7622210719829</t>
  </si>
  <si>
    <t>MILKA BIS OREO</t>
  </si>
  <si>
    <t>77976291</t>
  </si>
  <si>
    <t>TITA TERRABUSI 19G</t>
  </si>
  <si>
    <t>7622300835194</t>
  </si>
  <si>
    <t>CARAMELO CLIGHT FRAMBUESA</t>
  </si>
  <si>
    <t>7622300803698</t>
  </si>
  <si>
    <t>CARAMELO CLIGHT NARANJA</t>
  </si>
  <si>
    <t>HALLS  FREE CHERRY</t>
  </si>
  <si>
    <t>HALLS</t>
  </si>
  <si>
    <t>HALLS  FREE MENTA</t>
  </si>
  <si>
    <t>HALLS CHERRY</t>
  </si>
  <si>
    <t>7622210659040</t>
  </si>
  <si>
    <t>HALLS COLORS</t>
  </si>
  <si>
    <t>77933928</t>
  </si>
  <si>
    <t>HALLS MENTA LYPTUS</t>
  </si>
  <si>
    <t>HALLS MENTA STRONG</t>
  </si>
  <si>
    <t>HALLS MENTOL LYPTUS</t>
  </si>
  <si>
    <t>77905291</t>
  </si>
  <si>
    <t>HALLS STANI MIEL C/MENTA</t>
  </si>
  <si>
    <t>77905277</t>
  </si>
  <si>
    <t>HALLS STANI MIEL LIMON</t>
  </si>
  <si>
    <t>77917317</t>
  </si>
  <si>
    <t>HALLS VITA C FRUTILLA</t>
  </si>
  <si>
    <t>77917324</t>
  </si>
  <si>
    <t>HALLS VITA C NARANJA</t>
  </si>
  <si>
    <t>CHOCOARROZ</t>
  </si>
  <si>
    <t>7790070418203</t>
  </si>
  <si>
    <t>ALFAJOR CHOCOARROZ DULCE DE LECHE 22 GR</t>
  </si>
  <si>
    <t>7790070418241</t>
  </si>
  <si>
    <t>ALFAJOR CHOCOARROZ LIMON 22 GR</t>
  </si>
  <si>
    <t>7790070418326</t>
  </si>
  <si>
    <t>ALFAJOR CHOCOARROZ MARROC 22 GR</t>
  </si>
  <si>
    <t>77958259</t>
  </si>
  <si>
    <t>ALFAJOR ESCOLAR AZUCARADO 28GR</t>
  </si>
  <si>
    <t>ESCOLAR</t>
  </si>
  <si>
    <t>77958266</t>
  </si>
  <si>
    <t>ALFAJOR ESCOLAR BAÑO REPOSTERIA 28GR</t>
  </si>
  <si>
    <t>7791672002005</t>
  </si>
  <si>
    <t>ALFAJOR FANTOCHE MINI BLANCO 150 GR</t>
  </si>
  <si>
    <t>FANTOCHE</t>
  </si>
  <si>
    <t>7791672002012</t>
  </si>
  <si>
    <t>ALFAJOR FANTOCHE MINI CHOCO 150 GR</t>
  </si>
  <si>
    <t>77991584</t>
  </si>
  <si>
    <t>ALFAJOR FANTOCHE TRIPLE B</t>
  </si>
  <si>
    <t>7791672000339</t>
  </si>
  <si>
    <t>ALFAJOR FANTOCHE TRIPLE DAY 85 GR</t>
  </si>
  <si>
    <t>77991577</t>
  </si>
  <si>
    <t>ALFAJOR FANTOCHE TRIPLE N</t>
  </si>
  <si>
    <t>7791672000247</t>
  </si>
  <si>
    <t>ALFAJOR FANTOCHE TRIPLE NIGHT 85 GR</t>
  </si>
  <si>
    <t>77980229</t>
  </si>
  <si>
    <t>ALFAJOR GUAYMALLEN CHOCOLATE 38G</t>
  </si>
  <si>
    <t>GUAYMALLEN</t>
  </si>
  <si>
    <t>77980212</t>
  </si>
  <si>
    <t>ALFAJOR GUAYMALLEN DE LECHE 38GRS.</t>
  </si>
  <si>
    <t>77980236</t>
  </si>
  <si>
    <t>ALFAJOR GUAYMALLEN FRUTA 38 GR</t>
  </si>
  <si>
    <t>77980267</t>
  </si>
  <si>
    <t>ALFAJOR GUAYMALLEN TRI BLANCO 70 GR</t>
  </si>
  <si>
    <t>77980274</t>
  </si>
  <si>
    <t>ALFAJOR GUAYMALLEN TRI CHOCOLATE 70 GR</t>
  </si>
  <si>
    <t>JORGELIN</t>
  </si>
  <si>
    <t>77901729</t>
  </si>
  <si>
    <t>ALFAJOR JORGELIN CHOCOLATE</t>
  </si>
  <si>
    <t>77905758</t>
  </si>
  <si>
    <t>ALFAJOR JORGITO BLANCO 50 GRS</t>
  </si>
  <si>
    <t>JORGITO</t>
  </si>
  <si>
    <t>77905741</t>
  </si>
  <si>
    <t>ALFAJOR JORGITO CHOCOLATE 55 GR</t>
  </si>
  <si>
    <t>77905734</t>
  </si>
  <si>
    <t>ALFAJOR JORGITO FRUTA 50 GRS</t>
  </si>
  <si>
    <t>7797216001039</t>
  </si>
  <si>
    <t>NAIPE ESPAÑOL CASINO PLAST X 40</t>
  </si>
  <si>
    <t>CASINO</t>
  </si>
  <si>
    <t>7797216001152</t>
  </si>
  <si>
    <t>77942647</t>
  </si>
  <si>
    <t xml:space="preserve">ACOND SEDAL 10 ML CERAMIDAS </t>
  </si>
  <si>
    <t>SEDAL</t>
  </si>
  <si>
    <t>77942630</t>
  </si>
  <si>
    <t xml:space="preserve">SHAMPOO SEDAL 10 ML CERAMIDAS </t>
  </si>
  <si>
    <t>7794612002486</t>
  </si>
  <si>
    <t xml:space="preserve">CARAMELOS ALKA </t>
  </si>
  <si>
    <t>ALKA</t>
  </si>
  <si>
    <t>7798347089422</t>
  </si>
  <si>
    <t>CATY HOUSE</t>
  </si>
  <si>
    <t>FUN CANDY</t>
  </si>
  <si>
    <t>7798347089415</t>
  </si>
  <si>
    <t>PUPPY HOUSE</t>
  </si>
  <si>
    <t>7790580423803</t>
  </si>
  <si>
    <t>SAPITO LENGUA LOCA MANZANA</t>
  </si>
  <si>
    <t>SAPITO</t>
  </si>
  <si>
    <t>7798347089385</t>
  </si>
  <si>
    <t>SHARK POP MANZANA</t>
  </si>
  <si>
    <t>7790580056001</t>
  </si>
  <si>
    <t>SUGUS CONFITADO 50G</t>
  </si>
  <si>
    <t>SUGUS</t>
  </si>
  <si>
    <t>7790580139698</t>
  </si>
  <si>
    <t>SUGUS CONFITADO 50G HALLOWEEN</t>
  </si>
  <si>
    <t>7798130954586</t>
  </si>
  <si>
    <t>WATER POP 23 GR</t>
  </si>
  <si>
    <t>7798347089903</t>
  </si>
  <si>
    <t>WOW CATZ TUTTI FRUTTI</t>
  </si>
  <si>
    <t>7798130958034</t>
  </si>
  <si>
    <t>XTREME MASTICABLE BERRY</t>
  </si>
  <si>
    <t>7798130958058</t>
  </si>
  <si>
    <t>XTREME MASTICABLE RAINBOW</t>
  </si>
  <si>
    <t>7798130958072</t>
  </si>
  <si>
    <t>XTREME MASTICABLE TROPICAL</t>
  </si>
  <si>
    <t>7798130959376</t>
  </si>
  <si>
    <t>BUBBLE ROLL TUTTI FRUTTI</t>
  </si>
  <si>
    <t>7792360070047</t>
  </si>
  <si>
    <t>BOCADITOS BONAFIDE DDL</t>
  </si>
  <si>
    <t>BONAFIDE</t>
  </si>
  <si>
    <t>77907509</t>
  </si>
  <si>
    <t>BOCADITOS DOS CORAZONES</t>
  </si>
  <si>
    <t>FELFORT</t>
  </si>
  <si>
    <t>8693029609464</t>
  </si>
  <si>
    <t>BOCADITOS FIGURITAS FUTBOL</t>
  </si>
  <si>
    <t>ELVAN</t>
  </si>
  <si>
    <t>8693029200227</t>
  </si>
  <si>
    <t>BOCADITOS FIGURITAS MARIQUITAS</t>
  </si>
  <si>
    <t>8693029601994</t>
  </si>
  <si>
    <t>BOCADITOS FIGURITAS MY WORLD</t>
  </si>
  <si>
    <t>7790206006106</t>
  </si>
  <si>
    <t>BOCADITOS MARROC</t>
  </si>
  <si>
    <t>77939722</t>
  </si>
  <si>
    <t>CONITO CHOCOLATE JORGITO</t>
  </si>
  <si>
    <t>7898024396994</t>
  </si>
  <si>
    <t>FERRERO ROCHER 12 U</t>
  </si>
  <si>
    <t>8000500009673</t>
  </si>
  <si>
    <t>FERRERO ROCHER 24U</t>
  </si>
  <si>
    <t>78909434</t>
  </si>
  <si>
    <t>FERRERO ROCHER 3U</t>
  </si>
  <si>
    <t>7898024397861</t>
  </si>
  <si>
    <t>FERRERO ROCHER 4U</t>
  </si>
  <si>
    <t>7861002900117</t>
  </si>
  <si>
    <t>FERRERO ROCHER 8 U</t>
  </si>
  <si>
    <t>HAMLET</t>
  </si>
  <si>
    <t>7794612066419</t>
  </si>
  <si>
    <t>HAMLET 40 GR FRUTILLA</t>
  </si>
  <si>
    <t>7790580137649</t>
  </si>
  <si>
    <t>HAMLET 40 GR MEGA MANI</t>
  </si>
  <si>
    <t>7794612066310</t>
  </si>
  <si>
    <t>HAMLET 46 GR BLANCO Y COOKIES</t>
  </si>
  <si>
    <t>7794612066211</t>
  </si>
  <si>
    <t>HAMLET 90 GR CHOCOLATOSO</t>
  </si>
  <si>
    <t>7794612065719</t>
  </si>
  <si>
    <t>HAMLET ALMENDRAS Y MANI 45 GR</t>
  </si>
  <si>
    <t>7794612491013</t>
  </si>
  <si>
    <t>HAMLET BICOLOR 42 GR</t>
  </si>
  <si>
    <t>7794612065917</t>
  </si>
  <si>
    <t>HAMLET LECHE Y COOKIES 43 GRS</t>
  </si>
  <si>
    <t>40084106</t>
  </si>
  <si>
    <t>40084107</t>
  </si>
  <si>
    <t>HUEVITO KINDER SORPRESA AZUL</t>
  </si>
  <si>
    <t>78931053</t>
  </si>
  <si>
    <t>HUEVITO KINDER SORPRESA ROSA</t>
  </si>
  <si>
    <t>80052760</t>
  </si>
  <si>
    <t>KINDER BUENO 43 GR</t>
  </si>
  <si>
    <t>80050315</t>
  </si>
  <si>
    <t>KINDER CHOCOLATE 12.5 GR</t>
  </si>
  <si>
    <t>77949677</t>
  </si>
  <si>
    <t>KINDER CHOCOLATE 50 GR</t>
  </si>
  <si>
    <t>80050094</t>
  </si>
  <si>
    <t>KINDER CHOCOLATE MAXI 21 GR</t>
  </si>
  <si>
    <t>7790206008308</t>
  </si>
  <si>
    <t>MENTITAS CHOCOLATE FELFORT</t>
  </si>
  <si>
    <t>7802215105203</t>
  </si>
  <si>
    <t>MONEDAS CAPITAN MORGAN</t>
  </si>
  <si>
    <t>11119</t>
  </si>
  <si>
    <t>PARAGUITAS</t>
  </si>
  <si>
    <t>77912718</t>
  </si>
  <si>
    <t>SAPITO CHOCO CON MANI</t>
  </si>
  <si>
    <t>77928894</t>
  </si>
  <si>
    <t>SAPITO CHOCOLATOSO</t>
  </si>
  <si>
    <t>77976109</t>
  </si>
  <si>
    <t>VAUQUITA</t>
  </si>
  <si>
    <t>7792360095286</t>
  </si>
  <si>
    <t>VIZZIO 100 GR NUGATON</t>
  </si>
  <si>
    <t>7792360094562</t>
  </si>
  <si>
    <t xml:space="preserve">VIZZIO 165 GR MANI </t>
  </si>
  <si>
    <t>7792360094500</t>
  </si>
  <si>
    <t xml:space="preserve">VIZZIO 35 GR MANI </t>
  </si>
  <si>
    <t>7792360095705</t>
  </si>
  <si>
    <t>VIZZIO 45 GR 60% CACA RELL. MENTA</t>
  </si>
  <si>
    <t>7792360094548</t>
  </si>
  <si>
    <t>VIZZIO 85 GR MANI</t>
  </si>
  <si>
    <t>7792360095040</t>
  </si>
  <si>
    <t>VIZZIO 90 GR 60% CACAO</t>
  </si>
  <si>
    <t>7792360094586</t>
  </si>
  <si>
    <t>VIZZIO 90 GR ALMENDRAS ENTERAS</t>
  </si>
  <si>
    <t>7792360095071</t>
  </si>
  <si>
    <t>VIZZIO 90 GR BLANCO</t>
  </si>
  <si>
    <t>7792360095019</t>
  </si>
  <si>
    <t>VIZZIO 90 GR LECHE</t>
  </si>
  <si>
    <t>7792860002777</t>
  </si>
  <si>
    <t xml:space="preserve">BABY DOLL MASTIC </t>
  </si>
  <si>
    <t>LHERITIER</t>
  </si>
  <si>
    <t>7792860002463</t>
  </si>
  <si>
    <t>BABY DOLL SORPRESA X 3</t>
  </si>
  <si>
    <t>7792860016217</t>
  </si>
  <si>
    <t>BABY DOLL X 4</t>
  </si>
  <si>
    <t>7792860008366</t>
  </si>
  <si>
    <t>BOLA LOCA</t>
  </si>
  <si>
    <t>77909701</t>
  </si>
  <si>
    <t>CHUPELATIN FELFORT CHOCOLATE</t>
  </si>
  <si>
    <t>7792860011212</t>
  </si>
  <si>
    <t>CHUPETONCITO LHERITIER</t>
  </si>
  <si>
    <t>7798130951783</t>
  </si>
  <si>
    <t>CRAZY-POP FRUTILLA 12G</t>
  </si>
  <si>
    <t>7798347082959</t>
  </si>
  <si>
    <t xml:space="preserve">CREEPY POP </t>
  </si>
  <si>
    <t>7798322400846</t>
  </si>
  <si>
    <t xml:space="preserve">DOGGY POP </t>
  </si>
  <si>
    <t>7798130954760</t>
  </si>
  <si>
    <t xml:space="preserve">EMOTI POP </t>
  </si>
  <si>
    <t>7798130950779</t>
  </si>
  <si>
    <t xml:space="preserve">FROSTY POP </t>
  </si>
  <si>
    <t>7798347080542</t>
  </si>
  <si>
    <t xml:space="preserve">LASER POP </t>
  </si>
  <si>
    <t>7792860008373</t>
  </si>
  <si>
    <t>PELOTITAS</t>
  </si>
  <si>
    <t>11111</t>
  </si>
  <si>
    <t xml:space="preserve">PICO DULCE </t>
  </si>
  <si>
    <t>7792860002234</t>
  </si>
  <si>
    <t>PICO DULCE VASO</t>
  </si>
  <si>
    <t>5011053003325</t>
  </si>
  <si>
    <t>PUSH POP CLASICO</t>
  </si>
  <si>
    <t>PUSH POP</t>
  </si>
  <si>
    <t>7798040461617</t>
  </si>
  <si>
    <t>PUSH POP MINIONS</t>
  </si>
  <si>
    <t>041116011320</t>
  </si>
  <si>
    <t>RING POP CHERRY</t>
  </si>
  <si>
    <t>POP</t>
  </si>
  <si>
    <t>7798040468753</t>
  </si>
  <si>
    <t>RING POP LOL</t>
  </si>
  <si>
    <t>7798040463383</t>
  </si>
  <si>
    <t xml:space="preserve">SPRING POP </t>
  </si>
  <si>
    <t>7798130952353</t>
  </si>
  <si>
    <t xml:space="preserve">TWISTER POP </t>
  </si>
  <si>
    <t>PRESERVATIVOS PRIME 3U RETARDANTE</t>
  </si>
  <si>
    <t>PRIME</t>
  </si>
  <si>
    <t>7791519200045</t>
  </si>
  <si>
    <t>PRESERVATIVOS PRIME 3U SUPER FINO</t>
  </si>
  <si>
    <t>7503034665663</t>
  </si>
  <si>
    <t>DEKKIN AURICULARES CON MIC</t>
  </si>
  <si>
    <t>DEKKIN</t>
  </si>
  <si>
    <t>7503034665175</t>
  </si>
  <si>
    <t>DEKKIN CABLE CARG Y SINC. MICRO USB  BLANCO</t>
  </si>
  <si>
    <t>7503034665212</t>
  </si>
  <si>
    <t>DEKKIN CABLE CARG Y SINC. USB C BLANCO</t>
  </si>
  <si>
    <t>7798397480088</t>
  </si>
  <si>
    <t>DEKKIN CABLE CARG Y SINC. USB C NEGRO</t>
  </si>
  <si>
    <t>7503034665403</t>
  </si>
  <si>
    <t>DEKKIN CABLE MULTIPUNTA NEGRO</t>
  </si>
  <si>
    <t>7503034665649</t>
  </si>
  <si>
    <t>DEKKIN CARGADOR AUTO + MICRO USB</t>
  </si>
  <si>
    <t>7503034665632</t>
  </si>
  <si>
    <t>DEKKIN CARGADOR AUTO + USB C</t>
  </si>
  <si>
    <t>7503034665640</t>
  </si>
  <si>
    <t>DEKKIN CARGADOR PARED + MICRO USB</t>
  </si>
  <si>
    <t>7503034665633</t>
  </si>
  <si>
    <t>DEKKIN CARGADOR PARED + USB C</t>
  </si>
  <si>
    <t>7795735000335</t>
  </si>
  <si>
    <t xml:space="preserve">BIZCOCHOS DON SATUR 200 GR DULCES </t>
  </si>
  <si>
    <t>DON SATUR</t>
  </si>
  <si>
    <t>7795735000342</t>
  </si>
  <si>
    <t>BIZCOCHOS DON SATUR 200 GR NEGRITOS</t>
  </si>
  <si>
    <t>7795735000328</t>
  </si>
  <si>
    <t>BIZCOCHOS DON SATUR 200 GR SALADO</t>
  </si>
  <si>
    <t>7790503198696</t>
  </si>
  <si>
    <t>GALLETAS DE ARROZ DOS HERMANOS 100 GR SALADAS</t>
  </si>
  <si>
    <t>DOS HERMANOS</t>
  </si>
  <si>
    <t>7790503198689</t>
  </si>
  <si>
    <t>GALLETAS DE ARROZ DOS HERMANOS 100 GR SIN SAL</t>
  </si>
  <si>
    <t>7791324156797</t>
  </si>
  <si>
    <t>GALLETAS PARNOR COCO 170 GR</t>
  </si>
  <si>
    <t>PARNOR</t>
  </si>
  <si>
    <t>7790628102714</t>
  </si>
  <si>
    <t>GALLETAS SURT FAUNA 150 GR</t>
  </si>
  <si>
    <t>MAURI</t>
  </si>
  <si>
    <t>7791787000729</t>
  </si>
  <si>
    <t>TRIO</t>
  </si>
  <si>
    <t>7791787000774</t>
  </si>
  <si>
    <t>GALLETAS TRIO 300 GR FROLITAS BATATA</t>
  </si>
  <si>
    <t>7791787000644</t>
  </si>
  <si>
    <t>GALLETAS TRIO 300 GR FROLITAS MEMBRILLO</t>
  </si>
  <si>
    <t>7791787100986</t>
  </si>
  <si>
    <t>GALLETAS TRIO 300 GR MINI PEPAS MEMBRILLO</t>
  </si>
  <si>
    <t>7791787100719</t>
  </si>
  <si>
    <t>GALLETAS TRIO 300 GR PEPAS ALEMANAS</t>
  </si>
  <si>
    <t>7791787001153</t>
  </si>
  <si>
    <t>GALLETAS TRIO 300 GR PEPAS CHOCOTRIO</t>
  </si>
  <si>
    <t>7791787100979</t>
  </si>
  <si>
    <t>GALLETAS TRIO 300 GR TARTELETTE FRUT BOSQ</t>
  </si>
  <si>
    <t>7791787100900</t>
  </si>
  <si>
    <t>GALLETAS TRIO 300 GR TARTELETTE FRUTILLA</t>
  </si>
  <si>
    <t>7791787100696</t>
  </si>
  <si>
    <t>GALLETAS TRIO 320 GR PEPAS CON CHIPS</t>
  </si>
  <si>
    <t>7791787100924</t>
  </si>
  <si>
    <t>GALLETAS TRIO 320 GR PEPAS MEMBRILLO</t>
  </si>
  <si>
    <t>GALLETAS TRIO 320 GR SCONS CLASICO</t>
  </si>
  <si>
    <t>7791787000651</t>
  </si>
  <si>
    <t>GALLETAS TRIO 350 GR PEPAS GLASSI</t>
  </si>
  <si>
    <t>7791787100788</t>
  </si>
  <si>
    <t>GALLETAS TRIO 500 GR ANILLOS DE COCO</t>
  </si>
  <si>
    <t>7792180007315</t>
  </si>
  <si>
    <t>PASEO CRACKER 300 GR 5 SEMILLAS</t>
  </si>
  <si>
    <t>PASEO</t>
  </si>
  <si>
    <t>7792180006448</t>
  </si>
  <si>
    <t>PASEO CRACKERS 300 GR CLASICA</t>
  </si>
  <si>
    <t>7792180007254</t>
  </si>
  <si>
    <t>PASEO CRACKERS 300 GR SIN SAL</t>
  </si>
  <si>
    <t>7795735000106</t>
  </si>
  <si>
    <t>TALITAS DON SATUR 140 GR CLASICA</t>
  </si>
  <si>
    <t>7795735600917</t>
  </si>
  <si>
    <t>TALITAS DON SATUR 140 GR SEMILLAS</t>
  </si>
  <si>
    <t>7790503000364</t>
  </si>
  <si>
    <t>TOSTADAS ARROZ DOS HERMANOS DULCES 120 GR</t>
  </si>
  <si>
    <t>7790503000333</t>
  </si>
  <si>
    <t>TOSTADAS ARROZ DOS HERMANOS SALADAS 120 GR</t>
  </si>
  <si>
    <t>7790503000326</t>
  </si>
  <si>
    <t>TOSTADAS ARROZ DOS HERMANOS SIN SAL 120 GR</t>
  </si>
  <si>
    <t>7790412000271</t>
  </si>
  <si>
    <t>TOSTADAS ARROZ LEIVA CLAS 150 GR</t>
  </si>
  <si>
    <t>LEIVA</t>
  </si>
  <si>
    <t>7790412000295</t>
  </si>
  <si>
    <t>TOSTADAS ARROZ LEIVA SIN SAL 160 GR</t>
  </si>
  <si>
    <t>7790071090217</t>
  </si>
  <si>
    <t>TOSTADAS RIERA CLAS 200 GRS</t>
  </si>
  <si>
    <t>RIERA</t>
  </si>
  <si>
    <t>7790071090118</t>
  </si>
  <si>
    <t>TOSTADAS RIERA DULCES 200 GRS</t>
  </si>
  <si>
    <t>7790071090316</t>
  </si>
  <si>
    <t>TOSTADAS RIERA INTEGRAL 200 GRS</t>
  </si>
  <si>
    <t>7790071090415</t>
  </si>
  <si>
    <t>TOSTADAS RIERA S/SAL 200 GRS</t>
  </si>
  <si>
    <t>7790071070608</t>
  </si>
  <si>
    <t>TOSTADAS RIERA SEMILLAS 200GR</t>
  </si>
  <si>
    <t>7790077000067</t>
  </si>
  <si>
    <t>VAINILLAS POZO 160 GR</t>
  </si>
  <si>
    <t>POZO</t>
  </si>
  <si>
    <t>7790077000326</t>
  </si>
  <si>
    <t>VAINILLAS POZO 80 GR</t>
  </si>
  <si>
    <t>7798178801873</t>
  </si>
  <si>
    <t>BUFFYS FRESA 20 GR</t>
  </si>
  <si>
    <t>BUFFYS</t>
  </si>
  <si>
    <t>7798178801651</t>
  </si>
  <si>
    <t>BUFFYS STICK-MALLOW FRESA 12 GR</t>
  </si>
  <si>
    <t>7798178801637</t>
  </si>
  <si>
    <t>BUFFYS STICK-MALLOW FRUTAL 12 GR</t>
  </si>
  <si>
    <t>7791359040061</t>
  </si>
  <si>
    <t>TEMBLEKE BRUJA</t>
  </si>
  <si>
    <t>TEMBLEKE</t>
  </si>
  <si>
    <t>7791359040085</t>
  </si>
  <si>
    <t>TEMBLEKE DRACU LENGUA</t>
  </si>
  <si>
    <t>7791359120121</t>
  </si>
  <si>
    <t>TEMBLEKE SIMPSONS X 2</t>
  </si>
  <si>
    <t>7791359140310</t>
  </si>
  <si>
    <t>TEMBLEKE SOBRE RUEDAS</t>
  </si>
  <si>
    <t>7791359140303</t>
  </si>
  <si>
    <t>TEMBLEKE TATOO</t>
  </si>
  <si>
    <t>7791359130069</t>
  </si>
  <si>
    <t>TEMBLEKE TIRA ASKIRATA</t>
  </si>
  <si>
    <t>7791359130014</t>
  </si>
  <si>
    <t>TEMBLEKE TIRA COBRA</t>
  </si>
  <si>
    <t>7791359120275</t>
  </si>
  <si>
    <t>TEMBLEKE TIRA EMOCIONES</t>
  </si>
  <si>
    <t>7791359120176</t>
  </si>
  <si>
    <t>TEMBLEKE TIRA PRINCESAS</t>
  </si>
  <si>
    <t>7791359130045</t>
  </si>
  <si>
    <t>TEMBLEKE TIRA RELOJ</t>
  </si>
  <si>
    <t>7798169802650</t>
  </si>
  <si>
    <t>ALMOHADITAS LASFOR CREMA AVELLANAS</t>
  </si>
  <si>
    <t>LASFOR</t>
  </si>
  <si>
    <t>7798169802681</t>
  </si>
  <si>
    <t>ALMOHADITAS LASFOR MOUSSE DE LIMON</t>
  </si>
  <si>
    <t>7798169802698</t>
  </si>
  <si>
    <t>GRANOLA LASFOR FRUTOS ROJOS</t>
  </si>
  <si>
    <t>7702003010743</t>
  </si>
  <si>
    <t>APOSITOS CURITAS 8 U</t>
  </si>
  <si>
    <t>CURITAS</t>
  </si>
  <si>
    <t>7500435198776</t>
  </si>
  <si>
    <t>MINORA II PRO</t>
  </si>
  <si>
    <t>MINORA</t>
  </si>
  <si>
    <t>7798130950014</t>
  </si>
  <si>
    <t>PAÑUELOS DESCARTABLES CANDELA</t>
  </si>
  <si>
    <t>CANDELA</t>
  </si>
  <si>
    <t>7791014090325</t>
  </si>
  <si>
    <t>PRESERVATIVOS TULIPAN 3 U CLASICO</t>
  </si>
  <si>
    <t>TULIPAN</t>
  </si>
  <si>
    <t>7790590016286</t>
  </si>
  <si>
    <t>FOSFOROS TRES PATITOS 222</t>
  </si>
  <si>
    <t>TRES PATITOS</t>
  </si>
  <si>
    <t>VELAS BLANCAS X 4</t>
  </si>
  <si>
    <t>7794595302528</t>
  </si>
  <si>
    <t>DISPENSER BLUPER BASKET</t>
  </si>
  <si>
    <t>CONFITEL</t>
  </si>
  <si>
    <t>7794595300302</t>
  </si>
  <si>
    <t>DISPENSER BLUPER CHICO</t>
  </si>
  <si>
    <t>7794595301033</t>
  </si>
  <si>
    <t>DISPENSER BLUPER GIGANTE</t>
  </si>
  <si>
    <t>070330125308</t>
  </si>
  <si>
    <t>BOLIGRAFO BIC</t>
  </si>
  <si>
    <t>BIC</t>
  </si>
  <si>
    <t>7798030840088</t>
  </si>
  <si>
    <t>BOMBILLA DESARM C LARGA</t>
  </si>
  <si>
    <t>SEBILLE</t>
  </si>
  <si>
    <t>070330631335</t>
  </si>
  <si>
    <t>ENCENDEDOR BIC MAXI</t>
  </si>
  <si>
    <t>070330913431</t>
  </si>
  <si>
    <t>ENCENDEDOR BIC MINI</t>
  </si>
  <si>
    <t>77944498</t>
  </si>
  <si>
    <t>ENCENDEDOR CANDELA ELECTRONICO</t>
  </si>
  <si>
    <t>6902004095218</t>
  </si>
  <si>
    <t>ENCENDEDOR CANDELA PIEDRA</t>
  </si>
  <si>
    <t>77906731</t>
  </si>
  <si>
    <t>LA GOTITA GEL 3GR</t>
  </si>
  <si>
    <t>LA GOTITA</t>
  </si>
  <si>
    <t>77917188</t>
  </si>
  <si>
    <t>LA GOTITA ORIGINAL 2 ML.</t>
  </si>
  <si>
    <t>8888021300161</t>
  </si>
  <si>
    <t>PILAS ENERGIZER 2025 UNIDAD</t>
  </si>
  <si>
    <t>ENERGIZER</t>
  </si>
  <si>
    <t>8888021300185</t>
  </si>
  <si>
    <t>PILAS ENERGIZER 2032 UNIDAD</t>
  </si>
  <si>
    <t>039800013613</t>
  </si>
  <si>
    <t>PILAS ENERGIZER 9V</t>
  </si>
  <si>
    <t>8999002671962</t>
  </si>
  <si>
    <t>PILAS ENERGIZER AA UNIDAD</t>
  </si>
  <si>
    <t>8999002672068</t>
  </si>
  <si>
    <t>PILAS ENERGIZER AAA UNIDAD</t>
  </si>
  <si>
    <t>77974907</t>
  </si>
  <si>
    <t>BOX 10 RED POINT</t>
  </si>
  <si>
    <t>RED POINT</t>
  </si>
  <si>
    <t>77960894</t>
  </si>
  <si>
    <t>BOX 20 DOLCHESTER</t>
  </si>
  <si>
    <t>DOLCHESTER</t>
  </si>
  <si>
    <t>77971647</t>
  </si>
  <si>
    <t>BOX 20 MASTER</t>
  </si>
  <si>
    <t>MASTER</t>
  </si>
  <si>
    <t>77927965</t>
  </si>
  <si>
    <t>BOX 20 RED POINT</t>
  </si>
  <si>
    <t>77959751</t>
  </si>
  <si>
    <t>BOX 20 RED POINT ON</t>
  </si>
  <si>
    <t>77941558</t>
  </si>
  <si>
    <t>KS 20 MASTER</t>
  </si>
  <si>
    <t>77900883</t>
  </si>
  <si>
    <t>KS 20 RED POINT</t>
  </si>
  <si>
    <t>77970763</t>
  </si>
  <si>
    <t>KS 20 RED POINT MENTHOL</t>
  </si>
  <si>
    <t>7790070416827</t>
  </si>
  <si>
    <t>BARRA GALLO 20 GR LEMON BAR</t>
  </si>
  <si>
    <t>GALLO</t>
  </si>
  <si>
    <t>7790070416513</t>
  </si>
  <si>
    <t>BARRA GALLO 20 GR YOGUR BAR FRUTILLA</t>
  </si>
  <si>
    <t>7790070413178</t>
  </si>
  <si>
    <t>CHOCOBAR DE ARROZ 20GR</t>
  </si>
  <si>
    <t>77929648</t>
  </si>
  <si>
    <t>CUBANITOS OBLITA DDL</t>
  </si>
  <si>
    <t>OBLITA</t>
  </si>
  <si>
    <t>77929631</t>
  </si>
  <si>
    <t>CUBANITOS OBLITA FRUTILLA</t>
  </si>
  <si>
    <t>7790070411952</t>
  </si>
  <si>
    <t>OBLEA GALLO 20 GR CHOCOLATE</t>
  </si>
  <si>
    <t>7790070416247</t>
  </si>
  <si>
    <t>OBLEA GALLO 20 GR CHOCONUSS</t>
  </si>
  <si>
    <t>7792360072461</t>
  </si>
  <si>
    <t>OBLEAS NUGATON BLANCO 27 GR</t>
  </si>
  <si>
    <t>7792360072447</t>
  </si>
  <si>
    <t>OBLEAS NUGATON LECHE 27 GR</t>
  </si>
  <si>
    <t>7793123160272</t>
  </si>
  <si>
    <t>OBLITA  100 GR FRUTILLA</t>
  </si>
  <si>
    <t>7793123013950</t>
  </si>
  <si>
    <t xml:space="preserve">OBLITA 100 GR NOIR </t>
  </si>
  <si>
    <t>7793123160265</t>
  </si>
  <si>
    <t xml:space="preserve">OBLITA 100 GR VAINILLA </t>
  </si>
  <si>
    <t>7793123160029</t>
  </si>
  <si>
    <t xml:space="preserve">OBLITA 50 GR FRUTILLA </t>
  </si>
  <si>
    <t>7793123160043</t>
  </si>
  <si>
    <t xml:space="preserve">OBLITA 50 GR LIMON </t>
  </si>
  <si>
    <t>7793123013455</t>
  </si>
  <si>
    <t>OBLITA 50 GR NOIR</t>
  </si>
  <si>
    <t>7793123160012</t>
  </si>
  <si>
    <t xml:space="preserve">OBLITA 50 GR VAINILLA </t>
  </si>
  <si>
    <t>7792222002889</t>
  </si>
  <si>
    <t>DRF</t>
  </si>
  <si>
    <t>7798094344249</t>
  </si>
  <si>
    <t>MENTITAS DRF DULCE DE LECHE 26 GR</t>
  </si>
  <si>
    <t>LA CASA</t>
  </si>
  <si>
    <t>7798094340555</t>
  </si>
  <si>
    <t>MENTITAS DRF FRUTAL 26GR</t>
  </si>
  <si>
    <t>7798094340012</t>
  </si>
  <si>
    <t>MENTITAS DRF MENTA 25G</t>
  </si>
  <si>
    <t>7798176191310</t>
  </si>
  <si>
    <t>PASTILLAS BULL DOG ACIDAS MANDARINA 30GR</t>
  </si>
  <si>
    <t>BILLIKEN</t>
  </si>
  <si>
    <t>7798186030555</t>
  </si>
  <si>
    <t>PASTILLAS BULL DOG ACIDAS NJA/VIO 30GR</t>
  </si>
  <si>
    <t>7798186030548</t>
  </si>
  <si>
    <t>PASTILLAS BULL DOG ACIDAS RS/VDE 30GR</t>
  </si>
  <si>
    <t>7798340710125</t>
  </si>
  <si>
    <t>PASTILLAS DORINS CORAZONCITOS 25 GR MANGO  Y ANANA</t>
  </si>
  <si>
    <t>DORINS</t>
  </si>
  <si>
    <t>7798340710132</t>
  </si>
  <si>
    <t>PASTILLAS DORINS CORAZONCITOS 25 GR MANZANA Y SANDIA</t>
  </si>
  <si>
    <t>7798340710545</t>
  </si>
  <si>
    <t>PASTILLAS DORINS CORAZONCITOS 25 GR MARACUYA Y ARANDANO</t>
  </si>
  <si>
    <t>7798340710118</t>
  </si>
  <si>
    <t>PASTILLAS DORINS CORAZONCITOS 25 GR UVA Y FRAMBUESA</t>
  </si>
  <si>
    <t>77904744</t>
  </si>
  <si>
    <t>PASTILLAS LA YAPA 17 GR</t>
  </si>
  <si>
    <t>LA DOLCE</t>
  </si>
  <si>
    <t>78605831</t>
  </si>
  <si>
    <t>PASTILLAS TIC TAC FRUTILLA 16 GR</t>
  </si>
  <si>
    <t>TIC TAC</t>
  </si>
  <si>
    <t>78600010</t>
  </si>
  <si>
    <t>PASTILLAS TIC TAC MENTA 16 GR</t>
  </si>
  <si>
    <t>7797394001265</t>
  </si>
  <si>
    <t>PASTILLAS TIC TAC MIX DE FRUTAS  16GR</t>
  </si>
  <si>
    <t>78600027</t>
  </si>
  <si>
    <t>PASTILLAS TIC TAC NARANJA 16 GR</t>
  </si>
  <si>
    <t>7798347089408</t>
  </si>
  <si>
    <t>UNI POP PASTILLAS</t>
  </si>
  <si>
    <t>7795735601204</t>
  </si>
  <si>
    <t>MAGDALENAS DON SATUR 220 GR CHOCO DDL</t>
  </si>
  <si>
    <t>7795735601181</t>
  </si>
  <si>
    <t>MAGDALENAS DON SATUR 220 GR MARMOLADAS</t>
  </si>
  <si>
    <t>7795735601167</t>
  </si>
  <si>
    <t>MAGDALENAS DON SATUR 220 GR VAINILLA</t>
  </si>
  <si>
    <t>779573560117</t>
  </si>
  <si>
    <t>MAGDALENAS DON SATUR 220 GR VAINILLA CHIPS</t>
  </si>
  <si>
    <t>7795735601174</t>
  </si>
  <si>
    <t>MAGDALENAS DON SATUR 220 GR VAINILLA DDL</t>
  </si>
  <si>
    <t>732064773711</t>
  </si>
  <si>
    <t>DEC MANI TOSTADO HONEY 75 GR</t>
  </si>
  <si>
    <t>DEC</t>
  </si>
  <si>
    <t>760412916282</t>
  </si>
  <si>
    <t>DEC MANI TOSTADO SALADO 75 GR</t>
  </si>
  <si>
    <t>724373732794</t>
  </si>
  <si>
    <t>DEC MIX DE FRUTOS SECOS HONEY 35 GR</t>
  </si>
  <si>
    <t>760412916268</t>
  </si>
  <si>
    <t>DEC MIX DE FRUTOS SECOS SALADO 35 GR</t>
  </si>
  <si>
    <t>760412916275</t>
  </si>
  <si>
    <t>DEC MIX DE FRUTOS SECOS SALUDABLE 35 GR</t>
  </si>
  <si>
    <t>7798044150555</t>
  </si>
  <si>
    <t>PIPAS GIGANTES 50GR</t>
  </si>
  <si>
    <t>PIPAS</t>
  </si>
  <si>
    <t>77965233</t>
  </si>
  <si>
    <t>PIPAS GIRASOL 18 GRS</t>
  </si>
  <si>
    <t>7798044150777</t>
  </si>
  <si>
    <t>PIPAS PELADAS 25GR</t>
  </si>
  <si>
    <t>038000184932</t>
  </si>
  <si>
    <t>PRINGLES PAPAS 144 GR ORIGINAL</t>
  </si>
  <si>
    <t>PRINGLES</t>
  </si>
  <si>
    <t>038000845246</t>
  </si>
  <si>
    <t>PRINGLES PAPAS 37 GR ORIGINAL</t>
  </si>
  <si>
    <t>OCB</t>
  </si>
  <si>
    <t>30156104</t>
  </si>
  <si>
    <t>PAPELILLO OCB BLUE X 50</t>
  </si>
  <si>
    <t>30068926</t>
  </si>
  <si>
    <t>PAPELILLO OCB X-PERT X 50</t>
  </si>
  <si>
    <t>7798096700012</t>
  </si>
  <si>
    <t>TABACO LAS HOJAS RUBIO X 50 GR</t>
  </si>
  <si>
    <t>LAS HOJAS</t>
  </si>
  <si>
    <t>0726367847736</t>
  </si>
  <si>
    <t>TUBO SWEET BALLOON</t>
  </si>
  <si>
    <t>SWEET BALLOON</t>
  </si>
  <si>
    <t>7502236153275</t>
  </si>
  <si>
    <t>DEKKIN CARGADOR PARED DOBLE USB</t>
  </si>
  <si>
    <t>7790310983461</t>
  </si>
  <si>
    <t>300052023</t>
  </si>
  <si>
    <t>3D MEGAQUESO 23GR</t>
  </si>
  <si>
    <t>3D</t>
  </si>
  <si>
    <t>7790310985113</t>
  </si>
  <si>
    <t>300058395</t>
  </si>
  <si>
    <t>3D MEGAQUESO 43GR</t>
  </si>
  <si>
    <t>7790310985120</t>
  </si>
  <si>
    <t>300058394</t>
  </si>
  <si>
    <t>3D MEGAQUESO 92GR</t>
  </si>
  <si>
    <t>7790310985137</t>
  </si>
  <si>
    <t>300058397</t>
  </si>
  <si>
    <t>3D MEGAQUESO 143GR</t>
  </si>
  <si>
    <t>7790310983157</t>
  </si>
  <si>
    <t>300050336</t>
  </si>
  <si>
    <t>CHEETOS QUESO 23GR</t>
  </si>
  <si>
    <t>CHEETOS</t>
  </si>
  <si>
    <t>7790310985274</t>
  </si>
  <si>
    <t>300059433</t>
  </si>
  <si>
    <t>CHEETOS QUESO 43GR</t>
  </si>
  <si>
    <t>300052892</t>
  </si>
  <si>
    <t>300054823</t>
  </si>
  <si>
    <t>7790310984512</t>
  </si>
  <si>
    <t>300052894</t>
  </si>
  <si>
    <t>7790310985267</t>
  </si>
  <si>
    <t>3000059545</t>
  </si>
  <si>
    <t>DORITOS QUESO 40GR</t>
  </si>
  <si>
    <t>DORITOS</t>
  </si>
  <si>
    <t>300054821</t>
  </si>
  <si>
    <t>300054822</t>
  </si>
  <si>
    <t>7790310984215</t>
  </si>
  <si>
    <t>300054910</t>
  </si>
  <si>
    <t>DORITOS QUESO 220GR</t>
  </si>
  <si>
    <t>7790310985472</t>
  </si>
  <si>
    <t>300059867</t>
  </si>
  <si>
    <t>DORITOS DINAMITA 33GR</t>
  </si>
  <si>
    <t>7790310985489</t>
  </si>
  <si>
    <t>300059753</t>
  </si>
  <si>
    <t>DORITOS DINAMITA 70GR</t>
  </si>
  <si>
    <t>7790310983614</t>
  </si>
  <si>
    <t>300051988</t>
  </si>
  <si>
    <t>LAYS CLASICA 20GR</t>
  </si>
  <si>
    <t>LAYS</t>
  </si>
  <si>
    <t>7790310985236</t>
  </si>
  <si>
    <t>300059432</t>
  </si>
  <si>
    <t>LAYS CLASICA 40GR</t>
  </si>
  <si>
    <t>300052777</t>
  </si>
  <si>
    <t>300052773</t>
  </si>
  <si>
    <t>7790310984017</t>
  </si>
  <si>
    <t>300052776</t>
  </si>
  <si>
    <t>LAYS CLASICA 249GR</t>
  </si>
  <si>
    <t>7790310983942</t>
  </si>
  <si>
    <t>300059431</t>
  </si>
  <si>
    <t>LAYS JAMON SERRANO 34GR</t>
  </si>
  <si>
    <t>7790310985434</t>
  </si>
  <si>
    <t>300052774</t>
  </si>
  <si>
    <t>LAYS JAMON SERRANO 77GR</t>
  </si>
  <si>
    <t>7790310983973</t>
  </si>
  <si>
    <t>300052772</t>
  </si>
  <si>
    <t>7790310002735</t>
  </si>
  <si>
    <t>300054967</t>
  </si>
  <si>
    <t>7790310985595</t>
  </si>
  <si>
    <t>300058328</t>
  </si>
  <si>
    <t>7790310985328</t>
  </si>
  <si>
    <t>300059801</t>
  </si>
  <si>
    <t>LAYS FLAMIN HOT 70GR</t>
  </si>
  <si>
    <t>7790310985007</t>
  </si>
  <si>
    <t>300056674</t>
  </si>
  <si>
    <t>7790310006818</t>
  </si>
  <si>
    <t>300033488</t>
  </si>
  <si>
    <t>PEP PALITOS PANCETA 40GR</t>
  </si>
  <si>
    <t>PEP</t>
  </si>
  <si>
    <t>300052821</t>
  </si>
  <si>
    <t>7790310920398</t>
  </si>
  <si>
    <t>300033489</t>
  </si>
  <si>
    <t>PEP RUEDITAS PIZZA 40GR</t>
  </si>
  <si>
    <t>300052756</t>
  </si>
  <si>
    <t>7790310985168</t>
  </si>
  <si>
    <t>300058740</t>
  </si>
  <si>
    <t>PEP RAMITAS QUESO 40GR</t>
  </si>
  <si>
    <t>7790310985182</t>
  </si>
  <si>
    <t>300058720</t>
  </si>
  <si>
    <t>PEP RAMITAS QUESO 120GR</t>
  </si>
  <si>
    <t>7790310984451</t>
  </si>
  <si>
    <t>300052696</t>
  </si>
  <si>
    <t>TWISTOS MINIT JAMON 40GR</t>
  </si>
  <si>
    <t>TWISTOS</t>
  </si>
  <si>
    <t>7790310984420</t>
  </si>
  <si>
    <t>300052698</t>
  </si>
  <si>
    <t>TWISTOS MINIT QUESO 40GR</t>
  </si>
  <si>
    <t>7790310984468</t>
  </si>
  <si>
    <t>300052695</t>
  </si>
  <si>
    <t>TWISTOS MINIT JAMON 100GR</t>
  </si>
  <si>
    <t>7790310984437</t>
  </si>
  <si>
    <t>300052867</t>
  </si>
  <si>
    <t>TWISTOS MINIT QUESO 100GR</t>
  </si>
  <si>
    <t>7790310982945</t>
  </si>
  <si>
    <t>300047496</t>
  </si>
  <si>
    <t>MANI MANIAX JAPONES JAMON 110GR</t>
  </si>
  <si>
    <t>PEHUAMAR</t>
  </si>
  <si>
    <t>7790310982938</t>
  </si>
  <si>
    <t>300047036</t>
  </si>
  <si>
    <t>MANI MANIAX JAPONES 110GR</t>
  </si>
  <si>
    <t>7790310983904</t>
  </si>
  <si>
    <t>300052622</t>
  </si>
  <si>
    <t>MANI PEHUAMAR SALADO SIN PIEL  85GR</t>
  </si>
  <si>
    <t>300052621</t>
  </si>
  <si>
    <t>7792170555314</t>
  </si>
  <si>
    <t>300051958</t>
  </si>
  <si>
    <t>AVENA QUAKER 470GR EXTRAFINA</t>
  </si>
  <si>
    <t>QUAKER</t>
  </si>
  <si>
    <t>7792170555345</t>
  </si>
  <si>
    <t>300058444</t>
  </si>
  <si>
    <t>AVENA QUAKER 280GR TRADICIONAL</t>
  </si>
  <si>
    <t>7794000006683</t>
  </si>
  <si>
    <t>CALDO KNORR CARNE X 2 U</t>
  </si>
  <si>
    <t>KNORR</t>
  </si>
  <si>
    <t>CALDO KNORR GALLINA  X 2 U</t>
  </si>
  <si>
    <t>7794000006706</t>
  </si>
  <si>
    <t>CALDO KNORR VERDURAS X 2 U</t>
  </si>
  <si>
    <t>7798158712090</t>
  </si>
  <si>
    <t>AJO GRANULADO 25GR</t>
  </si>
  <si>
    <t>7798158710775</t>
  </si>
  <si>
    <t>ANIS EN GRANO 25GR</t>
  </si>
  <si>
    <t>7790150430392</t>
  </si>
  <si>
    <t>BICARBONATO 50 GR</t>
  </si>
  <si>
    <t>7798158712106</t>
  </si>
  <si>
    <t>CANELA MOLIDA 25GR</t>
  </si>
  <si>
    <t>7798158710065</t>
  </si>
  <si>
    <t>CHIMICHURRI 25GR</t>
  </si>
  <si>
    <t>7798158710034</t>
  </si>
  <si>
    <t>COMINO MOLIDO 25GR</t>
  </si>
  <si>
    <t>7798158710362</t>
  </si>
  <si>
    <t>COND ARROZ 25 GR</t>
  </si>
  <si>
    <t>7790150495339</t>
  </si>
  <si>
    <t>COND PESCADO 25 GR</t>
  </si>
  <si>
    <t>7790580135737</t>
  </si>
  <si>
    <t>COND PIZZA</t>
  </si>
  <si>
    <t>7798158710010</t>
  </si>
  <si>
    <t>OREGANO 25 GRS</t>
  </si>
  <si>
    <t>7798158710041</t>
  </si>
  <si>
    <t>PIMENTON 25G</t>
  </si>
  <si>
    <t>7798158711406</t>
  </si>
  <si>
    <t>PIMIENTA NEGRA EN GRANO 25GR</t>
  </si>
  <si>
    <t>7798158710027</t>
  </si>
  <si>
    <t>PIMIENTA NEGRA MOLIDA 25GR</t>
  </si>
  <si>
    <t>7796373222806</t>
  </si>
  <si>
    <t>POLVO HORNEAR 50 GR</t>
  </si>
  <si>
    <t>7798158710089</t>
  </si>
  <si>
    <t>PROVENZAL 25G</t>
  </si>
  <si>
    <t>7790036948188</t>
  </si>
  <si>
    <t>EDULCORANTE BAGGIO 250 ML SI DIET</t>
  </si>
  <si>
    <t>BAGGIO</t>
  </si>
  <si>
    <t>7790550002779</t>
  </si>
  <si>
    <t>EDULCORANTE CABRALES 50 U SOBRES</t>
  </si>
  <si>
    <t>CABRALES</t>
  </si>
  <si>
    <t>7793451000264</t>
  </si>
  <si>
    <t>MIEL LA CLOTILDE 190 GR</t>
  </si>
  <si>
    <t>LA CLOTILDE</t>
  </si>
  <si>
    <t>7793451000257</t>
  </si>
  <si>
    <t>MIEL LA CLOTILDE 480 GR</t>
  </si>
  <si>
    <t>736684266073</t>
  </si>
  <si>
    <t>AZUCAR ECONOMICA 1KG</t>
  </si>
  <si>
    <t>076625211985</t>
  </si>
  <si>
    <t>GALLETAS DE ARROZ ARROCITAS SEMILLAS SIN SAL</t>
  </si>
  <si>
    <t>ARROCITAS</t>
  </si>
  <si>
    <t>7790538009578</t>
  </si>
  <si>
    <t>GALLETAS DE ARROZ ARROCITAS SESAMO SIN SAL</t>
  </si>
  <si>
    <t>7790538009561</t>
  </si>
  <si>
    <t>GALLETAS DE ARROZ ARROCITAS SESAMO Y SAL</t>
  </si>
  <si>
    <t>7790070418418</t>
  </si>
  <si>
    <t>BIZCOCHOS DE ARROZ GALLO 50 GR DULCES</t>
  </si>
  <si>
    <t>7790070418456</t>
  </si>
  <si>
    <t>BIZCOCHOS DE ARROZ GALLO 50 GR SALADOS</t>
  </si>
  <si>
    <t>7790070412447</t>
  </si>
  <si>
    <t>BIZCOCHOS DE ARROZ GALLO 50 GR TORTA NEGRA</t>
  </si>
  <si>
    <t>7790070410603</t>
  </si>
  <si>
    <t>ARROZ LUCCHETTI LARGO FINO 1 KG</t>
  </si>
  <si>
    <t>LUCCHETTI</t>
  </si>
  <si>
    <t>7790070410610</t>
  </si>
  <si>
    <t>ARROZ LUCCHETTI LARGO FINO 500 GR</t>
  </si>
  <si>
    <t>7790070320780</t>
  </si>
  <si>
    <t>FIDEOS LUCCHETTI 500 GR SPAGHETTI NO 5</t>
  </si>
  <si>
    <t>7794000005372</t>
  </si>
  <si>
    <t>ALMIDON DE MAIZ MAIZENA 250GR</t>
  </si>
  <si>
    <t>MAIZENA</t>
  </si>
  <si>
    <t>7790199604075</t>
  </si>
  <si>
    <t>HARINA DE TRIGO MORIXE 1 KG 000</t>
  </si>
  <si>
    <t>7790199000020</t>
  </si>
  <si>
    <t xml:space="preserve">HARINA DE TRIGO MORIXE 1 KG 0000 </t>
  </si>
  <si>
    <t>7790199603856</t>
  </si>
  <si>
    <t>HARINA DE TRIGO MORIXE 1 KG INTEGRAL</t>
  </si>
  <si>
    <t>7790199604273</t>
  </si>
  <si>
    <t>HARINA DE TRIGO MORIXE 1 KG PIZZAS</t>
  </si>
  <si>
    <t>7790199602910</t>
  </si>
  <si>
    <t>PAN RALLADO MORIXE 500G</t>
  </si>
  <si>
    <t>7790199603177</t>
  </si>
  <si>
    <t>PURE PAPAS INST MORIXE  125 GR</t>
  </si>
  <si>
    <t>7790070936493</t>
  </si>
  <si>
    <t>CAFE ARLISTAN INSTANTANEO 100 GR</t>
  </si>
  <si>
    <t>ARLISTAN</t>
  </si>
  <si>
    <t>7790070936516</t>
  </si>
  <si>
    <t>CAFE ARLISTAN INSTANTANEO 50 GR</t>
  </si>
  <si>
    <t>7790150161227</t>
  </si>
  <si>
    <t>CAFE LA VIRGINIA CAPUCCINO DP DDL 155 GR</t>
  </si>
  <si>
    <t>LA VIRGINIA</t>
  </si>
  <si>
    <t>7790150161029</t>
  </si>
  <si>
    <t>CAFE LA VIRGINIA CAPUCCINO MOUSSE AVELLANAS 125 GR</t>
  </si>
  <si>
    <t>7790150100172</t>
  </si>
  <si>
    <t>7790387800050</t>
  </si>
  <si>
    <t>MATE COCIDO TARAGUI 25 U</t>
  </si>
  <si>
    <t>TARAGUI</t>
  </si>
  <si>
    <t>7790387120363</t>
  </si>
  <si>
    <t>7790387000290</t>
  </si>
  <si>
    <t>TE TARAGUI 10 U BOLDO</t>
  </si>
  <si>
    <t>7790387712056</t>
  </si>
  <si>
    <t>TE TARAGUI 10 U HIERBAS SILVESTRES</t>
  </si>
  <si>
    <t>7790387000283</t>
  </si>
  <si>
    <t>TE TARAGUI 10 U MANZANILLA</t>
  </si>
  <si>
    <t>7790387001785</t>
  </si>
  <si>
    <t>7790387711837</t>
  </si>
  <si>
    <t>7790387800135</t>
  </si>
  <si>
    <t>TE TARAGUI 25 U NEGRO</t>
  </si>
  <si>
    <t>7790387800142</t>
  </si>
  <si>
    <t>7790387013634</t>
  </si>
  <si>
    <t>YERBA TARAGUI 250 GR ROJA</t>
  </si>
  <si>
    <t>7790387013627</t>
  </si>
  <si>
    <t>YERBA TARAGUI 500 GR ROJA</t>
  </si>
  <si>
    <t>7790387013504</t>
  </si>
  <si>
    <t>YERBA TARAGUI 500 GR AZUL</t>
  </si>
  <si>
    <t>7790387014631</t>
  </si>
  <si>
    <t>YERBA UNION 250 GR VERDE</t>
  </si>
  <si>
    <t>UNION</t>
  </si>
  <si>
    <t>7790387014624</t>
  </si>
  <si>
    <t>YERBA UNION 500 GR VERDE</t>
  </si>
  <si>
    <t>7796373002156</t>
  </si>
  <si>
    <t>ESENCIA DE VAINILLA LA PARMESANA 120 CC</t>
  </si>
  <si>
    <t>7790742625106</t>
  </si>
  <si>
    <t>DULCE DE LECHE LA SERENISIMA 400 GR COLONIAL</t>
  </si>
  <si>
    <t>LA SERENISIMA</t>
  </si>
  <si>
    <t>7790742625304</t>
  </si>
  <si>
    <t>DULCE DE LECHE LA SERENISIMA 400 GR CLASICO</t>
  </si>
  <si>
    <t>7790742067005</t>
  </si>
  <si>
    <t>DULCE DE LECHE LA SERENISIMA 400 GR REPOSTERO</t>
  </si>
  <si>
    <t>7790072001014</t>
  </si>
  <si>
    <t xml:space="preserve">SAL CELUSAL 500 GR FINA BOLSITA </t>
  </si>
  <si>
    <t>CELUSAL</t>
  </si>
  <si>
    <t>7790072002080</t>
  </si>
  <si>
    <t xml:space="preserve">SAL CELUSAL 500 GR FINA CAJITA </t>
  </si>
  <si>
    <t>7791004000822</t>
  </si>
  <si>
    <t>SAL CELUSAL 500 GR GRUESA</t>
  </si>
  <si>
    <t>7790070228666</t>
  </si>
  <si>
    <t xml:space="preserve">ACEITE COCINERO 120 GR FRITOLIM </t>
  </si>
  <si>
    <t>COCINERO</t>
  </si>
  <si>
    <t>7790070229687</t>
  </si>
  <si>
    <t>ACEITE COCINERO 900 ML BLEND</t>
  </si>
  <si>
    <t>7790070231666</t>
  </si>
  <si>
    <t xml:space="preserve">ACEITE COCINERO 900 ML GIRASOL </t>
  </si>
  <si>
    <t>7790070231796</t>
  </si>
  <si>
    <t>7797470009819</t>
  </si>
  <si>
    <t>7792900093024</t>
  </si>
  <si>
    <t>VINAGRE DOS ANCLAS PET 500 ML ALCOHOL</t>
  </si>
  <si>
    <t>DOS ANCLAS</t>
  </si>
  <si>
    <t>7792900092980</t>
  </si>
  <si>
    <t>VINAGRE DOS ANCLAS PET 500 ML VINO</t>
  </si>
  <si>
    <t>7790130000713</t>
  </si>
  <si>
    <t>JUGO DE LIMON 250 CC</t>
  </si>
  <si>
    <t>MENOYO</t>
  </si>
  <si>
    <t>7791866000381</t>
  </si>
  <si>
    <t>KETCHUP NATURA DOY PACK 250 GRS</t>
  </si>
  <si>
    <t>NATURA</t>
  </si>
  <si>
    <t>7791866001203</t>
  </si>
  <si>
    <t>MAYONESA NATURA DOY PACK 250 CC</t>
  </si>
  <si>
    <t>7791866001197</t>
  </si>
  <si>
    <t>MAYONESA NATURA SACHET 125 CC</t>
  </si>
  <si>
    <t>7794000006478</t>
  </si>
  <si>
    <t>MOSTAZA SAVORA DOY PACK ORIGINAL 250 GR</t>
  </si>
  <si>
    <t>UNILEVER</t>
  </si>
  <si>
    <t>655257738246</t>
  </si>
  <si>
    <t xml:space="preserve">SALCHICHA X 6 CORTA </t>
  </si>
  <si>
    <t>CHACRA NUESTRA</t>
  </si>
  <si>
    <t>7793281492581</t>
  </si>
  <si>
    <t xml:space="preserve">SALCHICHA X 6 LARGA </t>
  </si>
  <si>
    <t>7790670050728</t>
  </si>
  <si>
    <t>HAMBURGUESA PATY FINITAS X 2</t>
  </si>
  <si>
    <t>PATY</t>
  </si>
  <si>
    <t>7790742770103</t>
  </si>
  <si>
    <t>CREMA DE LECHE LA SERENISIMA BATIR 36% 200 ML</t>
  </si>
  <si>
    <t>7790742770202</t>
  </si>
  <si>
    <t>CREMA DE LECHE LA SERENISIMA BATIR 36% TETRA 200 ML</t>
  </si>
  <si>
    <t>7790742771209</t>
  </si>
  <si>
    <t>CREMA DE LECHE LA SERENISIMA COCINAR 20% 200 ML</t>
  </si>
  <si>
    <t>7790742770301</t>
  </si>
  <si>
    <t>CREMA DE LECHE LA SERENISIMA COCINAR 20% TETRA 200 ML</t>
  </si>
  <si>
    <t>7790742034915</t>
  </si>
  <si>
    <t xml:space="preserve">LECHE LA SERENISIMA SACHET 1 L 1% </t>
  </si>
  <si>
    <t>7790742034922</t>
  </si>
  <si>
    <t xml:space="preserve">LECHE LA SERENISIMA SACHET 1 L 2% </t>
  </si>
  <si>
    <t>7793940448003</t>
  </si>
  <si>
    <t xml:space="preserve">LECHE LA SERENISIMA SACHET 1 L 3% </t>
  </si>
  <si>
    <t>7790742034502</t>
  </si>
  <si>
    <t xml:space="preserve">LECHE LA SERENISIMA SACHET 1 L DESCREMADA </t>
  </si>
  <si>
    <t>7790742562029</t>
  </si>
  <si>
    <t xml:space="preserve">LECHE LA SERENISIMA UAT 200 ML FRUTILLA </t>
  </si>
  <si>
    <t>7790742562012</t>
  </si>
  <si>
    <t>LECHE LA SERENISIMA UAT 200 ML VAINILLA</t>
  </si>
  <si>
    <t>7791337605428</t>
  </si>
  <si>
    <t xml:space="preserve">YOGUR LA SERENISIMA 120 GR CREMOSO FRUTILLA </t>
  </si>
  <si>
    <t>7791337603219</t>
  </si>
  <si>
    <t xml:space="preserve">YOGUR LA SERENISIMA 120 GR CREMOSO VAINILLA </t>
  </si>
  <si>
    <t>7791337007390</t>
  </si>
  <si>
    <t xml:space="preserve">YOGUR LA SERENISIMA 159 GR CON CEREALES </t>
  </si>
  <si>
    <t>7791337006270</t>
  </si>
  <si>
    <t xml:space="preserve">YOGUR LA SERENISIMA 190 GR BEBIBLE FRUTILLA </t>
  </si>
  <si>
    <t>7791337004993</t>
  </si>
  <si>
    <t xml:space="preserve">YOGUR LA SERENISIMA 190 GR BEBIBLE VAINILLA </t>
  </si>
  <si>
    <t>7791337605527</t>
  </si>
  <si>
    <t xml:space="preserve">YOGUR LA SERENISIMA 900 GR LIQUIDO FRUTILLA </t>
  </si>
  <si>
    <t>7791337605510</t>
  </si>
  <si>
    <t xml:space="preserve">YOGUR LA SERENISIMA 900 GR LIQUIDO VAINILLA </t>
  </si>
  <si>
    <t>7790773035158</t>
  </si>
  <si>
    <t>PALILLOS DE MADERA ESCARBADIENTES</t>
  </si>
  <si>
    <t>7798030841566</t>
  </si>
  <si>
    <t>BOMBILLA RESORTE COLOR</t>
  </si>
  <si>
    <t>7790250097426</t>
  </si>
  <si>
    <t xml:space="preserve">TOALLAS SANITARIAS LADYSOFT X 8 NORMAL COMFORT </t>
  </si>
  <si>
    <t>LADYSOFT</t>
  </si>
  <si>
    <t>7790250097433</t>
  </si>
  <si>
    <t xml:space="preserve">TOALLAS SANITARIAS LADYSOFT X 8 ULTRADELGADA TELA SUAVE </t>
  </si>
  <si>
    <t>7790250097464</t>
  </si>
  <si>
    <t>TOALLAS SANITARIAS LADYSOFT X 8 ULTRADELGADA TELA ULTRASECA</t>
  </si>
  <si>
    <t>7791274187742</t>
  </si>
  <si>
    <t>POLVO PEDICO ALGABO TALQUERA 100 GR</t>
  </si>
  <si>
    <t>ALGABO</t>
  </si>
  <si>
    <t>7791274003110</t>
  </si>
  <si>
    <t>POLVO PEDICO ALGABO TALQUERA 60 GR</t>
  </si>
  <si>
    <t>7791274005299</t>
  </si>
  <si>
    <t>QUITA ESMALTE ALGABO 50ML</t>
  </si>
  <si>
    <t>7790250913306</t>
  </si>
  <si>
    <t>PAÑALES BABYSEC M X 8</t>
  </si>
  <si>
    <t>BABYSEC</t>
  </si>
  <si>
    <t>7790250044208</t>
  </si>
  <si>
    <t>PAÑALES BABYSEC P X 8</t>
  </si>
  <si>
    <t>7790250044239</t>
  </si>
  <si>
    <t>PAÑALES BABYSEC XG X 8</t>
  </si>
  <si>
    <t>7790250044246</t>
  </si>
  <si>
    <t>PAÑALES BABYSEC XXG X 8</t>
  </si>
  <si>
    <t>7798141710997</t>
  </si>
  <si>
    <t xml:space="preserve">ENJUAGUE BUCAL CARREFOUR 65 ML MENTA </t>
  </si>
  <si>
    <t>CARREFOUR</t>
  </si>
  <si>
    <t>6910021007206</t>
  </si>
  <si>
    <t>CEPILLO DENTAL COLGATE PREMIER ULTRA 1 U</t>
  </si>
  <si>
    <t>COLGATE</t>
  </si>
  <si>
    <t>7509546056623</t>
  </si>
  <si>
    <t>CREMA DENTAL COLGATE 45 GR TRIPLE ACCION</t>
  </si>
  <si>
    <t>7790064000261</t>
  </si>
  <si>
    <t>ALGONDON ESTRELLA 75 GR</t>
  </si>
  <si>
    <t>ESTRELLA</t>
  </si>
  <si>
    <t>7500435189453</t>
  </si>
  <si>
    <t>AFEITADORA PRESTOBARBA 3</t>
  </si>
  <si>
    <t>GILLETTE</t>
  </si>
  <si>
    <t>7500435198769</t>
  </si>
  <si>
    <t>AFEITADORA PRESTOBARBA ULTRAGRIP 2</t>
  </si>
  <si>
    <t>7794640171246</t>
  </si>
  <si>
    <t xml:space="preserve">ANTITRANSP HINDS ROLLON HIDRATANTE </t>
  </si>
  <si>
    <t>HINDS</t>
  </si>
  <si>
    <t>7790990000847</t>
  </si>
  <si>
    <t xml:space="preserve">JABON TOCADOR PLUSBELLE 125GR ENERGIA </t>
  </si>
  <si>
    <t>PLUSBELLE</t>
  </si>
  <si>
    <t>7790990000830</t>
  </si>
  <si>
    <t xml:space="preserve">JABON TOCADOR PLUSBELLE 125GR FRESCURA </t>
  </si>
  <si>
    <t>7791905022794</t>
  </si>
  <si>
    <t xml:space="preserve">ANTITRANSP POLYANA ROLLON WOOD MEN </t>
  </si>
  <si>
    <t>POLYANA</t>
  </si>
  <si>
    <t>7798033338407</t>
  </si>
  <si>
    <t>ALCOHOL ETILICO 250 ML</t>
  </si>
  <si>
    <t>7793253003777</t>
  </si>
  <si>
    <t xml:space="preserve">LAVANDINA AYUDIN 1 L ANTISPLASH </t>
  </si>
  <si>
    <t>AYUDIN</t>
  </si>
  <si>
    <t>7790520009319</t>
  </si>
  <si>
    <t>GLADE LIMPIADOR DESINFECTANTE 900 ML</t>
  </si>
  <si>
    <t>GLADE</t>
  </si>
  <si>
    <t>7790520013194</t>
  </si>
  <si>
    <t>LIMPIADOR ADHESIVO INODORO GLADE</t>
  </si>
  <si>
    <t>7790520017727</t>
  </si>
  <si>
    <t>PASTILLA INODORO GLADE</t>
  </si>
  <si>
    <t>7798023690195</t>
  </si>
  <si>
    <t>ROLLO COCINA X 3</t>
  </si>
  <si>
    <t>SUSEX</t>
  </si>
  <si>
    <t>7790250057024</t>
  </si>
  <si>
    <t>ROLLO COCINA FAMILIAR</t>
  </si>
  <si>
    <t>7798023699013</t>
  </si>
  <si>
    <t>SEVILLETA DE MESA</t>
  </si>
  <si>
    <t>7794440002399</t>
  </si>
  <si>
    <t>VIRULANA INOXY PLATEADA 1 UN</t>
  </si>
  <si>
    <t>VIRULANA</t>
  </si>
  <si>
    <t>7794440002238</t>
  </si>
  <si>
    <t>VIRULANA INOXY DORADA 1 UN</t>
  </si>
  <si>
    <t>7798342714657</t>
  </si>
  <si>
    <t>PAPEL HIGIENICO UNIDAD</t>
  </si>
  <si>
    <t>7790520010490</t>
  </si>
  <si>
    <t>INSECTICIDA FUYI ESPIRALES X 4</t>
  </si>
  <si>
    <t>FUYI</t>
  </si>
  <si>
    <t>7790520996626</t>
  </si>
  <si>
    <t>INSECTICIDA FUYI TABLETAS X 4</t>
  </si>
  <si>
    <t>TUTTI</t>
  </si>
  <si>
    <t>7798290580144</t>
  </si>
  <si>
    <t>JUGO TUTTI 200 ML DURAZNO</t>
  </si>
  <si>
    <t>7798290580083</t>
  </si>
  <si>
    <t>JUGO TUTTI 200 ML MANZANA</t>
  </si>
  <si>
    <t>7798290580113</t>
  </si>
  <si>
    <t>JUGO TUTTI 200 ML MULTIFRUTA</t>
  </si>
  <si>
    <t>7798290580052</t>
  </si>
  <si>
    <t>JUGO TUTTI 200 ML NARANJA</t>
  </si>
  <si>
    <t>7798290581837</t>
  </si>
  <si>
    <t>7798290581806</t>
  </si>
  <si>
    <t>SMUDIS MANZANA 100% 500 ML</t>
  </si>
  <si>
    <t>7798290581721</t>
  </si>
  <si>
    <t>SMUDIS POMELO 100% 500 ML</t>
  </si>
  <si>
    <t>7798187211311</t>
  </si>
  <si>
    <t>7798187211335</t>
  </si>
  <si>
    <t>7798187210567</t>
  </si>
  <si>
    <t>QUENTO 90 GR BATATAS</t>
  </si>
  <si>
    <t>7798187211465</t>
  </si>
  <si>
    <t>QUENTO 90 GR NACHOS QUESO</t>
  </si>
  <si>
    <t>7798187211816</t>
  </si>
  <si>
    <t>QUENTO 90 GR PAPAS HUMITA</t>
  </si>
  <si>
    <t>7798187211427</t>
  </si>
  <si>
    <t>QUENTO 90 GR PAPAS LIMON</t>
  </si>
  <si>
    <t>7798187211328</t>
  </si>
  <si>
    <t>QUENTO 90 GR PAPAS ONDULADAS ASADO</t>
  </si>
  <si>
    <t>7798187211786</t>
  </si>
  <si>
    <t>QUENTO 90 GR PAPAS ONDULADAS BBQ</t>
  </si>
  <si>
    <t>7798187211298</t>
  </si>
  <si>
    <t>QUENTO 90 GR PAPAS ONDULADAS CHEDDAR</t>
  </si>
  <si>
    <t>7798187211281</t>
  </si>
  <si>
    <t>QUENTO 90 GR PAPAS ONDULADAS JAMON SERRANO</t>
  </si>
  <si>
    <t>7798187211304</t>
  </si>
  <si>
    <t>QUENTO 90 GR PAPAS ONDULADAS KETCHUP</t>
  </si>
  <si>
    <t>7798187211564</t>
  </si>
  <si>
    <t>QUENTO 90 GR PAPAS ONDULADAS MOSTAZA</t>
  </si>
  <si>
    <t>7798187211571</t>
  </si>
  <si>
    <t>QUENTO 90 GR PAPAS ONDULADAS QUESO Y CEBOLLA</t>
  </si>
  <si>
    <t>7798187211410</t>
  </si>
  <si>
    <t>QUENTO 90 GR PAPAS ONDULADAS SALAME</t>
  </si>
  <si>
    <t>7798187211403</t>
  </si>
  <si>
    <t>7798187211441</t>
  </si>
  <si>
    <t>7798187210529</t>
  </si>
  <si>
    <t>7798187210314</t>
  </si>
  <si>
    <t>7798187211632</t>
  </si>
  <si>
    <t>7798187210048</t>
  </si>
  <si>
    <t>QUENTO 50 GR MEGAQUESO CHIZITOS</t>
  </si>
  <si>
    <t>7798187210024</t>
  </si>
  <si>
    <t>QUENTO 50 GR PAPAS CLASICAS</t>
  </si>
  <si>
    <t>7798187210369</t>
  </si>
  <si>
    <t>QUENTO 50 GR PAPAS ONDULADAS</t>
  </si>
  <si>
    <t>7798187210260</t>
  </si>
  <si>
    <t>QUENTO 50 GR PAPAS ONDULADAS KETCHUP</t>
  </si>
  <si>
    <t>7798187211649</t>
  </si>
  <si>
    <t>QUENTO 50 GR PAPAS ONDULADAS QUESO Y CEBOLLA</t>
  </si>
  <si>
    <t>7798187211205</t>
  </si>
  <si>
    <t>QUENTO 70 GR ARROZ BAÑADO CHOCO</t>
  </si>
  <si>
    <t>7798187211694</t>
  </si>
  <si>
    <t>QUENTO 70 GR POCHOCLOS</t>
  </si>
  <si>
    <t>7798187211809</t>
  </si>
  <si>
    <t>QUENTO 75 GR REDES PIZZA</t>
  </si>
  <si>
    <t>7790121000920</t>
  </si>
  <si>
    <t xml:space="preserve">PETACA 200 ML GLOUCESTER WHISKY </t>
  </si>
  <si>
    <t>GLOUCESTER</t>
  </si>
  <si>
    <t>7790121000890</t>
  </si>
  <si>
    <t>PETACA 200 ML NEW STYLE CAFE</t>
  </si>
  <si>
    <t>NEW STYLE</t>
  </si>
  <si>
    <t>7790121000951</t>
  </si>
  <si>
    <t>PETACA 200 ML NEW STYLE CHOCOLATE</t>
  </si>
  <si>
    <t>7790121000968</t>
  </si>
  <si>
    <t>PETACA 200 ML NEW STYLE DULCE DE LECHE</t>
  </si>
  <si>
    <t>7798119220206</t>
  </si>
  <si>
    <t>BLOCK ENERGY 473 ML</t>
  </si>
  <si>
    <t>7798119220299</t>
  </si>
  <si>
    <t>SPEED LATA 250ML</t>
  </si>
  <si>
    <t>7798119220183</t>
  </si>
  <si>
    <t>SPEED LATA 473 ML</t>
  </si>
  <si>
    <t>7798119220381</t>
  </si>
  <si>
    <t>SPEED LATA 473 ML S/A</t>
  </si>
  <si>
    <t>7790315000422</t>
  </si>
  <si>
    <t>AGUA VILLAVICENCIO 2 L SIN GAS</t>
  </si>
  <si>
    <t>VILLAVICENCIO</t>
  </si>
  <si>
    <t>7799155000173</t>
  </si>
  <si>
    <t>AGUA VILLAVICENCIO 500 ML SIN GAS</t>
  </si>
  <si>
    <t>7798062547801</t>
  </si>
  <si>
    <t>AGUA VILLAVICENCIO 500ML CON GAS</t>
  </si>
  <si>
    <t>7790315058201</t>
  </si>
  <si>
    <t>AGUA VILLAVICENCIO 750 ML SPORT</t>
  </si>
  <si>
    <t>7798062548709</t>
  </si>
  <si>
    <t>LEVITE 1.5 L MANZANA</t>
  </si>
  <si>
    <t>LEVITE</t>
  </si>
  <si>
    <t>7798062548648</t>
  </si>
  <si>
    <t>LEVITE 1.5 L NARANJA</t>
  </si>
  <si>
    <t>7790315000934</t>
  </si>
  <si>
    <t>LEVITE 1.5 L NARANJA CERO</t>
  </si>
  <si>
    <t>7798062540253</t>
  </si>
  <si>
    <t>LEVITE 1.5 L PERA</t>
  </si>
  <si>
    <t>7798062548679</t>
  </si>
  <si>
    <t>LEVITE 1.5 L POMELO</t>
  </si>
  <si>
    <t>7790315000910</t>
  </si>
  <si>
    <t>LEVITE 1.5 L POMELO CERO</t>
  </si>
  <si>
    <t>7798062548716</t>
  </si>
  <si>
    <t>LEVITE 500 ML MANZANA</t>
  </si>
  <si>
    <t>7790315100184</t>
  </si>
  <si>
    <t>LEVITE 500 ML MANZANA CERO</t>
  </si>
  <si>
    <t>7798062548655</t>
  </si>
  <si>
    <t>LEVITE 500 ML NARANJA</t>
  </si>
  <si>
    <t>7790315100207</t>
  </si>
  <si>
    <t>LEVITE 500 ML NARANJA CERO</t>
  </si>
  <si>
    <t>7798062540260</t>
  </si>
  <si>
    <t>LEVITE 500 ML PERA</t>
  </si>
  <si>
    <t>7798062548686</t>
  </si>
  <si>
    <t>LEVITE 500 ML POMELO</t>
  </si>
  <si>
    <t>7790315100177</t>
  </si>
  <si>
    <t>LEVITE 500 ML POMELO CERO</t>
  </si>
  <si>
    <t>7793147573102</t>
  </si>
  <si>
    <t>CERV. LATA 473 ML HEINEKEN</t>
  </si>
  <si>
    <t>HEINEKEN</t>
  </si>
  <si>
    <t>7793147573119</t>
  </si>
  <si>
    <t>CERV. LATA 710 ML HEINEKEN</t>
  </si>
  <si>
    <t>7793147570743</t>
  </si>
  <si>
    <t xml:space="preserve">CERV. LATA 473 ML IMPERIAL IPA </t>
  </si>
  <si>
    <t>IMPERIAL</t>
  </si>
  <si>
    <t>CERV. LATA 473 ML SCHNEIDER RUBIA</t>
  </si>
  <si>
    <t>SCHNEIDER</t>
  </si>
  <si>
    <t>7793147570606</t>
  </si>
  <si>
    <t>CERV. LATA 710 ML SCHNEIDER RUBIA</t>
  </si>
  <si>
    <t>7790168000488</t>
  </si>
  <si>
    <t>VINO 750 ML COLON CAB SAUV 2022</t>
  </si>
  <si>
    <t>COLON</t>
  </si>
  <si>
    <t>7792798008377</t>
  </si>
  <si>
    <t xml:space="preserve">CERV. LATA 269 ML CORONA </t>
  </si>
  <si>
    <t>CORONA</t>
  </si>
  <si>
    <t>7792798012435</t>
  </si>
  <si>
    <t>021862</t>
  </si>
  <si>
    <t>CERV. LATA 410 ML CORONA</t>
  </si>
  <si>
    <t>PATAGONIA</t>
  </si>
  <si>
    <t>7792798005956</t>
  </si>
  <si>
    <t xml:space="preserve">CERV. LATA 410 ML PATAGONIA AMBER LAGER </t>
  </si>
  <si>
    <t>7792798006502</t>
  </si>
  <si>
    <t xml:space="preserve">CERV. LATA 410 ML PATAGONIA BOHEMIAN </t>
  </si>
  <si>
    <t>779279899231</t>
  </si>
  <si>
    <t>CERV. LATA 473 ML ANDES IPA</t>
  </si>
  <si>
    <t>ANDES</t>
  </si>
  <si>
    <t>7792798992317</t>
  </si>
  <si>
    <t>CERV. LATA 473 ML ANDES ORIG ROJA</t>
  </si>
  <si>
    <t>7792798999866</t>
  </si>
  <si>
    <t>CERV. LATA 473 ML ANDES ORIG RUBIA</t>
  </si>
  <si>
    <t>7792798012572</t>
  </si>
  <si>
    <t>CERV. LATA 473 ML ANDES ORIGEN FRESQUITA</t>
  </si>
  <si>
    <t>7792798002320</t>
  </si>
  <si>
    <t>CERV. LATA 473 ML ANDES ORIGEN NEGRA</t>
  </si>
  <si>
    <t>7792798014255</t>
  </si>
  <si>
    <t>007634</t>
  </si>
  <si>
    <t>CERV. LATA 473 ML BRAHMA</t>
  </si>
  <si>
    <t>BRAHMA</t>
  </si>
  <si>
    <t>019026</t>
  </si>
  <si>
    <t>CERV. LATA 473 ML BUDWEISER</t>
  </si>
  <si>
    <t>BUDWEISER</t>
  </si>
  <si>
    <t>7792798013791</t>
  </si>
  <si>
    <t>CERV. LATA 473 ML GOOSE ISLAND LAGER</t>
  </si>
  <si>
    <t>STELLA</t>
  </si>
  <si>
    <t>7792798009107</t>
  </si>
  <si>
    <t>CERV. LATA 473 ML QUILMES 0.0</t>
  </si>
  <si>
    <t>QUILMES</t>
  </si>
  <si>
    <t>7792798012923</t>
  </si>
  <si>
    <t>CERV. LATA 473 ML QUILMES CLASICA</t>
  </si>
  <si>
    <t>7792798013388</t>
  </si>
  <si>
    <t>028263</t>
  </si>
  <si>
    <t>CERV. LATA 473 ML QUILMES IPA</t>
  </si>
  <si>
    <t>7792798001316</t>
  </si>
  <si>
    <t>CERV. LATA 473 ML QUILMES STOUT</t>
  </si>
  <si>
    <t>7792798011520</t>
  </si>
  <si>
    <t>025545</t>
  </si>
  <si>
    <t>CERV. LATA 473 ML QUILMES DOBLE MALTA</t>
  </si>
  <si>
    <t>7792798010615</t>
  </si>
  <si>
    <t>024878</t>
  </si>
  <si>
    <t>CERV. LATA 473 ML STELLA ARTOISE</t>
  </si>
  <si>
    <t>024931</t>
  </si>
  <si>
    <t>CERV. LATA 473 ML STELLA ARTOISE NOIRE</t>
  </si>
  <si>
    <t>7792798012701</t>
  </si>
  <si>
    <t>026997</t>
  </si>
  <si>
    <t>CERV. LATA 473 ML STELLA ARTOISE BLANCHE</t>
  </si>
  <si>
    <t>CERV. LATA 710 ML BUDWEISER</t>
  </si>
  <si>
    <t>9002490100070</t>
  </si>
  <si>
    <t>016371</t>
  </si>
  <si>
    <t>RED BULL 250 ML</t>
  </si>
  <si>
    <t>RED BULL</t>
  </si>
  <si>
    <t>90415418</t>
  </si>
  <si>
    <t>016372</t>
  </si>
  <si>
    <t>7791813111245</t>
  </si>
  <si>
    <t>027324</t>
  </si>
  <si>
    <t>ROCKSTAR 500 ML NARANJA</t>
  </si>
  <si>
    <t>ROCKSTAR</t>
  </si>
  <si>
    <t>7792170042029</t>
  </si>
  <si>
    <t>011522</t>
  </si>
  <si>
    <t>GATORADE 500 ML FRUTAS TROPICALES</t>
  </si>
  <si>
    <t>GATORADE</t>
  </si>
  <si>
    <t>7792170042258</t>
  </si>
  <si>
    <t>001418</t>
  </si>
  <si>
    <t>GATORADE 500 ML COOL BLUE</t>
  </si>
  <si>
    <t>7791813777021</t>
  </si>
  <si>
    <t>021971</t>
  </si>
  <si>
    <t>LATA 354 ML 7UP</t>
  </si>
  <si>
    <t>7UP</t>
  </si>
  <si>
    <t>7791813050582</t>
  </si>
  <si>
    <t>LATA 354 ML 7UP S/A</t>
  </si>
  <si>
    <t>8791874555025</t>
  </si>
  <si>
    <t>021967</t>
  </si>
  <si>
    <t>LATA 354 ML PEPSI</t>
  </si>
  <si>
    <t>PESI</t>
  </si>
  <si>
    <t>7791813050056</t>
  </si>
  <si>
    <t>LATA 354 ML PEPSI BLACK</t>
  </si>
  <si>
    <t>7791813000433</t>
  </si>
  <si>
    <t>029163</t>
  </si>
  <si>
    <t>LATA 354 ML PEPSI TWIST</t>
  </si>
  <si>
    <t>7797873423311</t>
  </si>
  <si>
    <t>PET 2.25 L MIRINDA MANZANA</t>
  </si>
  <si>
    <t>MIRINDA</t>
  </si>
  <si>
    <t>7791813423157</t>
  </si>
  <si>
    <t>PET 2.25 L MIRINDA NARANJA</t>
  </si>
  <si>
    <t>7791813777014</t>
  </si>
  <si>
    <t>021970</t>
  </si>
  <si>
    <t>PET 250 ML 7UP</t>
  </si>
  <si>
    <t>7791813555018</t>
  </si>
  <si>
    <t>021972</t>
  </si>
  <si>
    <t>PET 250 ML PEPSI</t>
  </si>
  <si>
    <t>7791813777038</t>
  </si>
  <si>
    <t>025644</t>
  </si>
  <si>
    <t>PET 500 ML 7UP</t>
  </si>
  <si>
    <t>7791813420583</t>
  </si>
  <si>
    <t>PET 500 ML 7UP S/A</t>
  </si>
  <si>
    <t>7791813080022</t>
  </si>
  <si>
    <t>025646</t>
  </si>
  <si>
    <t>PET 500 ML PASO DE LOS TOROS S/A</t>
  </si>
  <si>
    <t>PDT</t>
  </si>
  <si>
    <t>7791813555025</t>
  </si>
  <si>
    <t>025668</t>
  </si>
  <si>
    <t>PET 500 ML PEPSI</t>
  </si>
  <si>
    <t>7791813420057</t>
  </si>
  <si>
    <t>PET 500 ML PEPSI BLACK</t>
  </si>
  <si>
    <t>7790717152026</t>
  </si>
  <si>
    <t>CHAMP 750 ML NOVECENTO EXTRA BRUT</t>
  </si>
  <si>
    <t>NOVECENTO</t>
  </si>
  <si>
    <t>7790154000027</t>
  </si>
  <si>
    <t xml:space="preserve">DEL VALLE 720 ML ANANA </t>
  </si>
  <si>
    <t>DEL VALLE</t>
  </si>
  <si>
    <t>7790154001338</t>
  </si>
  <si>
    <t xml:space="preserve">DEL VALLE 720 ML FRESITA </t>
  </si>
  <si>
    <t>7790154000652</t>
  </si>
  <si>
    <t xml:space="preserve">DEL VALLE 720 ML SIDRA  </t>
  </si>
  <si>
    <t>7790154000669</t>
  </si>
  <si>
    <t>DEL VALLE 720 ML SIDRA ET. NEGRA</t>
  </si>
  <si>
    <t>7790154007781</t>
  </si>
  <si>
    <t>DEL VALLE 720 ML SIDRA SIN ALCOHOL</t>
  </si>
  <si>
    <t>7790717153092</t>
  </si>
  <si>
    <t>VINO 750 ML NOVECENTO RAICES CABERNET SAUVIGNON</t>
  </si>
  <si>
    <t>7795232000524</t>
  </si>
  <si>
    <t>VINO 750 ML OTRO LOCO MAS</t>
  </si>
  <si>
    <t>OTRO LOCO</t>
  </si>
  <si>
    <t>7790895003202</t>
  </si>
  <si>
    <t>LATA 310 ML SCHWEPPES</t>
  </si>
  <si>
    <t>SCHWEPPES</t>
  </si>
  <si>
    <t>7790895648113</t>
  </si>
  <si>
    <t>LATA 310 ML SCHWEPPES GIN &amp; TONIC</t>
  </si>
  <si>
    <t>7790895643903</t>
  </si>
  <si>
    <t>LATA 310 ML SCHWEPPES POMELO</t>
  </si>
  <si>
    <t>7790895648083</t>
  </si>
  <si>
    <t>LATA 310 ML SCHWEPPES VODKA Y CITRUS</t>
  </si>
  <si>
    <t>7790895000232</t>
  </si>
  <si>
    <t>LATA 354 ML COCA COLA</t>
  </si>
  <si>
    <t>COCA-COLA</t>
  </si>
  <si>
    <t>7790895067587</t>
  </si>
  <si>
    <t>LATA 354 ML COCA COLA S/A</t>
  </si>
  <si>
    <t>7790895000256</t>
  </si>
  <si>
    <t>LATA 354 ML FANTA NARANJA</t>
  </si>
  <si>
    <t>FANTA</t>
  </si>
  <si>
    <t>7790895004308</t>
  </si>
  <si>
    <t>LATA 354 ML FANTA NARANJA S/A</t>
  </si>
  <si>
    <t>7790895000270</t>
  </si>
  <si>
    <t>LATA 354 ML SPRITE</t>
  </si>
  <si>
    <t>SPRITE</t>
  </si>
  <si>
    <t>7790895643286</t>
  </si>
  <si>
    <t>LATA 473 ML COCA COLA ESPECIAL</t>
  </si>
  <si>
    <t>7790895001482</t>
  </si>
  <si>
    <t>PET 500 ML COCA COLA LIGHT</t>
  </si>
  <si>
    <t>7790895000782</t>
  </si>
  <si>
    <t>PET 500 ML COCA COLA ORIG</t>
  </si>
  <si>
    <t>7790895067532</t>
  </si>
  <si>
    <t>PET 500 ML COCA COLA ZERO</t>
  </si>
  <si>
    <t>7790895647277</t>
  </si>
  <si>
    <t>PET 500 ML FANTA MISTERIO</t>
  </si>
  <si>
    <t>7790895000836</t>
  </si>
  <si>
    <t>PET 500 ML FANTA NARANJA</t>
  </si>
  <si>
    <t>7790895001055</t>
  </si>
  <si>
    <t>PET 500 ML FANTA POMELO</t>
  </si>
  <si>
    <t>7790895000829</t>
  </si>
  <si>
    <t>PET 500 ML SPRITE</t>
  </si>
  <si>
    <t>7790895064142</t>
  </si>
  <si>
    <t>PET 500 ML SPRITE S/A</t>
  </si>
  <si>
    <t>7790895006715</t>
  </si>
  <si>
    <t>PET 1.5 L SCHWEPPES AGUA TONICA</t>
  </si>
  <si>
    <t>7790895010088</t>
  </si>
  <si>
    <t>PET 1.5 L SCHWEPPES POMELO</t>
  </si>
  <si>
    <t>7790895007217</t>
  </si>
  <si>
    <t>PET 1.75 L COCA COLA ORIG</t>
  </si>
  <si>
    <t>7790895012259</t>
  </si>
  <si>
    <t>PET 1.75 L COCA COLA S/A</t>
  </si>
  <si>
    <t>7790895007255</t>
  </si>
  <si>
    <t>PET 1.75 L FANTA NARANJA</t>
  </si>
  <si>
    <t>7790895647895</t>
  </si>
  <si>
    <t>PET 1.75 L FANTA POMELO</t>
  </si>
  <si>
    <t>7790895007248</t>
  </si>
  <si>
    <t>PET 1.75 L SPRITE</t>
  </si>
  <si>
    <t>7790895012327</t>
  </si>
  <si>
    <t>PET 1.75 L SPRITE S/A</t>
  </si>
  <si>
    <t>7790895067570</t>
  </si>
  <si>
    <t>PET 2.25 L COCA COLA  S/A</t>
  </si>
  <si>
    <t>7790895000997</t>
  </si>
  <si>
    <t>PET 2.25 L COCA COLA ORIG</t>
  </si>
  <si>
    <t>7790895001017</t>
  </si>
  <si>
    <t>PET 2.25 L FANTA NARANJA</t>
  </si>
  <si>
    <t>7790895010095</t>
  </si>
  <si>
    <t>PET 2.25 L SCHWEPPES POMELO</t>
  </si>
  <si>
    <t>7790895001000</t>
  </si>
  <si>
    <t>PET 2.25 L SPRITE</t>
  </si>
  <si>
    <t>7790895648427</t>
  </si>
  <si>
    <t>CEPITA BOTELLA 1 L DURAZNO</t>
  </si>
  <si>
    <t>CEPITA</t>
  </si>
  <si>
    <t>7790895648441</t>
  </si>
  <si>
    <t>CEPITA BOTELLA 1 L NARANJA</t>
  </si>
  <si>
    <t>7790895648144</t>
  </si>
  <si>
    <t>CEPITA BOTELLA 300 ML NARANJA</t>
  </si>
  <si>
    <t>7790895641541</t>
  </si>
  <si>
    <t>CEPITA BOTELLA 300 ML DURAZNO</t>
  </si>
  <si>
    <t>7790895643767</t>
  </si>
  <si>
    <t>ADES TETRA 200 ML FRUTAS TROP</t>
  </si>
  <si>
    <t>ADES</t>
  </si>
  <si>
    <t>7790895646744</t>
  </si>
  <si>
    <t>CEPITA BOTELLA 300 ML MANZANA</t>
  </si>
  <si>
    <t>7790895641183</t>
  </si>
  <si>
    <t>POWERADE 500 ML FRUTAS TROPICALES</t>
  </si>
  <si>
    <t>POWERADE</t>
  </si>
  <si>
    <t>7790895640018</t>
  </si>
  <si>
    <t>POWERADE 500 ML MANZANA</t>
  </si>
  <si>
    <t>7790895640025</t>
  </si>
  <si>
    <t>POWERADE 500 ML MOUNTAIN BLAST</t>
  </si>
  <si>
    <t>1007084789417</t>
  </si>
  <si>
    <t>MONSTER ENERGY ANANA</t>
  </si>
  <si>
    <t>MONSTER</t>
  </si>
  <si>
    <t>1007084703475</t>
  </si>
  <si>
    <t>MONSTER ENERGY MANGO LOCO</t>
  </si>
  <si>
    <t>1007084701235</t>
  </si>
  <si>
    <t>MONSTER ENERGY ORIGINAL</t>
  </si>
  <si>
    <t>1007084702751</t>
  </si>
  <si>
    <t>MONSTER ENERGY THE DOCTOR</t>
  </si>
  <si>
    <t>7790895645778</t>
  </si>
  <si>
    <t>SMART WATER 591 ML</t>
  </si>
  <si>
    <t>SMART WATER</t>
  </si>
  <si>
    <t>7798339251134</t>
  </si>
  <si>
    <t>CERV. LATA 473 ML PAMPA AMBER</t>
  </si>
  <si>
    <t>PAMPA</t>
  </si>
  <si>
    <t>7798339251141</t>
  </si>
  <si>
    <t>CERV. LATA 473 ML PAMPA DORADA</t>
  </si>
  <si>
    <t>7798339251370</t>
  </si>
  <si>
    <t>CERV. LATA 473 ML PAMPA HONEY</t>
  </si>
  <si>
    <t>7798339251127</t>
  </si>
  <si>
    <t>CERV. LATA 473 ML PAMPA IPA</t>
  </si>
  <si>
    <t>7798339250144</t>
  </si>
  <si>
    <t>CERV. LATA 473 ML RABIETA GOLDEN</t>
  </si>
  <si>
    <t>RABIETA</t>
  </si>
  <si>
    <t>7798339250212</t>
  </si>
  <si>
    <t>CERV. LATA 473 ML RABIETA HELLES</t>
  </si>
  <si>
    <t>7798339250151</t>
  </si>
  <si>
    <t>CERV. LATA 473 ML RABIETA IRISH</t>
  </si>
  <si>
    <t>7798339250182</t>
  </si>
  <si>
    <t>CERV. LATA 473 ML RABIETA RED HONEY</t>
  </si>
  <si>
    <t>7798339250137</t>
  </si>
  <si>
    <t>CERV. LATA 473 ML RABIETA IPA</t>
  </si>
  <si>
    <t>7790895640452</t>
  </si>
  <si>
    <t>AQUARIUS 500 ML MANZANA</t>
  </si>
  <si>
    <t>AQUARIUS</t>
  </si>
  <si>
    <t>7790895640445</t>
  </si>
  <si>
    <t>AQUARIUS 500 ML PERA</t>
  </si>
  <si>
    <t>AQUARIUS 500 ML POMELO</t>
  </si>
  <si>
    <t>7798258060183</t>
  </si>
  <si>
    <t>AGUA MINERAL ARUBA 1.5 L</t>
  </si>
  <si>
    <t>ARUBA</t>
  </si>
  <si>
    <t>7798258060190</t>
  </si>
  <si>
    <t>AGUA MINERAL ARUBA 600 ML</t>
  </si>
  <si>
    <t>7798113301611</t>
  </si>
  <si>
    <t>AGUA MINERAL VILLAMANAOS 2 L</t>
  </si>
  <si>
    <t>MANAOS</t>
  </si>
  <si>
    <t>7798113300270</t>
  </si>
  <si>
    <t>AGUA MINERAL VILLAMANOS 600 ML</t>
  </si>
  <si>
    <t>7798113302069</t>
  </si>
  <si>
    <t>PLACER 1.5 L ANANA</t>
  </si>
  <si>
    <t>PLACER</t>
  </si>
  <si>
    <t>7798113302076</t>
  </si>
  <si>
    <t>PLACER 1.5 L MANZANA</t>
  </si>
  <si>
    <t>7798113302090</t>
  </si>
  <si>
    <t>PLACER 1.5 L NARANJA</t>
  </si>
  <si>
    <t>7798113302106</t>
  </si>
  <si>
    <t>PLACER 1.5 L PERA</t>
  </si>
  <si>
    <t>7798113302113</t>
  </si>
  <si>
    <t>PLACER 1.5 L POMELO</t>
  </si>
  <si>
    <t>7798113302007</t>
  </si>
  <si>
    <t>PLACER 500ML ANANA</t>
  </si>
  <si>
    <t>7798113302014</t>
  </si>
  <si>
    <t>PLACER 500ML MANZANA</t>
  </si>
  <si>
    <t>7798113302038</t>
  </si>
  <si>
    <t>PLACER 500ML NARANJA</t>
  </si>
  <si>
    <t>7798113302045</t>
  </si>
  <si>
    <t>PLACER 500ML PERA</t>
  </si>
  <si>
    <t>7798113302052</t>
  </si>
  <si>
    <t>PLACER 500ML POMELO</t>
  </si>
  <si>
    <t>7798113301529</t>
  </si>
  <si>
    <t>PET 2.00 L MANAOS SODA</t>
  </si>
  <si>
    <t>7798113300058</t>
  </si>
  <si>
    <t>PET 2.25 L MANAOS AGUA TONICA</t>
  </si>
  <si>
    <t>7798113300010</t>
  </si>
  <si>
    <t>PET 2.25 L MANAOS COLA</t>
  </si>
  <si>
    <t>7798113300027</t>
  </si>
  <si>
    <t>PET 2.25 L MANAOS LIMA LIMON</t>
  </si>
  <si>
    <t>7798113300041</t>
  </si>
  <si>
    <t>PET 2.25 L MANAOS NARANJA</t>
  </si>
  <si>
    <t>7798113301024</t>
  </si>
  <si>
    <t>PET 2.25 L MANAOS POMELO</t>
  </si>
  <si>
    <t>7798113300201</t>
  </si>
  <si>
    <t>PET 600 ML MANAOS COLA</t>
  </si>
  <si>
    <t>7798113300218</t>
  </si>
  <si>
    <t>PET 600 ML MANAOS LIMA LIMON</t>
  </si>
  <si>
    <t>7798113300225</t>
  </si>
  <si>
    <t>PET 600 ML MANAOS NARANJA</t>
  </si>
  <si>
    <t>7798113301093</t>
  </si>
  <si>
    <t>PET 600 ML MANAOS POMELO</t>
  </si>
  <si>
    <t>7790036000343</t>
  </si>
  <si>
    <t>BAGGIO PRONTO 1 L DURAZNO</t>
  </si>
  <si>
    <t>7790036000336</t>
  </si>
  <si>
    <t>BAGGIO PRONTO 1 L MANZANA</t>
  </si>
  <si>
    <t>7790036000466</t>
  </si>
  <si>
    <t>BAGGIO PRONTO 1 L MULTIFRUTA</t>
  </si>
  <si>
    <t>7790036000329</t>
  </si>
  <si>
    <t>BAGGIO PRONTO 1 L NARANJA</t>
  </si>
  <si>
    <t>7790036000589</t>
  </si>
  <si>
    <t>BAGGIO PRONTO 200 ML DURAZNO</t>
  </si>
  <si>
    <t>7790036000572</t>
  </si>
  <si>
    <t>BAGGIO PRONTO 200 ML MANZANA</t>
  </si>
  <si>
    <t>7790036000602</t>
  </si>
  <si>
    <t>BAGGIO PRONTO 200 ML MULTIFRUTA</t>
  </si>
  <si>
    <t>7790036000565</t>
  </si>
  <si>
    <t>BAGGIO PRONTO 200 ML NARANJA</t>
  </si>
  <si>
    <t>7790260006029</t>
  </si>
  <si>
    <t>PIÑA COLADA AMERICAN CLUB 750 ML</t>
  </si>
  <si>
    <t>AMERICAN CLUB</t>
  </si>
  <si>
    <t>77991829</t>
  </si>
  <si>
    <t>PIÑA COLADA AMERICAN CLUB 200 ML</t>
  </si>
  <si>
    <t>7792410517348</t>
  </si>
  <si>
    <t>GRANADINA CUSENIER 750 CC</t>
  </si>
  <si>
    <t>CUSENIER</t>
  </si>
  <si>
    <t>7891136057029</t>
  </si>
  <si>
    <t>APEROL 750 ML</t>
  </si>
  <si>
    <t>APEROL</t>
  </si>
  <si>
    <t>7891136052000</t>
  </si>
  <si>
    <t>CAMPARI 750 ML</t>
  </si>
  <si>
    <t>CAMPARI</t>
  </si>
  <si>
    <t>7791200000626</t>
  </si>
  <si>
    <t>CYNAR 750 ML</t>
  </si>
  <si>
    <t>CYNAR</t>
  </si>
  <si>
    <t>7798167047923</t>
  </si>
  <si>
    <t>FERNET 1882 LATA 473 CC</t>
  </si>
  <si>
    <t>FERNET</t>
  </si>
  <si>
    <t>7790290001179</t>
  </si>
  <si>
    <t>FERNET BRANCA 450 ML</t>
  </si>
  <si>
    <t>7790290101602</t>
  </si>
  <si>
    <t>FERNET BRANCA 750 ML</t>
  </si>
  <si>
    <t>7793653231619</t>
  </si>
  <si>
    <t>FERNET COLA FERNANDO FORTE 1 LTS</t>
  </si>
  <si>
    <t>7790950000191</t>
  </si>
  <si>
    <t>GANCIA AMERICANO 450 ML</t>
  </si>
  <si>
    <t>GANCIA</t>
  </si>
  <si>
    <t>7790950000160</t>
  </si>
  <si>
    <t>GANCIA AMERICANO 950 ML</t>
  </si>
  <si>
    <t>7792410010047</t>
  </si>
  <si>
    <t>PETACA WHISKY BLENDERS</t>
  </si>
  <si>
    <t>BLENDERS</t>
  </si>
  <si>
    <t>77975225</t>
  </si>
  <si>
    <t>PETACA CRIADORES</t>
  </si>
  <si>
    <t>CRIADORES</t>
  </si>
  <si>
    <t>7792410527897</t>
  </si>
  <si>
    <t>PETACA WHISKY DOBLE V</t>
  </si>
  <si>
    <t>DOBLE V</t>
  </si>
  <si>
    <t>7790260025037</t>
  </si>
  <si>
    <t>PETACA MARIPOSA GRAPA MIEL</t>
  </si>
  <si>
    <t>MARIPOSA</t>
  </si>
  <si>
    <t>7792410527880</t>
  </si>
  <si>
    <t>WHISKY DOBLE V ET. NEGRA 1 LT</t>
  </si>
  <si>
    <t>8501110080910</t>
  </si>
  <si>
    <t>RON HAVANA AÑEJO ESPECIAL 750 CC</t>
  </si>
  <si>
    <t>HAVANA</t>
  </si>
  <si>
    <t>7791250002977</t>
  </si>
  <si>
    <t>WHISKY VAT 69 700 CC</t>
  </si>
  <si>
    <t>VAT 69</t>
  </si>
  <si>
    <t>7791250002984</t>
  </si>
  <si>
    <t>WHISKY VAT 69 700 CC APPLE</t>
  </si>
  <si>
    <t>7790975198613</t>
  </si>
  <si>
    <t>CHAMP 750 ML CHANDON EXTRA BRUT</t>
  </si>
  <si>
    <t>CHANDON</t>
  </si>
  <si>
    <t>7790975198934</t>
  </si>
  <si>
    <t>CHAMP 187 ML CHANDON EXTRA BRUT</t>
  </si>
  <si>
    <t>CHAMP 750 ML FEDERICO DE ALVEAR DULCE</t>
  </si>
  <si>
    <t>F. DE ALVEAR</t>
  </si>
  <si>
    <t>CHAMP 750 ML FEDERICO DE ALVEAR EXT BRUT</t>
  </si>
  <si>
    <t>CHAMP 750 ML FEDERICO DE ALVEAR ROSE DULCE</t>
  </si>
  <si>
    <t>7791250001529</t>
  </si>
  <si>
    <t>CHAMP 750 ML NAVARRO CORREAS EXTRA BRUT</t>
  </si>
  <si>
    <t>NAVARRO CORREAS</t>
  </si>
  <si>
    <t>7792319970459</t>
  </si>
  <si>
    <t>VINO 1895 CLASICO TINTO 750 CC</t>
  </si>
  <si>
    <t>7790240042085</t>
  </si>
  <si>
    <t>VINO 750 ML ALMA MORA CABERNET SAUVIGNON</t>
  </si>
  <si>
    <t>ALMA MORA</t>
  </si>
  <si>
    <t>7790240042108</t>
  </si>
  <si>
    <t>VINO 750 ML ALMA MORA MALBEC</t>
  </si>
  <si>
    <t>VINO 750 ML NORTON COSECHA TARDIA BLANCO DULCE</t>
  </si>
  <si>
    <t>COSECHA TARDIA</t>
  </si>
  <si>
    <t>7792319971166</t>
  </si>
  <si>
    <t>VINO 750 ML NORTON COSECHA TARDIA ROSE</t>
  </si>
  <si>
    <t>7792319971173</t>
  </si>
  <si>
    <t>VINO 750 ML NORTON COSECHA TARDIA TINTO</t>
  </si>
  <si>
    <t>7791540044519</t>
  </si>
  <si>
    <t>VINO 750 ML DADA N2 MOKKA</t>
  </si>
  <si>
    <t>DADA</t>
  </si>
  <si>
    <t>7791540044526</t>
  </si>
  <si>
    <t>VINO 750 ML DADA N3 ESPECIAS</t>
  </si>
  <si>
    <t>7790314073298</t>
  </si>
  <si>
    <t>VINO 1.125 LT RESERO</t>
  </si>
  <si>
    <t>RESERO</t>
  </si>
  <si>
    <t>7791728243871</t>
  </si>
  <si>
    <t>VINO 750 ML SANTA JULIA CABERNET SAUVIGNON</t>
  </si>
  <si>
    <t>SANTA JULIA</t>
  </si>
  <si>
    <t>7791540053368</t>
  </si>
  <si>
    <t>VINO TETRA 1L TERMIDOR BLANCO</t>
  </si>
  <si>
    <t>TERMIDOR</t>
  </si>
  <si>
    <t>7791540053351</t>
  </si>
  <si>
    <t>VINO TETRA 1L TERMIDOR TINTO</t>
  </si>
  <si>
    <t>7790314003226</t>
  </si>
  <si>
    <t>VINO 750 ML TORO TINTO CLASICO</t>
  </si>
  <si>
    <t>TORO</t>
  </si>
  <si>
    <t>7790314003233</t>
  </si>
  <si>
    <t>VINO 750 ML TORO VIEJO BLANCO</t>
  </si>
  <si>
    <t>7790480000470</t>
  </si>
  <si>
    <t>VINO 1.125 LT VIÑAS DE ALVEAR BLANCO</t>
  </si>
  <si>
    <t>V. DE ALVEAR</t>
  </si>
  <si>
    <t>7790480000463</t>
  </si>
  <si>
    <t>VINO 1.125 LT VIÑAS DE ALVEAR TINTO</t>
  </si>
  <si>
    <t>7790290101664</t>
  </si>
  <si>
    <t>VODKA SERNOVA TROPICAL PASSION 700 ML</t>
  </si>
  <si>
    <t>SERNOVA</t>
  </si>
  <si>
    <t>7790290101527</t>
  </si>
  <si>
    <t>VODKA SERNOVA WILD BERRIES 700 ML</t>
  </si>
  <si>
    <t>7791200000213</t>
  </si>
  <si>
    <t>VODKA SKYY 750 ML</t>
  </si>
  <si>
    <t>SKYY</t>
  </si>
  <si>
    <t>7791250003189</t>
  </si>
  <si>
    <t>LATA SMIRNOFF ICE 473 ML FRAMBUESA</t>
  </si>
  <si>
    <t>SMIRNOFF</t>
  </si>
  <si>
    <t>7791250003127</t>
  </si>
  <si>
    <t>LATA SMIRNOFF ICE 473 ML MANZANA</t>
  </si>
  <si>
    <t>7791250003110</t>
  </si>
  <si>
    <t>LATA SMIRNOFF ICE 473 ORIGINAL</t>
  </si>
  <si>
    <t>7791250001871</t>
  </si>
  <si>
    <t>VODKA SMIRNOFF FRAMBUESA 700 ML</t>
  </si>
  <si>
    <t>7791250001857</t>
  </si>
  <si>
    <t>VODKA SMIRNOFF MANZANA 700 ML</t>
  </si>
  <si>
    <t>7791250001345</t>
  </si>
  <si>
    <t>VODKA SMIRNOFF ORIGINAL 700 ML</t>
  </si>
  <si>
    <t>7791250002243</t>
  </si>
  <si>
    <t>VODKA SMIRNOFF SANDIA 700 ML</t>
  </si>
  <si>
    <t>7790950142921</t>
  </si>
  <si>
    <t xml:space="preserve">GANCIA AMERICANO LATA 473 ML </t>
  </si>
  <si>
    <t>7791913004096</t>
  </si>
  <si>
    <t>DOBLE COLA 1 L ORIGINAL</t>
  </si>
  <si>
    <t>7791913005239</t>
  </si>
  <si>
    <t>DOBLE COLA 2.25 L LIMA LIMON</t>
  </si>
  <si>
    <t>7791913005277</t>
  </si>
  <si>
    <t>DOBLE COLA 2.25 L NARANJA</t>
  </si>
  <si>
    <t>7791913001859</t>
  </si>
  <si>
    <t>DOBLE COLA 2.25 L ORIGINAL</t>
  </si>
  <si>
    <t>7791913005253</t>
  </si>
  <si>
    <t>DOBLE COLA 2.25 L POMELO</t>
  </si>
  <si>
    <t>7791913000791</t>
  </si>
  <si>
    <t>DOBLE COLA 3 L ORIGINAL</t>
  </si>
  <si>
    <t>7791913005321</t>
  </si>
  <si>
    <t>DOBLE COLA 500 ML LIMA LIMON</t>
  </si>
  <si>
    <t>7791913005307</t>
  </si>
  <si>
    <t>DOBLE COLA 500 ML NARANJA</t>
  </si>
  <si>
    <t>7791913001477</t>
  </si>
  <si>
    <t>DOBLE COLA 500 ML ORIGINAL</t>
  </si>
  <si>
    <t>7791913005291</t>
  </si>
  <si>
    <t xml:space="preserve">DOBLE COLA 500 ML POMELO </t>
  </si>
  <si>
    <t>7791913005468</t>
  </si>
  <si>
    <t>DOBLE COLA 500 ML SIN AZUCAR</t>
  </si>
  <si>
    <t>7791913004089</t>
  </si>
  <si>
    <t>PRITTY LIMON 1L</t>
  </si>
  <si>
    <t>PRITTY</t>
  </si>
  <si>
    <t>7791913000746</t>
  </si>
  <si>
    <t>PRITTY LIMON 2.25 L</t>
  </si>
  <si>
    <t>7791913000623</t>
  </si>
  <si>
    <t>PRITTY LIMON 500 ML</t>
  </si>
  <si>
    <t>77974389</t>
  </si>
  <si>
    <t>PARLIAMENT BOX 20 SUPER SLIMS (VIRGINIA)</t>
  </si>
  <si>
    <t>PHILIP MORRIS</t>
  </si>
  <si>
    <t>77929891</t>
  </si>
  <si>
    <t>PARLIAMENT RCB 20</t>
  </si>
  <si>
    <t>77918482</t>
  </si>
  <si>
    <t>MARLBORO BOX 20  RED</t>
  </si>
  <si>
    <t>MARLBORO</t>
  </si>
  <si>
    <t>77905819</t>
  </si>
  <si>
    <t>MARLBORO RCB 20 GOLD</t>
  </si>
  <si>
    <t>77916433</t>
  </si>
  <si>
    <t>MARLBORO KS 20 RED</t>
  </si>
  <si>
    <t>77983343</t>
  </si>
  <si>
    <t>MARLBORO BOX 12 RED</t>
  </si>
  <si>
    <t>77968401</t>
  </si>
  <si>
    <t>MARLBORO BOX 20 VISTA CORAL FUSION XL</t>
  </si>
  <si>
    <t>77979667</t>
  </si>
  <si>
    <t>MARLBORO BOX 20 VISTA GREEN FUSION XL</t>
  </si>
  <si>
    <t>77947550</t>
  </si>
  <si>
    <t>MARLBORO BOX 20 VISTA PURPLE FUSION XL</t>
  </si>
  <si>
    <t>77978141</t>
  </si>
  <si>
    <t>MARLBORO BOX 12 VISTA PURPLE FUSION</t>
  </si>
  <si>
    <t>77941015</t>
  </si>
  <si>
    <t>MARLBORO BOX 20 VISTA BLUE XL</t>
  </si>
  <si>
    <t>77912954</t>
  </si>
  <si>
    <t>PHILIP MORRIS BOX 20</t>
  </si>
  <si>
    <t>77912879</t>
  </si>
  <si>
    <t>PHILIP MORRIS KS 20</t>
  </si>
  <si>
    <t>77981813</t>
  </si>
  <si>
    <t>PHILIP MORRIS BOX 12</t>
  </si>
  <si>
    <t>77971913</t>
  </si>
  <si>
    <t>PHILIP MORRIS BOX 12 BLUE SPIN</t>
  </si>
  <si>
    <t>77940735</t>
  </si>
  <si>
    <t>PHILIP MORRIS BOX 20 BLUE SPIN</t>
  </si>
  <si>
    <t>77988225</t>
  </si>
  <si>
    <t>MARLBORO BOX 20 CRAFTED BLUE</t>
  </si>
  <si>
    <t>77987297</t>
  </si>
  <si>
    <t>MARLBORO BOX 20 CRAFTED RED</t>
  </si>
  <si>
    <t>77987310</t>
  </si>
  <si>
    <t>MARLBORO KS 20 CRAFTED BLUE</t>
  </si>
  <si>
    <t>MARLBORO KS 20 CRAFTED RED</t>
  </si>
  <si>
    <t>77953476</t>
  </si>
  <si>
    <t>CHESTERFIELD BOX 20 ORIGINAL</t>
  </si>
  <si>
    <t>CHESTERFIELD</t>
  </si>
  <si>
    <t>77953513</t>
  </si>
  <si>
    <t>CHESTERFIELD KS 20 ORIGINAL</t>
  </si>
  <si>
    <t>77953483</t>
  </si>
  <si>
    <t>CHESTERFIELD BOX 10 ORIGINAL</t>
  </si>
  <si>
    <t>77982476</t>
  </si>
  <si>
    <t>CHESTERFIELD BOX 20 CORAL MOTION</t>
  </si>
  <si>
    <t>77973887</t>
  </si>
  <si>
    <t>CHESTERFIELD BOX 20 PURPLE MOTION</t>
  </si>
  <si>
    <t>77953957</t>
  </si>
  <si>
    <t>CHESTERFIELD BOX 20 BLUE MOTION</t>
  </si>
  <si>
    <t>77983916</t>
  </si>
  <si>
    <t>CHESTERFIELD KS 20 BLUE MOTION</t>
  </si>
  <si>
    <t>77953964</t>
  </si>
  <si>
    <t>CHESTERFIELD BOX 12 BLUE MOTION</t>
  </si>
  <si>
    <t>77966759</t>
  </si>
  <si>
    <t>HARMONY KS 20 DORADO NEGRO</t>
  </si>
  <si>
    <t>HARMONY</t>
  </si>
  <si>
    <t>CAMEL</t>
  </si>
  <si>
    <t>CAMEL BOX 20</t>
  </si>
  <si>
    <t>CAMEL BOX 20 BLUE</t>
  </si>
  <si>
    <t>LUCKY STRIKE BOX 12</t>
  </si>
  <si>
    <t>LUCKY STRIKE</t>
  </si>
  <si>
    <t>LUCKY STRIKE BOX 12 CONVERTIBLE</t>
  </si>
  <si>
    <t xml:space="preserve">LUCKY STRIKE BOX 12 DOUBLE PLUS </t>
  </si>
  <si>
    <t xml:space="preserve">LUCKY STRIKE BOX 12 RED MIX </t>
  </si>
  <si>
    <t>LUCKY STRIKE BOX 20</t>
  </si>
  <si>
    <t>LUCKY STRIKE BOX 20 ORIGEN CONVERTIBLE</t>
  </si>
  <si>
    <t>LUCKY STRIKE BOX 20 ORIGEN RED</t>
  </si>
  <si>
    <t xml:space="preserve">LUCKY STRIKE BOX 20 PARIS </t>
  </si>
  <si>
    <t>LUCKY STRIKE BOX 20 XL DOUBLE PLUS</t>
  </si>
  <si>
    <t>LUCKY STRIKE BOX 20 XL PURPLE MIX</t>
  </si>
  <si>
    <t>LUCKY STRIKE BOX 20 XL RED MIX</t>
  </si>
  <si>
    <t>LUCKY STRIKE KS 20</t>
  </si>
  <si>
    <t>LUCKY STRIKE KS 20 CONVERTIBLE</t>
  </si>
  <si>
    <t>LUCKY STRIKE KS 20 SILVER</t>
  </si>
  <si>
    <t>ROTHMANS BOX 12 CONVERTIBLE</t>
  </si>
  <si>
    <t>ROTHMANS</t>
  </si>
  <si>
    <t>ROTHMANS BOX 12 RED</t>
  </si>
  <si>
    <t>ROTHMANS BOX 20 XL 43/70</t>
  </si>
  <si>
    <t>WINSTON BOX 20</t>
  </si>
  <si>
    <t>WINSTON</t>
  </si>
  <si>
    <t>BASTON GRANEL</t>
  </si>
  <si>
    <t>GRANEL</t>
  </si>
  <si>
    <t>BOLITAS COLOR GRANEL</t>
  </si>
  <si>
    <t>PAPAS PAY GRANEL</t>
  </si>
  <si>
    <t>PALITOS SALADOS GRANEL</t>
  </si>
  <si>
    <t>AROS DE CEBOLLA GRANEL</t>
  </si>
  <si>
    <t>TAPITA OREJITA GRANEL</t>
  </si>
  <si>
    <t>TUTUCAS GRANEL</t>
  </si>
  <si>
    <t>CHIZITO GRANEL</t>
  </si>
  <si>
    <t>BOLITAS CHOCOLATE GRANEL</t>
  </si>
  <si>
    <t>ALMOHADITAS GRANEL</t>
  </si>
  <si>
    <t>GRANOLA DESAYUNO</t>
  </si>
  <si>
    <t>MIX PREMIUM SEMILLAS</t>
  </si>
  <si>
    <t>CEREAL COPOS DE MAIZ</t>
  </si>
  <si>
    <t>CEREAL COPOS DE MAIZ AZUCAR</t>
  </si>
  <si>
    <t>7793147118822</t>
  </si>
  <si>
    <t>7792798010639</t>
  </si>
  <si>
    <t>7792798013357</t>
  </si>
  <si>
    <t>7792798014156</t>
  </si>
  <si>
    <t>CERV. LATA 710 ML ANDES ORIG RUBIA</t>
  </si>
  <si>
    <t>BARRA CEREAL MIX YOGURT FRUTILLA LIGHT</t>
  </si>
  <si>
    <t>BARRA CEREAL MIX CHOCO ALMEND</t>
  </si>
  <si>
    <t>7790290001254</t>
  </si>
  <si>
    <t>FERNET BRANCA 50 ML</t>
  </si>
  <si>
    <t>7792319971159</t>
  </si>
  <si>
    <t>7790580140427</t>
  </si>
  <si>
    <t>7790310984314</t>
  </si>
  <si>
    <t>PEP RUEDITAS PIZZA 74GR</t>
  </si>
  <si>
    <t>P. Compra</t>
  </si>
  <si>
    <t>CAJA HAMBURG CHICA (TEQ X 4)</t>
  </si>
  <si>
    <t>CAJA HAMBURG GRANDE (TEQ X 6)</t>
  </si>
  <si>
    <t>CAJA SANDW DOBLE XL (TEQ X 12)</t>
  </si>
  <si>
    <t>TARJETA SUBE</t>
  </si>
  <si>
    <t>BOLSA CAMISETA 40X50</t>
  </si>
  <si>
    <t>BOLSA CAMISETA 30X40</t>
  </si>
  <si>
    <t>BOLSA PEDIDOS YA GRANDE</t>
  </si>
  <si>
    <t>BOLSA PEDIDOS YA CHICA</t>
  </si>
  <si>
    <t>ACEITE GALON</t>
  </si>
  <si>
    <t>PEDIDOS YA</t>
  </si>
  <si>
    <t>SANDWICH DE MIGA</t>
  </si>
  <si>
    <t>7798135763268</t>
  </si>
  <si>
    <t>VINO 750 ML VALLE DE LUNA MALBEC</t>
  </si>
  <si>
    <t>7798135762919</t>
  </si>
  <si>
    <t>VODKA 1 L NEW STYLE SANDIA</t>
  </si>
  <si>
    <t>7798135763084</t>
  </si>
  <si>
    <t>VODKA 1 L NEW STYLE FRUTOS ROJOS</t>
  </si>
  <si>
    <t>7790895004032</t>
  </si>
  <si>
    <t>CHEETOS QUESO 85GR</t>
  </si>
  <si>
    <t>7790310985809</t>
  </si>
  <si>
    <t>7790310985359</t>
  </si>
  <si>
    <t>300061011</t>
  </si>
  <si>
    <t>CHEETOS QUESO 140GR</t>
  </si>
  <si>
    <t>7790310985793</t>
  </si>
  <si>
    <t>7790310985335</t>
  </si>
  <si>
    <t>LAYS FLAMIN HOT 30GR</t>
  </si>
  <si>
    <t>300059811</t>
  </si>
  <si>
    <t>CHUPETIN MISTER POPS CHICLE BLUE</t>
  </si>
  <si>
    <t>CHUPETIN MISTER POPS CHICLE CEREZA</t>
  </si>
  <si>
    <t>CHUPETIN MISTER POPS CHICLE FEST</t>
  </si>
  <si>
    <t>CHUPETIN MISTER POPS CHICLE UVA</t>
  </si>
  <si>
    <t>CHUPETIN MISTER POPS FRUTAL</t>
  </si>
  <si>
    <t>CHUPETIN TROMPITO TWISTER</t>
  </si>
  <si>
    <t>7791813222057</t>
  </si>
  <si>
    <t>PET 1,5 ML PASO DE LOS TOROS TONICA</t>
  </si>
  <si>
    <t>025538</t>
  </si>
  <si>
    <t>7791813420385</t>
  </si>
  <si>
    <t>025645</t>
  </si>
  <si>
    <t>PET 500 ML PASO DE LOS TOROS</t>
  </si>
  <si>
    <t>7791813111214</t>
  </si>
  <si>
    <t>ROCKSTAR 500 ML ORIGINAL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</si>
  <si>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</si>
  <si>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</si>
  <si>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</si>
  <si>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</si>
  <si>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</si>
  <si>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</si>
  <si>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</si>
  <si>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</si>
  <si>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</si>
  <si>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</si>
  <si>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</si>
  <si>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</si>
  <si>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</si>
  <si>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</si>
  <si>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ImpInt</t>
  </si>
  <si>
    <t>UnidFact</t>
  </si>
  <si>
    <t>CostoFlete</t>
  </si>
  <si>
    <t>1000</t>
  </si>
  <si>
    <t>StockReal</t>
  </si>
  <si>
    <t>ALCAPARRAS</t>
  </si>
  <si>
    <t>ACEITUNAS VERDES CON CAROZO</t>
  </si>
  <si>
    <t>5095</t>
  </si>
  <si>
    <t>5098</t>
  </si>
  <si>
    <t>PULPA PARCHITA</t>
  </si>
  <si>
    <t>5096</t>
  </si>
  <si>
    <t>5097</t>
  </si>
  <si>
    <t>PULPA GUAYABA</t>
  </si>
  <si>
    <t>PULPA TAMARINDO</t>
  </si>
  <si>
    <t>PULPA GUANABANA</t>
  </si>
  <si>
    <t>7798347670071</t>
  </si>
  <si>
    <t>7798347670125</t>
  </si>
  <si>
    <t>Tubo SWEET BALLOON Con Globo Cerdo xu.</t>
  </si>
  <si>
    <t>Tubo SWEET BALLOON Con Globo Unicornio xu.</t>
  </si>
  <si>
    <t>Tubo SWEET BALLOON Con Globo Vacas xu.</t>
  </si>
  <si>
    <t>Pastillas HALLS Sandia x12u.</t>
  </si>
  <si>
    <t>Pastillas LUCKY Surtido x100u.</t>
  </si>
  <si>
    <t>Pastillas TIC TAC Menta Fresca x12u.</t>
  </si>
  <si>
    <t>Oblea OBLITA Dulce De Leche x50g.</t>
  </si>
  <si>
    <t>Caramelos FLYNN PAFF "Xxl" Doble Sabor x24u.</t>
  </si>
  <si>
    <t>Caramelos Duros MARENGO ''No Hay Plata'' Surtidos Bolsa x100u.</t>
  </si>
  <si>
    <t>Chupetín RING POP Terror x48u.</t>
  </si>
  <si>
    <t>Chupetín RING POP x24u. + Huevos TRAP MONSTERS x9u.</t>
  </si>
  <si>
    <t>Cereal FLOW Choco &amp; Limón x24g.</t>
  </si>
  <si>
    <t>Cereal FLOW Choco &amp; Naranja x24g.</t>
  </si>
  <si>
    <t>Cereales FORMIS Frutal x145g.</t>
  </si>
  <si>
    <t>Cereales FORMIS Popcorn x145g.</t>
  </si>
  <si>
    <t>Cereales FORMIS Vainilla x145g.</t>
  </si>
  <si>
    <t>MAICITOS HUECOS PEHUAMAR x260g.</t>
  </si>
  <si>
    <t>Papas LAYS Clasicas x134g</t>
  </si>
  <si>
    <t>Papas PEHUAMAR x485g.</t>
  </si>
  <si>
    <t>Pochoclo GALLO x50gr.Caramelo(50)</t>
  </si>
  <si>
    <t>Pochoclo GALLO x60gr.Sal Marina(35)</t>
  </si>
  <si>
    <t>SALADIX Chips Sabor Picantes x60g.</t>
  </si>
  <si>
    <t>Mayonesa CADA DIA Liviana x125cc. x20u.</t>
  </si>
  <si>
    <t>Mayonesa CADA DIA Liviana x250cc.</t>
  </si>
  <si>
    <t>Arvejas NOEL x300g.</t>
  </si>
  <si>
    <t>Atún LA CAMPAGNOLA Del Mar en Aceite Y Agua Desmenuzado x170g.</t>
  </si>
  <si>
    <t>Atún LA BANDA Desmenuzado en Aceite x170g.</t>
  </si>
  <si>
    <t>Atún LA BANDA Desmenuzado Natural x170g.</t>
  </si>
  <si>
    <t>Atún LA BANDA en Aceite x170g.</t>
  </si>
  <si>
    <t>Caballa LA BANDA al Natural x425g.</t>
  </si>
  <si>
    <t>Caballa LA BANDA en Aceite x380g.</t>
  </si>
  <si>
    <t>Champiñones LA BANDA Enteros x400g.</t>
  </si>
  <si>
    <t>Champiñones LA BANDA Trozos x400g.</t>
  </si>
  <si>
    <t>Choclo LA BANDA Amarillo Cremoso x340g.</t>
  </si>
  <si>
    <t>Choclo LA BANDA Amarillo Entero x300g.</t>
  </si>
  <si>
    <t>Choclo LA BANDA BlancoEntero x350g.</t>
  </si>
  <si>
    <t>Duraznos LA BANDA en Mitades x 850g.</t>
  </si>
  <si>
    <t>LA CAMPAGNOLA Lomo De Atún En Aceite x170g.</t>
  </si>
  <si>
    <t>LA CAMPAGNOLA Lomo De Atún Natural x170g.</t>
  </si>
  <si>
    <t>Porotos LA BANDA Pallares x350g.</t>
  </si>
  <si>
    <t>Edulcorante HILERET Sweet Líquido x400cc.</t>
  </si>
  <si>
    <t>Edulcorante Si DIET Líquido x250cc.</t>
  </si>
  <si>
    <t>Gelatina NOEL Cereza 8 Sobres x30g.</t>
  </si>
  <si>
    <t>NUTELLA Ferrero x350g.</t>
  </si>
  <si>
    <t>Queso Crema CASANCREM Reducido En Lactosa Con Vitaminas x290g.</t>
  </si>
  <si>
    <t>Yerba CRUZ DE MALTA Tradicional Sin Tacc x500g.</t>
  </si>
  <si>
    <t>Caja Tapa y Base Marrón 42 x 33 x 25cm. x25u.</t>
  </si>
  <si>
    <t>Carpeta Nº5 con Cordón de Cartón Licencia Marvel</t>
  </si>
  <si>
    <t>Carpeta Nº5 con Cordón de Cartón Licencia Merlina</t>
  </si>
  <si>
    <t>Carpeta Nº5 con Cordón de Cartón Licencia Snoopy</t>
  </si>
  <si>
    <t>Carpeta Nº5 con Cordón de Cartón Licencia Star Wars</t>
  </si>
  <si>
    <t>Carpeta Nº5 con Cordón de Cartón Licencia Stranger Things</t>
  </si>
  <si>
    <t>Carpeta Nº5 con Cordón de Cartón Licencia Ultra Zombies</t>
  </si>
  <si>
    <t>Carpeta Nº3 con Cordón de Cartón Licencia Fortnite</t>
  </si>
  <si>
    <t>Carpeta Nº3 con Cordón de Cartón Licencia Line Harry Potter</t>
  </si>
  <si>
    <t>Carpeta Nº3 con Cordón de Cartón Licencia SpiderMan</t>
  </si>
  <si>
    <t>Carpeta Nº3 con Cordón de Cartón Licencia Wonder Woman</t>
  </si>
  <si>
    <t>Carpeta Nº5 con Cordón de Cartón Licencia SpiderMan</t>
  </si>
  <si>
    <t>Carpeta Cartulina Veloz Verde</t>
  </si>
  <si>
    <t>Carpeta Nº5 de Cartón Licencia Dragon Ball</t>
  </si>
  <si>
    <t>Carpeta Nº5 de Cartón Licencia Fortnite</t>
  </si>
  <si>
    <t>Carpeta Nº5 de Cartón Licencia Harry Potter</t>
  </si>
  <si>
    <t>Carpeta Nº5 de Cartón Licencia Pusheen</t>
  </si>
  <si>
    <t>Carpeta Escolar MOOVING Minnie Mouse 3x40</t>
  </si>
  <si>
    <t>Carpeta Escolar MOOVING 3x40 Fortnite</t>
  </si>
  <si>
    <t>Carpeta Escolar MOOVING 3x40 Marvel</t>
  </si>
  <si>
    <t>Carpeta Escolar MOOVING 3x40 Spiderman</t>
  </si>
  <si>
    <t>Carpeta Escolar MOOVING 3x40 Star Wars</t>
  </si>
  <si>
    <t>Carpeta Escolar MOOVING 3x40 Stranger Things</t>
  </si>
  <si>
    <t>Carpeta Escolar MOOVING 3x40 Ultra Zombies</t>
  </si>
  <si>
    <t>Carpeta Studio Extra Bold 3x40 xu.</t>
  </si>
  <si>
    <t>Carpeta PPR Ironica 3x40 xu.</t>
  </si>
  <si>
    <t>Carpeta Studio Natural 3x40 xu.</t>
  </si>
  <si>
    <t>Carpeta PPR RIVER PLATE 3x40 xu.</t>
  </si>
  <si>
    <t>Carpeta PPR Sweet 3x40 xu.</t>
  </si>
  <si>
    <t>Carpeta Urbano Rap 3x40 xu.</t>
  </si>
  <si>
    <t>Carpeta PPR Con Cordón Arcoíris Nº3 xu.</t>
  </si>
  <si>
    <t>Carpeta PPR Con Cordón Morf Nº3 xu.</t>
  </si>
  <si>
    <t>Carpeta PPR Con Cordón Natural Nº3 xu.</t>
  </si>
  <si>
    <t>Carpeta PPR Con Cordón RIVER PLATE Nº3 xu.</t>
  </si>
  <si>
    <t>Carpeta PPR Con Cordón Star Wars Nº3 xu.</t>
  </si>
  <si>
    <t>Carpeta PPR Cute Nº3 xu.</t>
  </si>
  <si>
    <t>Carpeta PPR Avengers Nº5 xu.</t>
  </si>
  <si>
    <t>Carpeta PPR Con Cordón Star Wars Nº5 xu.</t>
  </si>
  <si>
    <t>Carpeta PPR Con Cordón Tom Y Jerry Nº5 xu.</t>
  </si>
  <si>
    <t>Carpeta PPR Cry Babies Nº5 xu.</t>
  </si>
  <si>
    <t>Carpeta PPR Peppa Pig Nº5 xu.</t>
  </si>
  <si>
    <t>Carpeta PPR Trendy Dogs Nº5 xu.</t>
  </si>
  <si>
    <t>Separadores Boca Jrs. Nº3 xu.</t>
  </si>
  <si>
    <t>Crayones de Cera FABER-CASTELL Jumbo x12u.</t>
  </si>
  <si>
    <t>Pinturitas PENMAC x12u. Cortos</t>
  </si>
  <si>
    <t>Adhesivo PLASTICOLA x88g.</t>
  </si>
  <si>
    <t>Adhesivo PLASTICOLA x973g.</t>
  </si>
  <si>
    <t>Adhesivo PLASTICOLA x486g.</t>
  </si>
  <si>
    <t>Canopla TALBOT Always Travel 1 Cierre</t>
  </si>
  <si>
    <t>Canopla TALBOT Black Rainbow Triple</t>
  </si>
  <si>
    <t>Canopla TALBOT Desplegable Con Abrojo Triple Donut Worry</t>
  </si>
  <si>
    <t>Canopla TALBOT Desplegable Con Abrojo Triple Girl Vibes</t>
  </si>
  <si>
    <t>Canopla TALBOT Desplegable Con Abrojo Triple Space Monster</t>
  </si>
  <si>
    <t>Canopla TALBOT Desplegable Con Abrojo Triple Just Sleep</t>
  </si>
  <si>
    <t>Canopla TALBOT Desplegable Con Abrojo Triple Lets Rock</t>
  </si>
  <si>
    <t>Canopla TALBOT Desplegable Con Abrojo Triple Monster</t>
  </si>
  <si>
    <t>Canopla TALBOT Hey Ho Lets Go 1 Cierre</t>
  </si>
  <si>
    <t>Canopla TALBOT Music On World Off 1 Cierre</t>
  </si>
  <si>
    <t>Canopla TALBOT Pink Rainbow Triple</t>
  </si>
  <si>
    <t>Canopla TALBOT Street Art Triple</t>
  </si>
  <si>
    <t>Canopla TALBOT Time To Play 1 Cierre</t>
  </si>
  <si>
    <t>Lápiz EZCO Mito Negro Con Goma x12u.</t>
  </si>
  <si>
    <t>Marcadores MOOVING Doble Punta Acuarelable x6u.</t>
  </si>
  <si>
    <t>Marcador MOOVING 100% Color Pastel x8u.</t>
  </si>
  <si>
    <t>Marcador MOOVING 100%Color x 10u.</t>
  </si>
  <si>
    <t>Marcador MOOVING Punta Pincel x 10u.</t>
  </si>
  <si>
    <t>Marcadores MOOVING Metalicos x5u.</t>
  </si>
  <si>
    <t>Marcadores MOOVING Punta Pincel Pastel x6u.</t>
  </si>
  <si>
    <t>Marcadores FABER Winner Brush Azul xu.</t>
  </si>
  <si>
    <t>Resaltador MOOVING Dupla Ideal Duo x4u.</t>
  </si>
  <si>
    <t>Resaltador MOOVING PWR Neon x 5u.</t>
  </si>
  <si>
    <t>Resaltador MOOVING Chic x5u.</t>
  </si>
  <si>
    <t>Resaltador MOOVING Pastel Pwr Surtido x5u.</t>
  </si>
  <si>
    <t>Resaltadores MOOVING Gel x4u.</t>
  </si>
  <si>
    <t>Resaltador MOOVING Glitter x4u.</t>
  </si>
  <si>
    <t>Sacapuntas SIMBALL Metálico xu.</t>
  </si>
  <si>
    <t>Flow Pack Juega Y Colorea LITTLE 1 xu.</t>
  </si>
  <si>
    <t>Abece Cursiva UNIESCO Para Pintar y Colgar xu.</t>
  </si>
  <si>
    <t>Block EL NENE Mandalas Animales 15 x 15cm. x24h.</t>
  </si>
  <si>
    <t>Block EL NENE Mandalas Espacio 15 x 15cm. x24h.</t>
  </si>
  <si>
    <t>Block EL NENE Mandalas Vegetales 15 x 15cm. x24h.</t>
  </si>
  <si>
    <t>Separador Nº3 Urbano x6h.</t>
  </si>
  <si>
    <t>Separadores PPR Avengers Nº3 xu.</t>
  </si>
  <si>
    <t>Separadores PPR Avengers Historieta Nº3 xu.</t>
  </si>
  <si>
    <t>Separadores PPR Campeones Nº3 xu.</t>
  </si>
  <si>
    <t>Separadores PPR Extra Bold Nº3 xu.</t>
  </si>
  <si>
    <t>Separadores PPR Frida Khalo Nº3 xu.</t>
  </si>
  <si>
    <t>Separadores PPR Irónica Nº3 xu.</t>
  </si>
  <si>
    <t>Separadores PPR Natural Nº3 xu.</t>
  </si>
  <si>
    <t>Separadores PPR Star Wars Nº3 xu.</t>
  </si>
  <si>
    <t>Separadores PPR Tom Y Jerry Nº3 xu.</t>
  </si>
  <si>
    <t>Papel Afiche Verde Ingles x20u.</t>
  </si>
  <si>
    <t>AURICULARES DEKKIN INALAMBRICOS CON MICROFONO TWS xu.(50)</t>
  </si>
  <si>
    <t>Kit Karaoke DEKKIN Parlante Inalámbrico + Micrófono Blanco xu.</t>
  </si>
  <si>
    <t>Smartwatch DEKKIN Air Rectangular xu.</t>
  </si>
  <si>
    <t>Smartwatch DEKKIN Pro Redondo xu.</t>
  </si>
  <si>
    <t>Soporte DEKKIN Magnético Adhesivo Negro xu.</t>
  </si>
  <si>
    <t>Cigarrillo LUCKY STRIKE Double Plus XL x20u.</t>
  </si>
  <si>
    <t>Galletitas AMOR Frutilla x110g.</t>
  </si>
  <si>
    <t>Galletitas MELLIZAS x110g.</t>
  </si>
  <si>
    <t>Galletitas MERENGADAS x88g.</t>
  </si>
  <si>
    <t>Galletita Mini POLVORITA Chocolate Con Relleno De Vainilla x152g.</t>
  </si>
  <si>
    <t>Galletita Mini POLVORITA Vainilla Con Relleno De Frutilla x147g.</t>
  </si>
  <si>
    <t>Galletita Mini POLVORITA Vainilla Con Relleno De Vainilla x152g.</t>
  </si>
  <si>
    <t>Galletitas POLVORITA Chocolate Con Relleno De Vainilla x81g.</t>
  </si>
  <si>
    <t>Galletitas POLVORITA Vainilla Con Relleno De Frutilla x81g.</t>
  </si>
  <si>
    <t>Galletitas POLVORITA Vainilla Con Relleno De Vainilla x81g.</t>
  </si>
  <si>
    <t>Galletitas POLVORITA Vainilla Con Relleno De Frutilla x152g.</t>
  </si>
  <si>
    <t>Galletitas POLVORITA Vainilla Con Relleno De Vainilla x152g.</t>
  </si>
  <si>
    <t>Galletitas SONRISAS Frambuesa x3u. x108g.</t>
  </si>
  <si>
    <t>Galletitas DESFILE Lía x398g.</t>
  </si>
  <si>
    <t>Galletitas NINA ''Blondies'' Sabor Vainilla Con Azúcar Orgánica x120g.</t>
  </si>
  <si>
    <t>Galletitas NINA ''Chocolate Bliss'' Sabor Chocolate, Cacao y Azúcar Orgánica x100g.</t>
  </si>
  <si>
    <t>Galletitas NINA ''Cranberry'' Sabor Vainilla Con Arándanos x120g.</t>
  </si>
  <si>
    <t>Bizcocho 9 DE ORO Negro ''Cara Sucia'' x200g.</t>
  </si>
  <si>
    <t>Alfajor CHOCO ARROZ x22g.Frutilla (30-180)</t>
  </si>
  <si>
    <t>Alfajor FULBITO Negro Relleno de Maní 30g. x40u.</t>
  </si>
  <si>
    <t>Alfajores JORGIRO Chocolate Blanco Azucarados x6u. x50g.</t>
  </si>
  <si>
    <t>Alfajores JORGITO Chocolate Negro x6u. x55g.</t>
  </si>
  <si>
    <t>Alfajor Mini NEVARES Dulce De Leche x25g.</t>
  </si>
  <si>
    <t>Gaseosa MANAOS Cola Sin Azucar x2.25L x6u.</t>
  </si>
  <si>
    <t>ACTIMEL Sabor Frutilla x100g.</t>
  </si>
  <si>
    <t>ACTIMEL Sabor Multifruta x100g.</t>
  </si>
  <si>
    <t>DANONINO Fortificado Sabor Frutilla Botellita x185g.</t>
  </si>
  <si>
    <t>DANONINO Fortificado Sabor Vainilla Botellita x185g.</t>
  </si>
  <si>
    <t>Leche Chocolatada NESQUIK Sin Azucar x200ml.</t>
  </si>
  <si>
    <t>Leche NESQUIK ''Milk Shake'' Listo Para Tomar x190cc.</t>
  </si>
  <si>
    <t>Yogur DANONINO Sabor Frutilla x80,5g.</t>
  </si>
  <si>
    <t>Yogur LA SERENISIMA Clásico Entero Con Frutas x140g.</t>
  </si>
  <si>
    <t>Yogur LA SERENISIMA Entero Con Vitaminas Sabor Banana Sachet x900cc.</t>
  </si>
  <si>
    <t>Yogur LA SERENISIMA Entero Con Vitaminas Sabor Durazno Sachet x900cc.</t>
  </si>
  <si>
    <t>Yogur LA SERENISIMA Entero Con Vitaminas Sabor Frutilla Sachet x1100cc.</t>
  </si>
  <si>
    <t>Yogur LA SERENISIMA Entero Con Vitaminas Sabor Frutilla Sachet x900cc.</t>
  </si>
  <si>
    <t>Yogur LA SERENISIMA Entero Con Vitaminas Sabor Vainilla Sachet x1100cc.</t>
  </si>
  <si>
    <t>Yogur LA SERENISIMA Entero Con Vitaminas Sabor Vainilla Sachet x900cc.</t>
  </si>
  <si>
    <t>Yogur SER Sabor Frutilla Sachet x900g.</t>
  </si>
  <si>
    <t>Yogur SER Sabor Vainilla Sachet x900g.</t>
  </si>
  <si>
    <t>YOGURISIMO Entero Sabor Frutilla Sachet x900g.</t>
  </si>
  <si>
    <t>YOGURISIMO Entero Sabor Vainilla Sachet x900g.</t>
  </si>
  <si>
    <t>Agua MANAOS Tónica x2.25L.x6u. Sin Azúcar</t>
  </si>
  <si>
    <t>Agua NESTLE x500cc. x12u.</t>
  </si>
  <si>
    <t>Agua SMART WATER x1.5L x6u.</t>
  </si>
  <si>
    <t>Jugos BAGGIO Fresh Sabor Durazno x1,5L.</t>
  </si>
  <si>
    <t>Jugos BAGGIO Fresh Durazno x1L</t>
  </si>
  <si>
    <t>Jugos BAGGIO Fresh Durazno x200ml.</t>
  </si>
  <si>
    <t>Jugo BC en Sobre Pomelo Amarillo x18u.</t>
  </si>
  <si>
    <t>Jugos PINDAPOY Durazno x1Lt.</t>
  </si>
  <si>
    <t>Jugos PINDAPOY Manzana x1Lt.</t>
  </si>
  <si>
    <t>Jugos PINDAPOY Multrifuta x1Lt.</t>
  </si>
  <si>
    <t>Jugos PINDAPOY Naranja x1Lt.</t>
  </si>
  <si>
    <t>EXHIBIDOR MINI PALLET AGUILA x27,6kg.</t>
  </si>
  <si>
    <t>EXHIBIDOR MINI PALLET BOMB/TABL.x26,62kg.</t>
  </si>
  <si>
    <t>CONEJO BON O BON BCO.x6u.x110g</t>
  </si>
  <si>
    <t>Conejo BON O BON Blanco x50g. xu.</t>
  </si>
  <si>
    <t>Conejo BON O BON Leche x110g. x6u.</t>
  </si>
  <si>
    <t>Conejo BONAFIDE Plano x60g.</t>
  </si>
  <si>
    <t>Figura BON O BON Corazon x120g.</t>
  </si>
  <si>
    <t>Conejo ROCKLETS x110g. xu.</t>
  </si>
  <si>
    <t>Gallinita FELFORT Blanco x38g.</t>
  </si>
  <si>
    <t>Gallinita FELFORT Leche x38g.</t>
  </si>
  <si>
    <t>Huevito AGUILA 60% Cacao x60u. x8g.</t>
  </si>
  <si>
    <t>Huevo AGUILA D'or x200g.</t>
  </si>
  <si>
    <t>Huevo ÁGUILA Semiamargo 60% Cacao x115g.</t>
  </si>
  <si>
    <t>Huevo ALTEZA x22g.</t>
  </si>
  <si>
    <t>Huevo ALTEZA x45gr.</t>
  </si>
  <si>
    <t>Huevo ARCOR Milk ''Dinos Race'' x140g.</t>
  </si>
  <si>
    <t>Huevo ARCOR MILK Unicornio con Sorpresa x140g.</t>
  </si>
  <si>
    <t>Huevitos ARCOR Milk x60u. x8g.</t>
  </si>
  <si>
    <t>Huevo BON O BON Blanco Exhibidor x20g.</t>
  </si>
  <si>
    <t>Huevo BON O BON Leche Exhibidor x20g.</t>
  </si>
  <si>
    <t>Huevo BON O BON Blanco x110g.</t>
  </si>
  <si>
    <t>Huevo BON O BON Leche x110g.</t>
  </si>
  <si>
    <t>Huevo BON O BON Leche Con Cereales x10u. x7,8g.</t>
  </si>
  <si>
    <t>Huevo BON O BON Leche x210g.</t>
  </si>
  <si>
    <t>Huevo BON O BON Leche x55g.</t>
  </si>
  <si>
    <t>Huevos BON O BON Display x30u.</t>
  </si>
  <si>
    <t>Huevitos BON O BON x60u. x7,8g.</t>
  </si>
  <si>
    <t>Huevo BONAFIDE Carezza x20u. x8,4g.</t>
  </si>
  <si>
    <t>Huevo CABSHA x115g.</t>
  </si>
  <si>
    <t>Huevo Cabsha x60u. x8g.</t>
  </si>
  <si>
    <t>Huevo COFLER BLOCK Exhibidor x26g.</t>
  </si>
  <si>
    <t>Huevo COFLER BLOCK Miti-Miti x170g.</t>
  </si>
  <si>
    <t>Huevo Cofler BLOCK x1kg.</t>
  </si>
  <si>
    <t>Huevito COFLER BLOCK x60u. x7,8g.</t>
  </si>
  <si>
    <t>HUEVO COFLER BLOCKx56g(24)</t>
  </si>
  <si>
    <t>Huevo COFLER ''Un Sin Fin De Tentación'' x428g.</t>
  </si>
  <si>
    <t>Huevo FELFORT Paragüitas x200gr.</t>
  </si>
  <si>
    <t>Huevo FERRERO ROCHER Pascua x365g.</t>
  </si>
  <si>
    <t>Huevo FERRERO ROCHER Pascua x225g.</t>
  </si>
  <si>
    <t>FERRERO ROCHER Huevo + Bombones x137,5g.</t>
  </si>
  <si>
    <t>Huevo De Pascuas FULL MANI Leche y Maní Bañados En Chocolate x100g.</t>
  </si>
  <si>
    <t>Huevo De Pascuas FULL MANI Leche y Maní Bañados En Chocolate x45g.</t>
  </si>
  <si>
    <t>Huevo De Pascuas MANTECOL Con Bocadito x200g.</t>
  </si>
  <si>
    <t>Huevo De Pascuas MANTECOL Con Confites x12u. x22g.</t>
  </si>
  <si>
    <t>Huevo MECANO Blanco Bolsa x20u. x9g.</t>
  </si>
  <si>
    <t>Huevo MECANO Bolsa x20u. x9g.</t>
  </si>
  <si>
    <t>Huevo MECANO x115g.</t>
  </si>
  <si>
    <t>Huevo NUGATON Blanco x177g.</t>
  </si>
  <si>
    <t>Huevo NUGATON Blanco x91g.</t>
  </si>
  <si>
    <t>Huevo NUGATON Leche x177g.</t>
  </si>
  <si>
    <t>Huevo NUGATON Leche x91g.</t>
  </si>
  <si>
    <t>Huevitos TOFI x10u. x8,4g.</t>
  </si>
  <si>
    <t>Huevo ROCKLETS Pop Up x110g.</t>
  </si>
  <si>
    <t>Huevo SAPITO Leche x30u. x56g.</t>
  </si>
  <si>
    <t>Huevo De Pascuas TODDY Con Confites x12u. x22g.</t>
  </si>
  <si>
    <t>Huevo TODDY Leche Con Chips x126g.</t>
  </si>
  <si>
    <t>Huevo TOFI x115g.</t>
  </si>
  <si>
    <t>Huevo TOFI x60u. x8,4g.</t>
  </si>
  <si>
    <t>Huevo De Pascuas Leche Con Bombones de Dulce de Leche x152g.</t>
  </si>
  <si>
    <t>Huevo VIZZIO 62% Cacao x148g.</t>
  </si>
  <si>
    <t>Huevo VIZZIO Chocolate Con Leche y Maní x200g.</t>
  </si>
  <si>
    <t>Huevo VIZZIO x167g.</t>
  </si>
  <si>
    <t>Huevo VIZZIO x87g.</t>
  </si>
  <si>
    <t>Huevo de Pascuas GEORGALOS con Bombones x145g.</t>
  </si>
  <si>
    <t>Huevo de Pascuas GEORGALOS con Bombones x75g.</t>
  </si>
  <si>
    <t>Mini Conejitos BONAFIDE x50u. x3,5g</t>
  </si>
  <si>
    <t>Mini Huevo FELFORT con Tatuajes 25u. x10g.</t>
  </si>
  <si>
    <t>Mini Huevos BONAFIDE Rellenos x40u. x8,4g.</t>
  </si>
  <si>
    <t>Mini Huevos GEORGALOS Display x12u. x22g.</t>
  </si>
  <si>
    <t>7790580463403</t>
  </si>
  <si>
    <t>HUEVO PASCUA 20 GR BON O BON</t>
  </si>
  <si>
    <t>7790580133900</t>
  </si>
  <si>
    <t>CONEJO PSCUA BON O BON LECHE</t>
  </si>
  <si>
    <t>7790580581602</t>
  </si>
  <si>
    <t>HUEVOS PASCUA 55 GR BLOCK</t>
  </si>
  <si>
    <t>HUEVO PASCUA 20 GR BLOCK</t>
  </si>
  <si>
    <t>7790580195007</t>
  </si>
  <si>
    <t>7790895649103</t>
  </si>
  <si>
    <t>HUEVO PASCUA 10 GR BON O BON</t>
  </si>
  <si>
    <t xml:space="preserve">HUEVO PASCUA 55 GR BON O BON </t>
  </si>
  <si>
    <t xml:space="preserve">HUEVO PASCUA 7.8 GR BON O BON </t>
  </si>
  <si>
    <t>HUEVITO SORPRESA ARCOR</t>
  </si>
  <si>
    <t>PASCUAS</t>
  </si>
  <si>
    <t>7790580746712</t>
  </si>
  <si>
    <t>TOFI 55 GR LECHE</t>
  </si>
  <si>
    <t>CodigoProveedor</t>
  </si>
  <si>
    <t>Kg/Lts</t>
  </si>
  <si>
    <t>PorKg</t>
  </si>
  <si>
    <t>POROTOS BLANCOS 500 GR</t>
  </si>
  <si>
    <t>FRUTIPULPAS</t>
  </si>
  <si>
    <t>CARAM DURO</t>
  </si>
  <si>
    <t>CARAM DURO MINI</t>
  </si>
  <si>
    <t>7790580128524</t>
  </si>
  <si>
    <t>7790040141254</t>
  </si>
  <si>
    <t>MOGUL 30 GR OJITOS</t>
  </si>
  <si>
    <t>7790580135911</t>
  </si>
  <si>
    <t>1014118</t>
  </si>
  <si>
    <t>1003750</t>
  </si>
  <si>
    <t>7798062540109</t>
  </si>
  <si>
    <t>7799155000258</t>
  </si>
  <si>
    <t>CARAM MASTIC</t>
  </si>
  <si>
    <t>Pedido</t>
  </si>
  <si>
    <t>Total Pedido</t>
  </si>
  <si>
    <t>TOSTADAS ARROZ LEIVA DULCE 160 GR</t>
  </si>
  <si>
    <t>7790412000288</t>
  </si>
  <si>
    <t>7898024395235</t>
  </si>
  <si>
    <t>NUTELLA 350 GR</t>
  </si>
  <si>
    <t>7791519001970</t>
  </si>
  <si>
    <t>NAIPE POCKER CASINO PLAST ROJO X 54</t>
  </si>
  <si>
    <t>GALLETAS TRIO 160 GR FROLITAS MEMBRILLO</t>
  </si>
  <si>
    <t>NAIPE ESPAÑOL CASINO PLAST X 50</t>
  </si>
  <si>
    <t>HUEVITO KINDER SORPRESA JOY</t>
  </si>
  <si>
    <t>80761761</t>
  </si>
  <si>
    <t>KINDER BUENO 43 GR WHITE</t>
  </si>
  <si>
    <t>7792222002865</t>
  </si>
  <si>
    <t>DRF PASTILLAS MENTA</t>
  </si>
  <si>
    <t>7792222002841</t>
  </si>
  <si>
    <t>DRF PASTILLAS ANIS</t>
  </si>
  <si>
    <t>7792222002827</t>
  </si>
  <si>
    <t>DRF PASTILLAS NARANJA</t>
  </si>
  <si>
    <t>7792222002780</t>
  </si>
  <si>
    <t>DRF PASTILLAS MENTOL</t>
  </si>
  <si>
    <t>DRF PASTILLAS LIMON</t>
  </si>
  <si>
    <t>77927361</t>
  </si>
  <si>
    <t>VAUQUITA TABLETA 25G</t>
  </si>
  <si>
    <t>VAUQUITA TABLETA 25G SUAVE</t>
  </si>
  <si>
    <t>7798169802667</t>
  </si>
  <si>
    <t>ALMOHADITAS LASFOR CHOCOLATE SUIZO</t>
  </si>
  <si>
    <t>7793147573393</t>
  </si>
  <si>
    <t>7790580128425</t>
  </si>
  <si>
    <t>7790580132873</t>
  </si>
  <si>
    <t>7790580259600</t>
  </si>
  <si>
    <t>7790580259402</t>
  </si>
  <si>
    <t>7790580140434</t>
  </si>
  <si>
    <t>Ingresos</t>
  </si>
  <si>
    <t>Salidas</t>
  </si>
  <si>
    <t>Oferta</t>
  </si>
  <si>
    <t>Precio_fijo</t>
  </si>
  <si>
    <t>FechaVenc</t>
  </si>
  <si>
    <t>Anulado</t>
  </si>
  <si>
    <t>AlertaVencimiento</t>
  </si>
  <si>
    <t>DiasVenc</t>
  </si>
  <si>
    <t>AlertaFechaVenc</t>
  </si>
  <si>
    <t>Precio10</t>
  </si>
  <si>
    <t>OfertaDesde</t>
  </si>
  <si>
    <t>OfertaHasta</t>
  </si>
  <si>
    <t>IB</t>
  </si>
  <si>
    <t>UnidadEti</t>
  </si>
  <si>
    <t>StockInicial</t>
  </si>
  <si>
    <t>StockOferta</t>
  </si>
  <si>
    <t>LAYS CLASICA 85GR</t>
  </si>
  <si>
    <t>7790310985458</t>
  </si>
  <si>
    <t>LAYS CLASICA 134GR</t>
  </si>
  <si>
    <t>7790310985465</t>
  </si>
  <si>
    <t>DORITOS QUESO 77GR</t>
  </si>
  <si>
    <t>7790310985649</t>
  </si>
  <si>
    <t>DORITOS QUESO 129GR</t>
  </si>
  <si>
    <t>7790310985656</t>
  </si>
  <si>
    <t>CHEETOS ONDULADOS 43GR</t>
  </si>
  <si>
    <t>VODKA 1 L NEW STYLE ORIGINAL</t>
  </si>
  <si>
    <t xml:space="preserve">RON BLANCO 1 L NEW STYLE </t>
  </si>
  <si>
    <t>7790121001569</t>
  </si>
  <si>
    <t>7790121000555</t>
  </si>
  <si>
    <t xml:space="preserve">RED BULL 250 ML S/A </t>
  </si>
  <si>
    <t>RED BULL 250 ML SANDIA</t>
  </si>
  <si>
    <t>9002490258313</t>
  </si>
  <si>
    <t>026422</t>
  </si>
  <si>
    <t>7790890100951</t>
  </si>
  <si>
    <t>MIEL EL COSACO 470 GR</t>
  </si>
  <si>
    <t>EL COSACO</t>
  </si>
  <si>
    <t>7790250097495</t>
  </si>
  <si>
    <t>PROTECTORES DIARIOS LADYSOFT X 20</t>
  </si>
  <si>
    <t>POWERADE 500 ML MARACUYA</t>
  </si>
  <si>
    <t>AQUARIUS 500 ML POMELO ROSADO</t>
  </si>
  <si>
    <t>779031098535</t>
  </si>
  <si>
    <t xml:space="preserve">LAYS QUESO Y CEBOLLA 77GR </t>
  </si>
  <si>
    <t>779031098397</t>
  </si>
  <si>
    <t xml:space="preserve">LAYS QUESO Y CEBOLLA 34GR </t>
  </si>
  <si>
    <t xml:space="preserve">LAYS KETCHUP 77GR </t>
  </si>
  <si>
    <t xml:space="preserve">LAYS CHEDDAR 77GR </t>
  </si>
  <si>
    <t xml:space="preserve">LAYS CEBOLLA CARAMELIZADA 77GR </t>
  </si>
  <si>
    <t>779031000273</t>
  </si>
  <si>
    <t xml:space="preserve">LAYS KETCHUP 34GR </t>
  </si>
  <si>
    <t xml:space="preserve">LAYS CHEDDAR 34GR </t>
  </si>
  <si>
    <t>779031098559</t>
  </si>
  <si>
    <t>VODKA Y GIN</t>
  </si>
  <si>
    <t>7791250002267</t>
  </si>
  <si>
    <t>DRY GIN 700 ML GORDONS</t>
  </si>
  <si>
    <t>GORDONS</t>
  </si>
  <si>
    <t>7791670027635</t>
  </si>
  <si>
    <t>CHAMP 750 ML FEDERICO DE ALVEAR DEMI SEC</t>
  </si>
  <si>
    <t>AGUA VILLA DEL SUR 600 ML SIN GAS</t>
  </si>
  <si>
    <t>AGUA VILLA DEL SUR 300 ML SIN GAS</t>
  </si>
  <si>
    <t>01034</t>
  </si>
  <si>
    <t>4171</t>
  </si>
  <si>
    <t>POTE NATURAL 25CC (SALSA)</t>
  </si>
  <si>
    <t>7971</t>
  </si>
  <si>
    <t>TAPA POTE NATURAL 25CC (SALSA)</t>
  </si>
  <si>
    <t>7793704000911</t>
  </si>
  <si>
    <t>YERBA MATE PLAYADITO 500 GR</t>
  </si>
  <si>
    <t>7792170042005</t>
  </si>
  <si>
    <t>GATORADE 500 ML MANZANA</t>
  </si>
  <si>
    <t>001416</t>
  </si>
  <si>
    <t>CHEETOS QUESO 229GR</t>
  </si>
  <si>
    <t>CHEETOS ONDULADOS 85GR</t>
  </si>
  <si>
    <t>Chicle BLUPER Bolón Tutti Frutti x30u.</t>
  </si>
  <si>
    <t>Chicles BLUPER Bolón Tira x6u. x30g.</t>
  </si>
  <si>
    <t>Chicles BAZOOKA Banana x80u.</t>
  </si>
  <si>
    <t>Chicles BAZOOKA Fruta x80u.</t>
  </si>
  <si>
    <t>Chicles BAZOOKA Menta x80u.</t>
  </si>
  <si>
    <t>Pastillas BIYÚ con Sorpresa Display x12u.</t>
  </si>
  <si>
    <t>Chocman BONAFIDE Black x35g.</t>
  </si>
  <si>
    <t>Chocman BONAFIDE Semiamargo x35g.</t>
  </si>
  <si>
    <t>Oblea Arroz GALLO SNACKS White xu.</t>
  </si>
  <si>
    <t>Caramelo PICO DULCE Cremy Pote x385g.</t>
  </si>
  <si>
    <t>Caramelo Duro LHERITIER Surtido Menta-Cherry-Miel Pote x450g.</t>
  </si>
  <si>
    <t>Caramelos PICO DULCE Acido Power x500g.</t>
  </si>
  <si>
    <t>Chupetín BABY DOLL Lheritier Acido Power x18u.</t>
  </si>
  <si>
    <t>Chupetín BOLA LOCA Frutilla-Sandia Pote x24u. x16g.</t>
  </si>
  <si>
    <t>Chupetín RING POP Twisted x24u.</t>
  </si>
  <si>
    <t>Chupetin SPRING POP Tradicional x36u.</t>
  </si>
  <si>
    <t>Chizitos CHEETOS PEPSICO Ondulados Sabor Queso Crema x43g.</t>
  </si>
  <si>
    <t>Chizitos CHEETOS PEPSICO Ondulados Sabor Queso Crema x85g.</t>
  </si>
  <si>
    <t>Papas LAYS Ondas x30g.</t>
  </si>
  <si>
    <t>Papas LAYS Ondas x70g.</t>
  </si>
  <si>
    <t>Papas PRINGLES Bife De Chorizo x109g.</t>
  </si>
  <si>
    <t>Edulcorante CAÑUELAS Clásico x100 Sobres x8mg.</t>
  </si>
  <si>
    <t>Edulcorante CAÑUELAS Stevia x100 Sobres x8mg.</t>
  </si>
  <si>
    <t>Edulcorante LEDESMA Stevia 0% Calorías x400 Sobres</t>
  </si>
  <si>
    <t>Bizcochuelo EMETH Dulce de Leche x450g.</t>
  </si>
  <si>
    <t>Flan NOEL Vainilla x240g</t>
  </si>
  <si>
    <t>Pionono Salado BONAFIDE x180g.</t>
  </si>
  <si>
    <t>Harina de Maíz NOEL x490g.</t>
  </si>
  <si>
    <t>Harina de Maíz PRESTO PRONTA x490g.</t>
  </si>
  <si>
    <t>Arroz APOSTOLES Largo Fino x500g.</t>
  </si>
  <si>
    <t>Arroz MONEDA Doble x1kg.</t>
  </si>
  <si>
    <t>Arroz MONEDA Doble x500g.</t>
  </si>
  <si>
    <t>Arroz MONEDA Largo Fino x1kg.</t>
  </si>
  <si>
    <t>Arroz MONEDA Largo Fino x500g.</t>
  </si>
  <si>
    <t>Lapiz MOOVING Dulce Bicolor Surtido x12u.</t>
  </si>
  <si>
    <t>Lapiz MOOVING Dulce Pastel Surtido x10u.</t>
  </si>
  <si>
    <t>Lapiz MOOVING Fest Neon Surtido x6u.</t>
  </si>
  <si>
    <t>Lapiz MOOVING Hey Metal Surtido x12u.</t>
  </si>
  <si>
    <t>Lapiz MOOVING Hey Metal Surtido x6u.</t>
  </si>
  <si>
    <t>Escarapela Nº 127 Redonda Grande Con Botón Y Colita x24u.</t>
  </si>
  <si>
    <t>Cinta Adhesiva DELI 18 x 25mm.</t>
  </si>
  <si>
    <t>Adhesivo PLASTICOLA Color Violeta x35g.</t>
  </si>
  <si>
    <t>Adhesivo PLASTICOLA Fluo Surtido x35g. x12u.</t>
  </si>
  <si>
    <t>Adhesivo PLASTICOLA x237g.</t>
  </si>
  <si>
    <t>Calculadora Científica MATISSE JM-82MS-A xu.</t>
  </si>
  <si>
    <t>Calculadora Científica MATISSE JM-82MS-A Con Pilas xu</t>
  </si>
  <si>
    <t>Libro ¿El Hijo Del Elefante? xu.</t>
  </si>
  <si>
    <t>Libro Activa Tus Colores ''1'' xu.</t>
  </si>
  <si>
    <t>Libro Activa Tus Colores ''2'' xu.</t>
  </si>
  <si>
    <t>Libro Activa Tus Colores ''3'' xu.</t>
  </si>
  <si>
    <t>Libro Activa Tus Colores ''4'' xu.</t>
  </si>
  <si>
    <t>Libro Alegría Y Tristeza xu.</t>
  </si>
  <si>
    <t>Libro Animales Acuáticos xu.</t>
  </si>
  <si>
    <t>Libro Animales Prehistóricos xu.</t>
  </si>
  <si>
    <t>Libro Animales Salvajes xu.</t>
  </si>
  <si>
    <t>Libro Así Fue Como Se Le Arrugo La Piel Al Rinoceronte xu.</t>
  </si>
  <si>
    <t>Libro Asco En Un Dia De Granja xu.</t>
  </si>
  <si>
    <t>Libro Descubriendo Adivinanzas Color Amarillo xu.</t>
  </si>
  <si>
    <t>Libro Descubriendo Adivinanzas Color Azul xu.</t>
  </si>
  <si>
    <t>Libro Descubriendo Adivinanzas Color Naranja xu.</t>
  </si>
  <si>
    <t>Libro Descubriendo Adivinanzas Color Rojo xu.</t>
  </si>
  <si>
    <t>Libro Dragon Y Gruñón xu.</t>
  </si>
  <si>
    <t>Libro El Monstruo Hosco xu.</t>
  </si>
  <si>
    <t>Libro El Principito En Mandalas xu.</t>
  </si>
  <si>
    <t>Libro Frutos Rojos xu.</t>
  </si>
  <si>
    <t>Libro Grafismos Animales Domésticos xu.</t>
  </si>
  <si>
    <t>Libro Grafismos Animales De La Granja xu.</t>
  </si>
  <si>
    <t>Libro Grafismos Animales De Océanos Y Mares xu.</t>
  </si>
  <si>
    <t>Libro Grafismo Animales De Selva Y Bosque xu.</t>
  </si>
  <si>
    <t>Libro La Carrera Del Rey xu.</t>
  </si>
  <si>
    <t>Libro Las Formas En Mandalas xu.</t>
  </si>
  <si>
    <t>Libro Las Letras En Mandalas xu.</t>
  </si>
  <si>
    <t>Libro Así Fue Como Le Salió La Joroba Al Camello xu.</t>
  </si>
  <si>
    <t>Libro Los Caminos De El Flautista De Hamelin xu.</t>
  </si>
  <si>
    <t>Libro Los Caminos De El Gato Con Botas xu.</t>
  </si>
  <si>
    <t>Libro Los Caminos De Hansel y Gretel xu.</t>
  </si>
  <si>
    <t>Libro Los Caminos De Pinocho xu.</t>
  </si>
  <si>
    <t>Libro Los Números En Mandalas xu.</t>
  </si>
  <si>
    <t>Libro Mi Amigo Julepe xu.</t>
  </si>
  <si>
    <t>Libro Mi Mama T-Rex xu.</t>
  </si>
  <si>
    <t>Libro Pitu Y Las Sombras xu.</t>
  </si>
  <si>
    <t>Libro Así Fue Como Se Puso Las Manchas El Leopardo xu.</t>
  </si>
  <si>
    <t>Rollo HÚSARES Obra 57mm. x25mts. x10u.</t>
  </si>
  <si>
    <t>Álbum Copa América 2024 xu.</t>
  </si>
  <si>
    <t>Figurita Copa América 2024 x25u.</t>
  </si>
  <si>
    <t>Afeitadora XMART SPEED 3 xu.</t>
  </si>
  <si>
    <t>Papel Higiénico FELPITA Doble Hoja x30mts. x4u.</t>
  </si>
  <si>
    <t>CIG.L.STRIKE CONVERTIBLE XLx20u.(10)</t>
  </si>
  <si>
    <t>Tabaco ACHALAY x40g</t>
  </si>
  <si>
    <t>Budín BIMBO Artesano Banana x350g.</t>
  </si>
  <si>
    <t>Budín BIMBO Artesano Carrot Cake x350g.</t>
  </si>
  <si>
    <t>Madalenas VALENTE Rellenas Con Dulce de Leche x200g.</t>
  </si>
  <si>
    <t>Galletitas BUTTER BAKERY Sabor Manteca x150g.</t>
  </si>
  <si>
    <t>Galletitas CACHAFAZ Harina Integral y Algarroba x225g.</t>
  </si>
  <si>
    <t>Galletitas CACHAFAZ Avena Con Chips De Chocolate x225g.</t>
  </si>
  <si>
    <t>Galletitas CACHAFAZ Avena y Pasas De Uva x225g.</t>
  </si>
  <si>
    <t>Galletitas CACHAFAZ Granola Con Avena, Almendras y Maní x225g.</t>
  </si>
  <si>
    <t>Galletitas Chispas FANTOCHE x155g.</t>
  </si>
  <si>
    <t>Galletitas CHISPITAS x140g.</t>
  </si>
  <si>
    <t>Galletitas CHOCO BAKERY Sabor Chocolate x150g.</t>
  </si>
  <si>
    <t>Galletitas TRIO Frolitas Batata x150g.</t>
  </si>
  <si>
    <t>Bizcochos DON SATUR con Queso x140g.</t>
  </si>
  <si>
    <t>Alfajor FULBITO Negro Relleno de Chocolate 30g. x40u.</t>
  </si>
  <si>
    <t>Galletitas RIERA Varitas Clásicas x140g.</t>
  </si>
  <si>
    <t>Galletitas DON SATUR Talitas Con Queso x110g.</t>
  </si>
  <si>
    <t>Galletitas TRAVIATA Balance x321g.</t>
  </si>
  <si>
    <t>Galletitas TRAVIATA x324g.</t>
  </si>
  <si>
    <t>SALADIX Horneados Picante x100g.</t>
  </si>
  <si>
    <t>COMBO GANCIA</t>
  </si>
  <si>
    <t>Alfajor ALFA PAMPA Chocolate Blanco x60g.</t>
  </si>
  <si>
    <t>Alfajor ALFA PAMPA Chocolate Negro x60g.</t>
  </si>
  <si>
    <t>Alfajor ALFA PAMPA Maicena x60g.</t>
  </si>
  <si>
    <t>Alfajor CACHAFAZ Blanco x60g.</t>
  </si>
  <si>
    <t>Alfajor CACHAFAZ Mousse x50g.</t>
  </si>
  <si>
    <t>Alfajor CACHAFAZ Negro x60g.</t>
  </si>
  <si>
    <t>Alfajor MIKO Chocolate Negro x38g.</t>
  </si>
  <si>
    <t>Alfajor NEVARES Negro 40g. x40u.</t>
  </si>
  <si>
    <t>Gaseosa MANAOS Naranja Duraznos x2.25L x6u.</t>
  </si>
  <si>
    <t>Gaseosa MANAOS Pomelo Sin Azucar x2.25L x6u.</t>
  </si>
  <si>
    <t>Bebida Energizante MONSTER Green x473ml. x6u.</t>
  </si>
  <si>
    <t>SCHWEPPES Tónica Lata x310ml. x6u.</t>
  </si>
  <si>
    <t>SCHWEPPES Tónica Zero Lata x310ml. x6u.</t>
  </si>
  <si>
    <t>Postre DANETTE Chocolate Amargo x95g.</t>
  </si>
  <si>
    <t>Postre DANETTE Chocolate Blanco x95g.</t>
  </si>
  <si>
    <t>Postre LA SERENISIMA Clásico Sabor Chocolate x95g.</t>
  </si>
  <si>
    <t>Postre SER Chocolate x95g.</t>
  </si>
  <si>
    <t>Flan SER Vainilla x95g.</t>
  </si>
  <si>
    <t>Postre SERENITO Sabor Vainilla Con Rocklets x120g.</t>
  </si>
  <si>
    <t>Queso Blanco LA SERENISIMA Clásico Entero x195g.</t>
  </si>
  <si>
    <t>Queso CASANCREM Blanco x290g.</t>
  </si>
  <si>
    <t>Yogur DANONINO Sabor Vainilla x80,5g.</t>
  </si>
  <si>
    <t>Yogur LA SERENISIMA Clásico Sabor Frutilla x85g.</t>
  </si>
  <si>
    <t>Yogur LA SERENISIMA Clásico Sabor Vainilla x85g.</t>
  </si>
  <si>
    <t>Jugo CEPITA Sabor Naranja x6u. x998cc.</t>
  </si>
  <si>
    <t>Jugos PINDAPOY Durazno x200cc.</t>
  </si>
  <si>
    <t>TERMA Cero Citrus x1350cc.</t>
  </si>
  <si>
    <t>TERMA Cero Cuyano Pet x1350cc.</t>
  </si>
  <si>
    <t>TERMA Cero Limón Pet x1350cc.</t>
  </si>
  <si>
    <t>TERMA Cero Patagónico Pet x1350cc.</t>
  </si>
  <si>
    <t>TERMA Cero Pomelo Pet x1350cc.</t>
  </si>
  <si>
    <t>TERMA Cero Pomelo Rosado Pet x1350cc.</t>
  </si>
  <si>
    <t>TERMA Cero Serrano Pet x1350cc.</t>
  </si>
  <si>
    <t>TERMA Serrano Cero Botella x1750cc.</t>
  </si>
  <si>
    <t>MARTINI Rosso x1000cc.</t>
  </si>
  <si>
    <t>Chocolate CADBURY Yoghurt Frutilla x29g.</t>
  </si>
  <si>
    <t>Chocolate CADBURY Yoghurt Frutilla x82g.</t>
  </si>
  <si>
    <t>Chocolate SAPITO Blanco con Maní x10g. x24u.</t>
  </si>
  <si>
    <t>Chocolate CADBURY Intense Semiamargo x162g.</t>
  </si>
  <si>
    <t>Chocolate COFLER Leche Y Almendras x140g.</t>
  </si>
  <si>
    <t>Chocolate VIZZIO 60% Cacao Relleno Con Menta x80gr.</t>
  </si>
  <si>
    <t>Chocolate SMACK Barra Rellena Con Mousse Sabor Vainilla x35g.</t>
  </si>
  <si>
    <t>Chocolate SMACK Barra Relleno Con Mousse Sabor Chocolate x35g.</t>
  </si>
  <si>
    <t>Huevo KINDER Sorpresa Miraculous x12u.</t>
  </si>
  <si>
    <t>Huevitos KINDER Mini Eggs Bolsa x85g.</t>
  </si>
  <si>
    <t>Huevo KINDER Gran Sorpresa Minions x100g.</t>
  </si>
  <si>
    <t>Patito FELFOR Leche x40g.</t>
  </si>
  <si>
    <t>SOPA KNORR SOBRE</t>
  </si>
  <si>
    <t>LEVITE 300 ML POMELO</t>
  </si>
  <si>
    <t>7799155000166</t>
  </si>
  <si>
    <t>7799155000159</t>
  </si>
  <si>
    <t>LEVITE 300 ML NARANJA</t>
  </si>
  <si>
    <t>RECARGA CELULAR / SUBE</t>
  </si>
  <si>
    <t>Total</t>
  </si>
  <si>
    <t>PEREJIL</t>
  </si>
  <si>
    <t>MAPLES HUEVOS</t>
  </si>
  <si>
    <t>SAL</t>
  </si>
  <si>
    <t>VINAGRE</t>
  </si>
  <si>
    <t>INGREDIENTES</t>
  </si>
  <si>
    <t>7798187211946</t>
  </si>
  <si>
    <t>QUENTO 90 GR PAPAS ONDULADAS PICANTES</t>
  </si>
  <si>
    <t>7798187211939</t>
  </si>
  <si>
    <t>QUENTO 90 GR NACHOS PICANTES</t>
  </si>
  <si>
    <t>QUENTO 50 GR NACHOS QUESO</t>
  </si>
  <si>
    <t>QUENTO 50 GR PAPAS ONDULADAS CHEDDAR</t>
  </si>
  <si>
    <t>QUENTO 50 GR PAPAS ONDULADAS JAMON SERRANO</t>
  </si>
  <si>
    <t>QUENTO 50 GR PAPAS ONDULADAS SALAME</t>
  </si>
  <si>
    <t>SMUDIS MULTIFRUTA 500 ML</t>
  </si>
  <si>
    <t>QUENTO 90 GR PAPAS CLASICAS</t>
  </si>
  <si>
    <t>QUENTO 90 GR PAPAS ONDULADAS</t>
  </si>
  <si>
    <t>QUENTO 50 GR BATATAS</t>
  </si>
  <si>
    <t>7798290581691</t>
  </si>
  <si>
    <t>JUGO TUTTI 1 L NARANJA</t>
  </si>
  <si>
    <t>7798290580120</t>
  </si>
  <si>
    <t>JUGO TUTTI 1 L MULTIFRUTA</t>
  </si>
  <si>
    <t>7798290581868</t>
  </si>
  <si>
    <t>JUGO TUTTI 200 MLUVA</t>
  </si>
  <si>
    <t>PRESTOBARBA MAS FILOS X 3 HOJAS</t>
  </si>
  <si>
    <t>6952337300404</t>
  </si>
  <si>
    <t>DONCELLA</t>
  </si>
  <si>
    <t>7790940216144</t>
  </si>
  <si>
    <t>7790940216151</t>
  </si>
  <si>
    <t>TOALLAS SANITARIAS DONCELLA X 8  TELA SUAVE C/P</t>
  </si>
  <si>
    <t>TOALLAS SANITARIAS DONCELLA X 8 TELA SUAVE S/P</t>
  </si>
  <si>
    <t>5013</t>
  </si>
  <si>
    <t>BESITOS DE COCO TODO CASERO</t>
  </si>
  <si>
    <t>7794377017138</t>
  </si>
  <si>
    <t>MERMELADA LOS CAROLINOS 500 GR PERA</t>
  </si>
  <si>
    <t>DISTRI STORNI</t>
  </si>
  <si>
    <t>LOS CAROLINOS</t>
  </si>
  <si>
    <t>7794377017015</t>
  </si>
  <si>
    <t>MERMELADA LOS CAROLINOS 500 GR NARANJA</t>
  </si>
  <si>
    <t>7794377017060</t>
  </si>
  <si>
    <t>MERMELADA LOS CAROLINOS 500 GR ZAPALLO</t>
  </si>
  <si>
    <t>7794377017053</t>
  </si>
  <si>
    <t>MERMELADA LOS CAROLINOS 500 GR HIGO</t>
  </si>
  <si>
    <t>7794377017046</t>
  </si>
  <si>
    <t>MERMELADA LOS CAROLINOS 500 GR CIRUELA</t>
  </si>
  <si>
    <t>YAGUAR</t>
  </si>
  <si>
    <t>STORNI</t>
  </si>
  <si>
    <t>MAXICONSUMO</t>
  </si>
  <si>
    <t>VITAL</t>
  </si>
  <si>
    <t>7790895640469</t>
  </si>
  <si>
    <t>CEPITA TETRA 200 ML MANZANA</t>
  </si>
  <si>
    <t xml:space="preserve">PET 237 ML COCA COLA </t>
  </si>
  <si>
    <t>7790895646348</t>
  </si>
  <si>
    <t>7790895647161</t>
  </si>
  <si>
    <t>PET 237 ML FANTA</t>
  </si>
  <si>
    <t>PET 237 ML SPRITE</t>
  </si>
  <si>
    <t>7790895647147</t>
  </si>
  <si>
    <t>7790895000720</t>
  </si>
  <si>
    <t>7790580143497</t>
  </si>
  <si>
    <t>BOCADITOS CABSHA AVELLANAS</t>
  </si>
  <si>
    <t>7790040143784</t>
  </si>
  <si>
    <t>COFLER RELLENAS CHOCOLATE</t>
  </si>
  <si>
    <t>7790040143807</t>
  </si>
  <si>
    <t>COFLER RELLENAS BON O BON</t>
  </si>
  <si>
    <t>7790040143777</t>
  </si>
  <si>
    <t>COFLER RELLENAS CHOCO CREAMY</t>
  </si>
  <si>
    <t>COFLER BAÑADAS CHOCOLATE</t>
  </si>
  <si>
    <t>COFLER BAÑADAS BON O BON</t>
  </si>
  <si>
    <t>COFLER BAÑADAS CHOCO COOKIES</t>
  </si>
  <si>
    <t>7790040143753</t>
  </si>
  <si>
    <t>7790040143739</t>
  </si>
  <si>
    <t>7790040143692</t>
  </si>
  <si>
    <t>7790040143814</t>
  </si>
  <si>
    <t>OBLEA COFLER CHOCO CREAMY</t>
  </si>
  <si>
    <t>OBLEA COFLER CHOCOLATE</t>
  </si>
  <si>
    <t>7790040143821</t>
  </si>
  <si>
    <t>7794595301897</t>
  </si>
  <si>
    <t>Pedido Bultos</t>
  </si>
  <si>
    <t>Pedido Unidad</t>
  </si>
  <si>
    <t>CHIMO 20 GR</t>
  </si>
  <si>
    <t>5049</t>
  </si>
  <si>
    <t>ACEITUNAS VERDES FETEADAS</t>
  </si>
  <si>
    <t>1100</t>
  </si>
  <si>
    <t>PASTELITOS CONGELADOS X 12</t>
  </si>
  <si>
    <t>Flete</t>
  </si>
  <si>
    <t>5017</t>
  </si>
  <si>
    <t>AGUACATES</t>
  </si>
  <si>
    <t xml:space="preserve">LATA 473 ML RE-KOMALTA </t>
  </si>
  <si>
    <t xml:space="preserve">LATA 354 ML RE-KOMALTA </t>
  </si>
  <si>
    <t>5018</t>
  </si>
  <si>
    <t>5019</t>
  </si>
  <si>
    <t>FRESH TEA 1 KG LIMON</t>
  </si>
  <si>
    <t>FRESH TEA 1 KG DURAZNO</t>
  </si>
  <si>
    <t>FRESH TEA 500 GR LIMON</t>
  </si>
  <si>
    <t>FRESH TEA 500 GR DURAZNO</t>
  </si>
  <si>
    <t>5020</t>
  </si>
  <si>
    <t>5021</t>
  </si>
  <si>
    <t>COCOSETE</t>
  </si>
  <si>
    <t>SAMBA DE FRESA</t>
  </si>
  <si>
    <t>5050</t>
  </si>
  <si>
    <t>BOCADILLO DE PLATANO ARTESANAL</t>
  </si>
  <si>
    <t>7790168903833</t>
  </si>
  <si>
    <t>7798141877362</t>
  </si>
  <si>
    <t>VINO 750 ML EUG BUSTOS MALBEC</t>
  </si>
  <si>
    <t>7798141877058</t>
  </si>
  <si>
    <t>VINO 750 ML COLON SELECTO CAB SAUV 2021</t>
  </si>
  <si>
    <t>VINO 750 ML LA CELIA RESERVA MALBEC 2022</t>
  </si>
  <si>
    <t>8445291029620</t>
  </si>
  <si>
    <t>NESQUICK POLVO 360 GR</t>
  </si>
  <si>
    <t>8445290615831</t>
  </si>
  <si>
    <t>NESTUM 225 GR ARROZ</t>
  </si>
  <si>
    <t>8445290615893</t>
  </si>
  <si>
    <t>NESTUM 225 GR MULTICEREAL</t>
  </si>
  <si>
    <t>8445290702302</t>
  </si>
  <si>
    <t>LECHE POLVO LA LECHERA 400 GR</t>
  </si>
  <si>
    <t>77987662</t>
  </si>
  <si>
    <t>77987655</t>
  </si>
  <si>
    <t>77986283</t>
  </si>
  <si>
    <t>7622202038099</t>
  </si>
  <si>
    <t>OREO 118G CLASICA SIN TACC</t>
  </si>
  <si>
    <t>OREO 118G CHOCOLATE</t>
  </si>
  <si>
    <t>OREO 118G CLASICA</t>
  </si>
  <si>
    <t xml:space="preserve">OREO 118G GOLDEN </t>
  </si>
  <si>
    <t>OREO 118G MILKSHAKE FRUTILLA</t>
  </si>
  <si>
    <t>5100</t>
  </si>
  <si>
    <t>GOLFEADOS</t>
  </si>
  <si>
    <t>5101</t>
  </si>
  <si>
    <t>CACHITOS DE JAMON</t>
  </si>
  <si>
    <t>5102</t>
  </si>
  <si>
    <t>ROLES DE CANELA</t>
  </si>
  <si>
    <t>5103</t>
  </si>
  <si>
    <t>MARQUESA</t>
  </si>
  <si>
    <t>5104</t>
  </si>
  <si>
    <t>TRES LECHES</t>
  </si>
  <si>
    <t>5105</t>
  </si>
  <si>
    <t>FRESAS CON CREMA</t>
  </si>
  <si>
    <t>URBAN JAZZ</t>
  </si>
  <si>
    <t>7790040141209</t>
  </si>
  <si>
    <t>ALF SIMPLE AGUILA</t>
  </si>
  <si>
    <t>7790040143647</t>
  </si>
  <si>
    <t>ALF SIMPLE COFLER MOUSSE</t>
  </si>
  <si>
    <t>7790310985915</t>
  </si>
  <si>
    <t>MANI PEHUAMAR SALADO CON PIEL  75GR</t>
  </si>
  <si>
    <t>7790310984291</t>
  </si>
  <si>
    <t>PEP PALITOS PANCETA 74GR</t>
  </si>
  <si>
    <t>PRESTOBARBA GIMETEY III</t>
  </si>
  <si>
    <t>GIMETEY</t>
  </si>
  <si>
    <t>8792769073778</t>
  </si>
  <si>
    <t>CERV. LATA 710 ML STELLA ARTOISE</t>
  </si>
  <si>
    <t>029649</t>
  </si>
  <si>
    <t>PLAYADITO</t>
  </si>
  <si>
    <t>7793704000744</t>
  </si>
  <si>
    <t>MATE COCIDO PLAYADITO X 25 U</t>
  </si>
  <si>
    <t>RED BULL 250 ML TROPICAL</t>
  </si>
  <si>
    <t>7791670027642</t>
  </si>
  <si>
    <t>7791670027604</t>
  </si>
  <si>
    <t>7791670027628</t>
  </si>
  <si>
    <t>9002490248949</t>
  </si>
  <si>
    <t>9771473968012</t>
  </si>
  <si>
    <t>PEGAMENTO SUPER GLUE 3GR</t>
  </si>
  <si>
    <t>1010798</t>
  </si>
  <si>
    <t>BOCADITOS MENTA AGUILA 14GR</t>
  </si>
  <si>
    <t>CAMEL BOX 12</t>
  </si>
  <si>
    <t>AMOR 110 GRS</t>
  </si>
  <si>
    <t>7790040143531</t>
  </si>
  <si>
    <t>7790040139398</t>
  </si>
  <si>
    <t>7790040143548</t>
  </si>
  <si>
    <t>MELLIZAS 110 GR</t>
  </si>
  <si>
    <t>7790895649257</t>
  </si>
  <si>
    <t>CEPITA BOTELLA 300 ML MIX</t>
  </si>
  <si>
    <t>7790895649578</t>
  </si>
  <si>
    <t>CEPITA BOTELLA 1 L MIX</t>
  </si>
  <si>
    <t>77930057</t>
  </si>
  <si>
    <t>ALFAJOR CACHAFAZ MOUSSE</t>
  </si>
  <si>
    <t>77934505</t>
  </si>
  <si>
    <t>ALFAJOR CACHAFAZ BLANCO</t>
  </si>
  <si>
    <t>CACHAFAZ</t>
  </si>
  <si>
    <t>77922106</t>
  </si>
  <si>
    <t>ALFAJOR CACHAFAZ MAICENA</t>
  </si>
  <si>
    <t>77934499</t>
  </si>
  <si>
    <t>ALFAJOR CACHAFAZ NEGRO</t>
  </si>
  <si>
    <t>7791672002067</t>
  </si>
  <si>
    <t>ALFAJOR FANTOCHE SIMPLE NIGHT 50 GR</t>
  </si>
  <si>
    <t>ALFAJOR FANTOCHE SIMPLE DAY 50 GR</t>
  </si>
  <si>
    <t>7791672002074</t>
  </si>
  <si>
    <t>7791787101075</t>
  </si>
  <si>
    <t>Malvaviscos BUFFYS Stick-Mallow Argentina x32u. x12g.</t>
  </si>
  <si>
    <t>Malvaviscos BUFFYS Simpsons x6u. x30g.</t>
  </si>
  <si>
    <t>Marshmallow GONGYS Nubecita x28g.</t>
  </si>
  <si>
    <t>Chicles BLUPER Cereza Tira x6u. x30g.</t>
  </si>
  <si>
    <t>Chicles BLUPER Dino Tira x6u. x30g.</t>
  </si>
  <si>
    <t>Chicles OPEN CANDY Sabor Sandia x18u.</t>
  </si>
  <si>
    <t>Chicles BAZOOKA Lima Limón x80u.</t>
  </si>
  <si>
    <t>Chicles MINI GUMBALLS Redonditos ''XS'' x12u. x30g.</t>
  </si>
  <si>
    <t>Chicles OPEN CANDY Sabor Sandia x50u.</t>
  </si>
  <si>
    <t>Chicles TOP LINE SEVEN Sandía x16u.</t>
  </si>
  <si>
    <t>Chicles TOP LINE Defense x4u. x20u.</t>
  </si>
  <si>
    <t>Pastillas BLUPER Mega Bolsa x12u.</t>
  </si>
  <si>
    <t>Pastillas MENTHOPLUS sin Azúcar Cherry Zero x12u.</t>
  </si>
  <si>
    <t>Cubanito SMACK x25g.</t>
  </si>
  <si>
    <t>Oblea Arroz FRUTI BAR Blanca Sabor Frutos Rojos Bolsa x6u.</t>
  </si>
  <si>
    <t>Oblea SMACK Chocolate Y Maní x33g.</t>
  </si>
  <si>
    <t>Obleas COFLER Sabor Chocolate Con Relleno De Vainilla x91g.</t>
  </si>
  <si>
    <t>Obleas COFLER Sabor Vainilla Con Relleno De Chocolate x87g.</t>
  </si>
  <si>
    <t>Obleas Opera Frutilla x68g.</t>
  </si>
  <si>
    <t>Caramelos LENGÜETAZO Manzana Acida x32u.</t>
  </si>
  <si>
    <t>Caramelos LIPO Praliné x1k.</t>
  </si>
  <si>
    <t>Caramelos LIPO Viena x907g.</t>
  </si>
  <si>
    <t>Caramelo Masticable FRUTIMANIA CRUNCH Frutilla x100u.</t>
  </si>
  <si>
    <t>Caramelo Masticable FRUTIMANIA CRUNCH Frambuesa x100u.</t>
  </si>
  <si>
    <t>Caramelo Masticable FRUTIMANIA CRUNCH Uva x100u.</t>
  </si>
  <si>
    <t>Caramelo Masticable FRUTIMANIA CRUNCH Yogurt Y Frutilla x100u.</t>
  </si>
  <si>
    <t>Caramelos MOGUL Palotes Surtidos x120g.</t>
  </si>
  <si>
    <t>Caramelo MOGUL Palotes Sabor Sandia x120g.</t>
  </si>
  <si>
    <t>Caramelos PALITOS DE LA SELVA Caja x480g.</t>
  </si>
  <si>
    <t>Caramelos SUGUS Max Frutilla Y Sandia x120g.</t>
  </si>
  <si>
    <t>Combo PUSH POP x20u. + RING POP x24u.</t>
  </si>
  <si>
    <t>Combo PUSH POP + MENTOS x60u.</t>
  </si>
  <si>
    <t>Gomas MOGUL Acido Extreme Tubito x16u. x20g. Sabor Tutti Frutti</t>
  </si>
  <si>
    <t>Gomas MOGUL Acido Extreme Tubito x70g. Sabor Tutti Frutti</t>
  </si>
  <si>
    <t>Gomas MOGUL Extreme Rocks x150g.</t>
  </si>
  <si>
    <t>Gomas MOGUL Extreme Lenguas Max Sabor Tutti Frutti x600g.</t>
  </si>
  <si>
    <t>Gomas MOGUL Extreme Tubitos Max Sabor Tutti Frutti x600g.</t>
  </si>
  <si>
    <t>Gomas MISKY Frutigelatin Truitos x12u. x25g.</t>
  </si>
  <si>
    <t>TEMBLEKE Dino x6u.</t>
  </si>
  <si>
    <t>Cereal MIX Relleno Manzana x32g.</t>
  </si>
  <si>
    <t>Cereales FORMIS Chocolate x145g.</t>
  </si>
  <si>
    <t>Arroz Inlfado ORO LEE'S x15g.</t>
  </si>
  <si>
    <t>Bastoncitos KRACH-ITOSx150g.Queso</t>
  </si>
  <si>
    <t>Chizitos KRACH-ITOSx170g.</t>
  </si>
  <si>
    <t>Chizitos PEPSICO x140g.</t>
  </si>
  <si>
    <t>DORITOS Dinamita x33g.</t>
  </si>
  <si>
    <t>DORITOS Dinamita x70g.</t>
  </si>
  <si>
    <t>Girasol PIPAS Peladas Sin Sal x180g.</t>
  </si>
  <si>
    <t>Nachos! MACRITAS Ahumado x90g.</t>
  </si>
  <si>
    <t>Palitos Salados PEHUAMAR Queso x620g.</t>
  </si>
  <si>
    <t>Papas LAYS Mostaza x77g.</t>
  </si>
  <si>
    <t>LAYS Provoleta x77g.</t>
  </si>
  <si>
    <t>PIPAS Skinny x150g. Sin Sal</t>
  </si>
  <si>
    <t>SALADIX Cross Sabor Picante x67g.</t>
  </si>
  <si>
    <t>SALADIX Sticks Picante x80g.</t>
  </si>
  <si>
    <t>Aceituna CASTELL Verde Ahumada Doy Pack x110g.</t>
  </si>
  <si>
    <t>Aceituna CASTELL Verde Ajo Doy Pack x110g.</t>
  </si>
  <si>
    <t>MAX. 36 U. X CLIENTE - Aceite CAÑUELAS Girasol x900ml.</t>
  </si>
  <si>
    <t>MAX. 36 U. X CLIENTE - Aceite CAÑUELAS Girasol x1,5l.</t>
  </si>
  <si>
    <t>Aceite NATURA de Girasol x1.5l.</t>
  </si>
  <si>
    <t>ACEITE NATURA GIRAS.x3L.(6)</t>
  </si>
  <si>
    <t>Aceite NATURA Girasol x900ml.</t>
  </si>
  <si>
    <t>Choclo NOEL Cremoso x300g.</t>
  </si>
  <si>
    <t>Choclo NOEL Entero x300g.</t>
  </si>
  <si>
    <t>Jardinera NOEL x300g.</t>
  </si>
  <si>
    <t>Edulcorante HILERET Stevia Sobres x50u.</t>
  </si>
  <si>
    <t>Edulcorante HILERET Sweet Líquido x200cc.(12)</t>
  </si>
  <si>
    <t>Edulcorante HILERET Sweet Sobres x50u.</t>
  </si>
  <si>
    <t>Edulcorante Si DIET Líquido x200cc.</t>
  </si>
  <si>
    <t>Bizcochuelo BONAFIDE Chocolate x750g.</t>
  </si>
  <si>
    <t>Bizcochuelo BONAFIDE Redondo Chocolate x500g.</t>
  </si>
  <si>
    <t>Bizcochuelo BONAFIDE Redondo Vainilla x500g.</t>
  </si>
  <si>
    <t>Bizcochuelo BONAFIDE Vainilla x750g.</t>
  </si>
  <si>
    <t>Gelatina EMETH Light Frambuesa x25g.</t>
  </si>
  <si>
    <t>Malta EL POCILLO Intensa x100g.</t>
  </si>
  <si>
    <t>Malta EL POCILLO Intensa x170g.</t>
  </si>
  <si>
    <t>Malta EL POCILLO x115g.</t>
  </si>
  <si>
    <t>Malta EL POCILLO x170g.</t>
  </si>
  <si>
    <t>Té TARAGÜI x25u.</t>
  </si>
  <si>
    <t>Yerba CANARIAS x250g.</t>
  </si>
  <si>
    <t>Yerba Mate COSMICO SUAVE Sin Tacc x500g.</t>
  </si>
  <si>
    <t>Yerba REI VERDE Compuesta x500g.</t>
  </si>
  <si>
    <t>Yerba REI VERDE Tradicional x500g.</t>
  </si>
  <si>
    <t>Harina PUREZA 0000 Ultra ReFinada con Vitamina D x1k.</t>
  </si>
  <si>
    <t>Premezcla MAMÁ COCINA Ñoquis Espinaca x400g</t>
  </si>
  <si>
    <t>Pure Tomate ARCOR x520g.</t>
  </si>
  <si>
    <t>Salsa LA CAMPAGNOLA Filetto Doy Pack x340g.</t>
  </si>
  <si>
    <t>Salsa LA CAMPAGNOLA Italiana Doy Pack x340g.</t>
  </si>
  <si>
    <t>Tomate Perita LA CAMPAGNOLA Lata x400g.</t>
  </si>
  <si>
    <t>Mermelada BC Ciruela Frasco x390g.</t>
  </si>
  <si>
    <t>Mermelada BC Damasco Frasco x390g.</t>
  </si>
  <si>
    <t>Mermelada BC Durazno Frasco x390g.</t>
  </si>
  <si>
    <t>Mermelada BC Frutilla Frasco x390g.</t>
  </si>
  <si>
    <t>Mermelada LA CAMPAGNOLA Damasco Frasco x454g.</t>
  </si>
  <si>
    <t>Mermelada LA CAMPAGNOLA Durazno Frasco x454g.</t>
  </si>
  <si>
    <t>Budin VALENTE Limon x170g.</t>
  </si>
  <si>
    <t>Kit Exhibidor MANTECOL x1,35kg</t>
  </si>
  <si>
    <t>Carpeta 3 Solapas A4 con Elástico Pvc Color Celeste Pastel</t>
  </si>
  <si>
    <t>Anillos para Encuadernar x9mm. x50u.</t>
  </si>
  <si>
    <t>Tapa para Encuadernar STRIPE Oficio Opaco Rojo</t>
  </si>
  <si>
    <t>Tapa para Encuadernar STRIPE Oficio Transparente Azul</t>
  </si>
  <si>
    <t>Crayones EZCO Escolares x12u.</t>
  </si>
  <si>
    <t>Pinturita MOOVING Larga x12u.Vive Tus Colores</t>
  </si>
  <si>
    <t>Regla EZCO Cristal Azul x15cm.</t>
  </si>
  <si>
    <t>Cinta Argentina YANINA Nº2</t>
  </si>
  <si>
    <t>Cinta Argentina YANINA Nº3</t>
  </si>
  <si>
    <t>Cinta Argentina YANINA Nº5</t>
  </si>
  <si>
    <t>Cinta Argentina Nº9</t>
  </si>
  <si>
    <t>Escarapela Nº 109 Moño Doble con Colita x24u.</t>
  </si>
  <si>
    <t>Escarapela Nº 124 Redonda Grande Sin Botón x24u.</t>
  </si>
  <si>
    <t>Escarapela Nº 125 Redonda Grande Con Botón x24u.</t>
  </si>
  <si>
    <t>Pin Argentina Nº1 Bandera xu.</t>
  </si>
  <si>
    <t>Pin Argentina Nº5 Escarapela xu.</t>
  </si>
  <si>
    <t>Bandas Elásticas SUPER BANDS N°80 Ancha x500g.</t>
  </si>
  <si>
    <t>Bandas Elásticas FLEXIBAND tTira x 10 Sobres</t>
  </si>
  <si>
    <t>Porta Cinta DELI Quali Metal Negro Y Rojo xu.</t>
  </si>
  <si>
    <t>Carbonilla TURK Fina x10u.</t>
  </si>
  <si>
    <t>Bolígrafo BIC Fashion Violeta x5u.</t>
  </si>
  <si>
    <t>Roller MICRO Vip Upsala Negro y Metal xu.</t>
  </si>
  <si>
    <t>Corrector FILGO Pastel Lapiz x7ml.</t>
  </si>
  <si>
    <t>Marcador SHARPIE Fine Plata xu.</t>
  </si>
  <si>
    <t>Microfibra SIMBALL Sketch x5u.</t>
  </si>
  <si>
    <t>Microfibra SIMBALL Sketch Comedy x5u.</t>
  </si>
  <si>
    <t>Microfibra SIMBALL Sketch Fantasy x5u.</t>
  </si>
  <si>
    <t>Microfibra SIMBALL Sketch Science Fiction x5u.</t>
  </si>
  <si>
    <t>Base de Goma para Corte A2 9Z202</t>
  </si>
  <si>
    <t>Libro Distintas Formas De Resolver Sopas De Letras En La Granja xu.</t>
  </si>
  <si>
    <t>Bolas De Regalo Little Monster 32x30</t>
  </si>
  <si>
    <t>Bolsa de Regalo Little Monster 14 x 20cm.</t>
  </si>
  <si>
    <t>Bolsa de Regalo Selección Argentina xu.</t>
  </si>
  <si>
    <t>Bolsa de Regalo Unicornio 14 x 20cm.</t>
  </si>
  <si>
    <t>Papel Madera 120 x 80cm. x80g. x20u.</t>
  </si>
  <si>
    <t>Papel Misionero 70x100 x130g.</t>
  </si>
  <si>
    <t>Papel Misionero 70x100cm. x220g.</t>
  </si>
  <si>
    <t>Papel de Regalo Animalitos Bebe 70 x 100cm. x20u.</t>
  </si>
  <si>
    <t>Papel De Regalo Historietas 70cm.x100cm.x20u.</t>
  </si>
  <si>
    <t>Papel De Regalo Navidad Surtidos 70cm.x100cmx20u.</t>
  </si>
  <si>
    <t>Soporte DEKKIN Magnético Redondo Negro</t>
  </si>
  <si>
    <t>Soporte Universal DEKKIN Magnético Compacto Negro xu.</t>
  </si>
  <si>
    <t>Desodorante BUCAL TAC Freshmint x9ml.</t>
  </si>
  <si>
    <t>Desodorante BUCAL TAC Spearmint x9ml.</t>
  </si>
  <si>
    <t>Kit BUCAL TAC Cepillo + Gel Dental x20g. + Hilo Dental x15m.</t>
  </si>
  <si>
    <t>Álbum Copa América 2024 Tapa Dura xu.</t>
  </si>
  <si>
    <t>Álbum COPA LIBERTADORES 2024 xu.</t>
  </si>
  <si>
    <t>Álbum HELLO KITTY ''50 Aniversario'' xu.</t>
  </si>
  <si>
    <t>Álbum INTENSAMENTE ''2'' xu.</t>
  </si>
  <si>
    <t>Álbum SONIC PRIME xu.</t>
  </si>
  <si>
    <t>Figuritas COPA LIBERTADORES 2024 x25u.</t>
  </si>
  <si>
    <t>Figuritas HELLO KITTY ''50 Aniversario'' x25 Sobres</t>
  </si>
  <si>
    <t>Figuritas INTENSAMENTE ''2'' x20u.</t>
  </si>
  <si>
    <t>Figuritas SONIC PRIME x25 Sobres</t>
  </si>
  <si>
    <t>Repelente OFF Crema Extra Duración x100g.</t>
  </si>
  <si>
    <t>Cigarrillo LUCKY STRIKE Origen Convertible Box x10u</t>
  </si>
  <si>
    <t>Cigarrillo LUCKY STRIKE Origen Convertible Box x20u</t>
  </si>
  <si>
    <t>Cigarrillo LUCKY STRIKE Origen Convertible KS x20u</t>
  </si>
  <si>
    <t>Cigarrillo LUCKY STRIKE Origen Red Box x10u</t>
  </si>
  <si>
    <t>Cigarrillo LUCKY STRIKE Origen Red KS x20u</t>
  </si>
  <si>
    <t>Cigarrillo ROTHMANS Convertible x20u.</t>
  </si>
  <si>
    <t>Cigarrillo ROTHMANS Red KS x20</t>
  </si>
  <si>
    <t>Filtros DRPIN Regular 8mm. x100u. x10u.</t>
  </si>
  <si>
    <t>Filtros DRPIN Slims 6mm. x150u. x10u.</t>
  </si>
  <si>
    <t>Filtro GIZEH Bolsa x120u. + 30u. Sin Cargo x6mm.</t>
  </si>
  <si>
    <t>Filtro GIZEH Bolsa x120u. x6mm. + 1 Papel Gizeh Sin Cargo</t>
  </si>
  <si>
    <t>Tabaco PACHAMAMA Apacheta x30g.</t>
  </si>
  <si>
    <t>Tabaco PACHAMAMA Cumbre x30g.</t>
  </si>
  <si>
    <t>Tabaco PACHAMAMA Purma x30g.</t>
  </si>
  <si>
    <t>Galletitas ARCOR Pepas x183g.</t>
  </si>
  <si>
    <t>Galletitas COFLER Bañadas x132,8g.</t>
  </si>
  <si>
    <t>Galletitas COFLER Relleno Bon O Bon x105,6g.</t>
  </si>
  <si>
    <t>Galletitas COFLER Con Relleno Bon O Bon x85g.</t>
  </si>
  <si>
    <t>Galletitas COFLER Sabor Chocolate Con Relleno De Vainilla x85g.</t>
  </si>
  <si>
    <t>Galletitas COFLER Chocolate x105,6g.</t>
  </si>
  <si>
    <t>Galletitas COFLER Sabor Vainilla Con Relleno De Chocolate x85g.</t>
  </si>
  <si>
    <t>Galletitas DELICIAS DE LA NONNA Manteca x500g.</t>
  </si>
  <si>
    <t>Galletitas HAMLET Vainilla Con Relleno De Chocolate x152g.</t>
  </si>
  <si>
    <t>Galletitas HAMLET Chocolate Con Relleno De Vainilla x152g.</t>
  </si>
  <si>
    <t>Galletitas Pepas TEREPIN ''Surtipepas'' x360g.</t>
  </si>
  <si>
    <t>Galletitas RUMBA x110g.</t>
  </si>
  <si>
    <t>Galletitas TRIO Frolitas Batata x500g.</t>
  </si>
  <si>
    <t>Galletitas TRIO Glasy x300g.</t>
  </si>
  <si>
    <t>Galletitas TRIO Pepas Mini x300g.</t>
  </si>
  <si>
    <t>Galletitas TRIO Peponas Batata x3000g.</t>
  </si>
  <si>
    <t>Galletitas CHOCOLINAS Negro x258g.</t>
  </si>
  <si>
    <t>Galletitas CHOCOLINAS x250g.</t>
  </si>
  <si>
    <t>Galletitas COQUITAS x260g.</t>
  </si>
  <si>
    <t>Galletitas DONUTS Negra x52g.</t>
  </si>
  <si>
    <t>Galletitas NINA Choco Chips x120g.</t>
  </si>
  <si>
    <t>Galletitas NINA Lemon &amp; Ginger x120g.</t>
  </si>
  <si>
    <t>Galletitas TRIO Surtido x350g.</t>
  </si>
  <si>
    <t>Galletitas HOGAREÑAS Sésamo x167g.</t>
  </si>
  <si>
    <t>Galletitas KESITAS x250g.</t>
  </si>
  <si>
    <t>Galletitas LEIVA Sándwich Familiar Light x300g.</t>
  </si>
  <si>
    <t>Galletitas LEIVA Sándwich Familiar 100% Vegetal x300g.</t>
  </si>
  <si>
    <t>Galletitas Mini ARROCITAS Yogurt Frutilla x53g.</t>
  </si>
  <si>
    <t>Galletitas REX x225g.</t>
  </si>
  <si>
    <t>Galletitas SERRANAS x112g.</t>
  </si>
  <si>
    <t>Galletitas SERRANITAS x105g.</t>
  </si>
  <si>
    <t>Galletitas TRAVIATA Cracker Kesitas Original x96g.</t>
  </si>
  <si>
    <t>Galletitas TRAVIATA Cracker Rex Original x96g.</t>
  </si>
  <si>
    <t>Galletitas TRAVIATA x108g.</t>
  </si>
  <si>
    <t>Galletitas TRAVIATA x540g.</t>
  </si>
  <si>
    <t>Oblea Arroz CHOCO BLACK xu.</t>
  </si>
  <si>
    <t>Tostadas RIERA Línea Equilibrio Fibras x200g.</t>
  </si>
  <si>
    <t>Tostaditas TWISTOS Jamón x95g.</t>
  </si>
  <si>
    <t>COMBO ALFA PAMPA</t>
  </si>
  <si>
    <t>COMBO ATUN + MEDIA TARDE</t>
  </si>
  <si>
    <t>COMBO BOMBONERAS - ARCOR TOUR</t>
  </si>
  <si>
    <t>COMBO BON O BON - ARCOR TOUR</t>
  </si>
  <si>
    <t>COMBO BON O BON ESPECIAL - ARCOR TOUR</t>
  </si>
  <si>
    <t>COMBO BONAFIDE</t>
  </si>
  <si>
    <t>COMBO BUBBALOO - FLLA Y UVA</t>
  </si>
  <si>
    <t>COMBO BUBBALOO - TTFF Y MENTA</t>
  </si>
  <si>
    <t>COMBO CONTROL MILK</t>
  </si>
  <si>
    <t>COMBO CRUNCHY + MEDIA TARDE</t>
  </si>
  <si>
    <t>COMBO DULCES NOEL</t>
  </si>
  <si>
    <t>COMBO DULCES NOEL 2</t>
  </si>
  <si>
    <t>COMBO ENLATADOS</t>
  </si>
  <si>
    <t>COMBO EXHIBIDOR BONAFIDE</t>
  </si>
  <si>
    <t>COMBO FULBITO</t>
  </si>
  <si>
    <t>COMBO GALLO - DULCE</t>
  </si>
  <si>
    <t>COMBO GALLO - SALADO</t>
  </si>
  <si>
    <t>COMBO JUGOS + MEDIA TARDE</t>
  </si>
  <si>
    <t>COMBO KINDER SORPRESA</t>
  </si>
  <si>
    <t>Combo LHERITIER</t>
  </si>
  <si>
    <t>COMBO LIA 3</t>
  </si>
  <si>
    <t>COMBO LIA 4</t>
  </si>
  <si>
    <t>Combo Línea Roja NOEL</t>
  </si>
  <si>
    <t>COMBO LINEA ROJA 2</t>
  </si>
  <si>
    <t>COMBO MEDIA TARDE + CHOCOLATES</t>
  </si>
  <si>
    <t>COMBO MEDIA TARDE + POLENTA</t>
  </si>
  <si>
    <t>COMBO MEDIA TARDE ROCKS</t>
  </si>
  <si>
    <t>COMBO MIKO</t>
  </si>
  <si>
    <t>COMBO MUECAS</t>
  </si>
  <si>
    <t>COMBO NESTLE DULZURA 2024</t>
  </si>
  <si>
    <t>COMBO POLENTA + ATUN</t>
  </si>
  <si>
    <t>COMBO POSTRES + MEDIA TARDE</t>
  </si>
  <si>
    <t>COMBO PURE TOMATE + ATUN</t>
  </si>
  <si>
    <t>COMBO PURE TOMATE + JUGOS</t>
  </si>
  <si>
    <t>COMBO PURE TOMATE + LATAS</t>
  </si>
  <si>
    <t>COMBO RASTA + ARCOR MILK</t>
  </si>
  <si>
    <t>COMBO RASTA + CHOCOLATE AGUILA</t>
  </si>
  <si>
    <t>COMBO RASTA + COFLER X 140</t>
  </si>
  <si>
    <t>COMBO RASTA + MONEDA</t>
  </si>
  <si>
    <t>COMBO ROCKLETS - ARCOR TOUR</t>
  </si>
  <si>
    <t>COMBO SAPITO - ARCOR TOUR</t>
  </si>
  <si>
    <t>COMBO SAPITO 2 - ARCOR TOUR</t>
  </si>
  <si>
    <t>COMBO SUGUS MAX - ARCOR TOUR</t>
  </si>
  <si>
    <t>COMBO SUGUS MAX 2 - ARCOR TOUR</t>
  </si>
  <si>
    <t>Alfajor AGUILA Dorado x50g.</t>
  </si>
  <si>
    <t>Alfajor CACHAFAZ Maicena x76g.</t>
  </si>
  <si>
    <t>Alfajor FANTOCHE Cuadruple Negro 100g.</t>
  </si>
  <si>
    <t>Alfajor FANTOCHE Triple Estrella Dorada x85g.</t>
  </si>
  <si>
    <t>Alfajor FANTOCHE ''XS'' Chocolate Blanco x25g.</t>
  </si>
  <si>
    <t>Alfajor FANTOCHE ''XS'' Chocolate Negro x25g.</t>
  </si>
  <si>
    <t>Alfajor HAMLET Chocomani x34,6g.</t>
  </si>
  <si>
    <t>Alfajor HAMLET Dulce De Leche x36g.</t>
  </si>
  <si>
    <t>Alfajor Mini TOFI Glase x6u. x22g.</t>
  </si>
  <si>
    <t>Alfajor NEVARES Blanco 40g. x40u.</t>
  </si>
  <si>
    <t>Alfajores SMACK Relleno Dulce De Leche x6u. x60g.</t>
  </si>
  <si>
    <t>Alfajor TODDY Sabor Mousse x50g.</t>
  </si>
  <si>
    <t>Alfajor VAUQUITA Blanco x72g.</t>
  </si>
  <si>
    <t>Alfajor VAUQUITA Capuccino x80g.</t>
  </si>
  <si>
    <t>Alfajor VAUQUITA x75g.</t>
  </si>
  <si>
    <t>Bebida Energizante MONSTER Green Zero x473ml. x6u.</t>
  </si>
  <si>
    <t>SPEED BEBIDA ENERGIZANTE ZEROx24u.x250cc.</t>
  </si>
  <si>
    <t>SPEED BEBIDA ENERGIZANTEx24u.x250cc.</t>
  </si>
  <si>
    <t>SPRITE Botella Zero x237ml. x8u.</t>
  </si>
  <si>
    <t>Leche Chocolatada LA SERENISIMA x1L.</t>
  </si>
  <si>
    <t>Postre SERENITO Chocolate x95g.</t>
  </si>
  <si>
    <t>Postre SERENITO Flan Sabor Vainilla x95g.</t>
  </si>
  <si>
    <t>Postre SERENITO Vainilla x95g.</t>
  </si>
  <si>
    <t>Queso Blanco LA SERENISIMA Clásico Light x195g.</t>
  </si>
  <si>
    <t>Yogur LA SERENISIMA Batido Entero Sabor Durazno x120g.</t>
  </si>
  <si>
    <t>Yogur LA SERENISIMA Clásico Entero Con Arándanos x140g.</t>
  </si>
  <si>
    <t>YOGURISIMO Estilo Griego x125g.</t>
  </si>
  <si>
    <t>YOGURISIMO Natural x300g.</t>
  </si>
  <si>
    <t>Agua BAGGIO Fresh Pera x1.5l. x6u.</t>
  </si>
  <si>
    <t>Agua EL SANO CORAZON ARGENTINO Sin Gas x1500cc. x6u.</t>
  </si>
  <si>
    <t>Jugos Arcor Limonada x18u.</t>
  </si>
  <si>
    <t>Jugos Arcor Naranja - Banana x18u.</t>
  </si>
  <si>
    <t>Jugo BC en Sobre Limonada x18u.</t>
  </si>
  <si>
    <t>Jugo BC en Sobre Naranja Dulce x18u.</t>
  </si>
  <si>
    <t>JUGOS BC SOBREx18u.POM.ROSADO(16)</t>
  </si>
  <si>
    <t>Jugos NOEL x18u. Frutilla</t>
  </si>
  <si>
    <t>AMARGO OBRERO Vermouth x950cc.</t>
  </si>
  <si>
    <t>GANCIA Hibiscus Vodka Lata x473cc. x6u.</t>
  </si>
  <si>
    <t>GANCIA Lima Limón Lata x473cc. x6u.</t>
  </si>
  <si>
    <t>Chocolate BON O BON Relleno x160g.</t>
  </si>
  <si>
    <t>Chocolate COFLER Chocolinas x40g.</t>
  </si>
  <si>
    <t>Chocolate COFLER Maní Con Caramelo Y Chocolate x45g.</t>
  </si>
  <si>
    <t>Chocolate COFLER Relleno Con Coco Con Dulce de Leche x38g.</t>
  </si>
  <si>
    <t>Chocolate COFLER Relleno Con Mousse de Avellanas x35g.</t>
  </si>
  <si>
    <t>Chocolate COFLER Relleno Con Yoghurt de Frutilla x35g.</t>
  </si>
  <si>
    <t>Chocolate DOS CORAZONES x26g. x20u.</t>
  </si>
  <si>
    <t>Chocolate MECANO Chocolate Blanco x19g.</t>
  </si>
  <si>
    <t>Chocolate MECANO Nugatonx19g.</t>
  </si>
  <si>
    <t>Chocolate NESTLE con Maní x150g.</t>
  </si>
  <si>
    <t>Chocolate NESTLE con Maní x90g.</t>
  </si>
  <si>
    <t>Bocadito CABSHA Avellanas x24u. x10g</t>
  </si>
  <si>
    <t>Bocadito CABSHA Marroc x24u. x10g</t>
  </si>
  <si>
    <t>Bocadito CACHAFAZ Marroc x54u.</t>
  </si>
  <si>
    <t>Bocadito CERICET x12u.</t>
  </si>
  <si>
    <t>Bocadito D.R.F. Menta x24u. x16g.</t>
  </si>
  <si>
    <t>Bocadito Marroc x20u.</t>
  </si>
  <si>
    <t>Bocadito Marroc x60u.</t>
  </si>
  <si>
    <t>Bombón BON O BON Blanco Con Relleno De Crema De Coco Caja x270g.</t>
  </si>
  <si>
    <t>Bombón OBLIBON Chocolate Con Maní x450g. x30u.</t>
  </si>
  <si>
    <t>Bombón OBLIBON Frutilla x450g. x30u.</t>
  </si>
  <si>
    <t>Bombón OBLIBON Blanco x510g. x30u.</t>
  </si>
  <si>
    <t>Bombón SMACK con Mousse sabor Chocolate Bolsa x10u. x16g.</t>
  </si>
  <si>
    <t>Bombon SMACK con Mousse sabor Chocolate x30u. x16g.</t>
  </si>
  <si>
    <t>Chocolate AGUILA 60% Cacao Con Naranja x100g.</t>
  </si>
  <si>
    <t>Chocolate AGUILA x150g.80% Cacao15-60)</t>
  </si>
  <si>
    <t>Chocolate ARCOR Taza x100g.</t>
  </si>
  <si>
    <t>Chocolate BIZNIKE NEVADO Blancox28g.</t>
  </si>
  <si>
    <t>Chocolate BIZNIKE NEVADO Black x28g.</t>
  </si>
  <si>
    <t>Chocolate COFLER 60% Cacao Mas Cremoso x100g.</t>
  </si>
  <si>
    <t>Chocolate COFLER 60% Cacao Con Naranja x100g.</t>
  </si>
  <si>
    <t>Chocolate COFLER Con Rocklets x140g.</t>
  </si>
  <si>
    <t>Chocolate.DAQUI Leche con Mani x40g.</t>
  </si>
  <si>
    <t>Chocolate HERSHEY´S Leche x82g.</t>
  </si>
  <si>
    <t>Chocolate HERSHEY´S Semi Amargo 40% Cacao x82g.</t>
  </si>
  <si>
    <t>Chocolate MISKY Con Leche ''Crunchy'' x25g.</t>
  </si>
  <si>
    <t>Chocolate MUECAS 71% Cacao A Base De Plantas x80g.</t>
  </si>
  <si>
    <t>Chocolate SUCHARD Semi Amargo Taza x100g.</t>
  </si>
  <si>
    <t>Chocolate VIZZIO Chocolate Con Leche x130g.</t>
  </si>
  <si>
    <t>Chocolate ZUCOA Con Maní x60g.</t>
  </si>
  <si>
    <t>Conito CACHAFAZ Sabor Chocolate Relleno Con Dulce De Leche x12u. x38g.</t>
  </si>
  <si>
    <t>HUEVO KINDER SORPRESAx12u.MINIONS(8)</t>
  </si>
  <si>
    <t>Oblea Arcor MILK x20gr(8-160)</t>
  </si>
  <si>
    <t>Pelota BUFFYS Gol! Con Mini Malvaviscos x24u. x26g.</t>
  </si>
  <si>
    <t>Pelota BUFFYS Gol! Con Mini Malvaviscos Canasta x6u. x26g.</t>
  </si>
  <si>
    <t>LUCKY STRIKE BOX 20 XL CONVERTIBLE</t>
  </si>
  <si>
    <t>LUCKY STRIKE BOX 10 ORIGEN RED</t>
  </si>
  <si>
    <t>LUCKY STRIKE KS 20 ORIGEN RED</t>
  </si>
  <si>
    <t>LUCKY STRIKE BOX 10 ORIGEN CONVERTIBLE</t>
  </si>
  <si>
    <t>LUCKY STRIKE KS 20 ORIGEN CONVERTIBLE</t>
  </si>
  <si>
    <t>CAMEL BOX 20 CIRCLE</t>
  </si>
  <si>
    <t>77987679</t>
  </si>
  <si>
    <t>HALLS SANDIA</t>
  </si>
  <si>
    <t>7622201802967</t>
  </si>
  <si>
    <t>7622201802875</t>
  </si>
  <si>
    <t>7622210828606</t>
  </si>
  <si>
    <t>MILKA GO 37 GR OREO</t>
  </si>
  <si>
    <t>7790400030457</t>
  </si>
  <si>
    <t>ECCOLE</t>
  </si>
  <si>
    <t>2015</t>
  </si>
  <si>
    <t>2016</t>
  </si>
  <si>
    <t>2017</t>
  </si>
  <si>
    <t>90435225</t>
  </si>
  <si>
    <t>RED BULL 350 ML</t>
  </si>
  <si>
    <t>1</t>
  </si>
  <si>
    <t>7500435176170</t>
  </si>
  <si>
    <t>SHAMPOO PANTENE 2 EN 1 10 ML</t>
  </si>
  <si>
    <t>7791519200069</t>
  </si>
  <si>
    <t>PRESERVATIVOS PRIME 3U TEXTURADO</t>
  </si>
  <si>
    <t>7798370510177</t>
  </si>
  <si>
    <t>BENGALA TORTAS</t>
  </si>
  <si>
    <t>VELAS CUMPLEAÑOS</t>
  </si>
  <si>
    <t>600</t>
  </si>
  <si>
    <t>7793100194672</t>
  </si>
  <si>
    <t>CEPILLO DENTAL COLGATE KIT VIAJERO</t>
  </si>
  <si>
    <t>7797216001145</t>
  </si>
  <si>
    <t>LAPIZ GRAFITO BIC</t>
  </si>
  <si>
    <t>3270220004608</t>
  </si>
  <si>
    <t>77987303</t>
  </si>
  <si>
    <t>77988041</t>
  </si>
  <si>
    <t>7794000006898</t>
  </si>
  <si>
    <t>PAÑUELOS DESCARTABLES ELITE</t>
  </si>
  <si>
    <t>7790250000358</t>
  </si>
  <si>
    <t>7790150079898</t>
  </si>
  <si>
    <t>CAFE LA VIRGINIA INSTANTANEO 1,7 GR</t>
  </si>
  <si>
    <t>CAFE LA VIRGINIA SAQUITOS  5 GR</t>
  </si>
  <si>
    <t>7794640131400</t>
  </si>
  <si>
    <t>UVASAL ORIGINAL X 2</t>
  </si>
  <si>
    <t>2</t>
  </si>
  <si>
    <t>10</t>
  </si>
  <si>
    <t>101</t>
  </si>
  <si>
    <t>PORTA SUBE</t>
  </si>
  <si>
    <t>ENCENDEDOR BIC MAXI AFA</t>
  </si>
  <si>
    <t>7501843501578</t>
  </si>
  <si>
    <t>7791913000067</t>
  </si>
  <si>
    <t>AGUA MINERAL VILLA SAN REMO 600 ML</t>
  </si>
  <si>
    <t>7790040143654</t>
  </si>
  <si>
    <t>ALF SIMPLE COFLER BLOCK</t>
  </si>
  <si>
    <t xml:space="preserve">ALF SIMPLE BON O BON </t>
  </si>
  <si>
    <t>ALF SIMPLE BON O BON BLANCO</t>
  </si>
  <si>
    <t>7792360096634</t>
  </si>
  <si>
    <t>BONAFIDE CHOCMAN VAINILLA 35 GR</t>
  </si>
  <si>
    <t>7792360096597</t>
  </si>
  <si>
    <t>7792360094906</t>
  </si>
  <si>
    <t>7792360072423</t>
  </si>
  <si>
    <t>BONAFIDE MECANO BCO/DDL 19 GR</t>
  </si>
  <si>
    <t>BONAFIDE MECANO DDL 19 GR</t>
  </si>
  <si>
    <t>7792360095064</t>
  </si>
  <si>
    <t>7792360095002</t>
  </si>
  <si>
    <t>VIZZIO 50 GR BLANCO</t>
  </si>
  <si>
    <t>VIZZIO 50 GR LECHE</t>
  </si>
  <si>
    <t>BAZOOKA</t>
  </si>
  <si>
    <t>500</t>
  </si>
  <si>
    <t>4548538877887</t>
  </si>
  <si>
    <t>4548538877886</t>
  </si>
  <si>
    <t>MOÑO MAGICO CHICO</t>
  </si>
  <si>
    <t>MOÑO MAGICO MEDIANO</t>
  </si>
  <si>
    <t>PALILLOS ESCARBADIENTES</t>
  </si>
  <si>
    <t>7794000006669</t>
  </si>
  <si>
    <t>7790773035141</t>
  </si>
  <si>
    <t>7790458658047</t>
  </si>
  <si>
    <t>77988379</t>
  </si>
  <si>
    <t>7791290793224</t>
  </si>
  <si>
    <t>7797216001046</t>
  </si>
  <si>
    <t>77990921</t>
  </si>
  <si>
    <t>77990938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</si>
</sst>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3" formatCode="_-* #,##0.00_-;\-* #,##0.00_-;_-* &quot;-&quot;??_-;_-@_-"/>
    <numFmt numFmtId="164" formatCode="_-* #,##0_-;\-* #,##0_-;_-* &quot;-&quot;??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color rgb="FFFFFFFF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11"/>
      <color rgb="FF3F3F76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8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C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2">
    <xf numFmtId="0" fontId="0" fillId="0" borderId="0"/>
    <xf numFmtId="0" fontId="7" fillId="0" borderId="0"/>
    <xf numFmtId="43" fontId="8" fillId="0" borderId="0" applyFont="0" applyFill="0" applyBorder="0" applyAlignment="0" applyProtection="0"/>
    <xf numFmtId="0" fontId="4" fillId="0" borderId="0"/>
    <xf numFmtId="0" fontId="3" fillId="0" borderId="0"/>
    <xf numFmtId="0" fontId="10" fillId="2" borderId="0" applyNumberFormat="0" applyBorder="0" applyAlignment="0" applyProtection="0"/>
    <xf numFmtId="0" fontId="14" fillId="4" borderId="0" applyNumberFormat="0" applyBorder="0" applyAlignment="0" applyProtection="0"/>
    <xf numFmtId="0" fontId="17" fillId="0" borderId="0" applyFill="0" applyProtection="0"/>
    <xf numFmtId="0" fontId="18" fillId="5" borderId="3" applyNumberFormat="0" applyAlignment="0" applyProtection="0"/>
    <xf numFmtId="0" fontId="28" fillId="0" borderId="0" applyFill="0" applyProtection="0"/>
    <xf numFmtId="9" fontId="27" fillId="0" borderId="0" applyFont="0" applyFill="0" applyBorder="0" applyAlignment="0" applyProtection="0"/>
    <xf numFmtId="0" fontId="2" fillId="8" borderId="0" applyNumberFormat="0" applyBorder="0" applyAlignment="0" applyProtection="0"/>
  </cellStyleXfs>
  <cellXfs count="158">
    <xf numFmtId="0" fontId="0" fillId="0" borderId="0" xfId="0"/>
    <xf numFmtId="49" fontId="0" fillId="0" borderId="0" xfId="0" applyNumberFormat="1"/>
    <xf numFmtId="14" fontId="0" fillId="0" borderId="0" xfId="0" applyNumberFormat="1"/>
    <xf numFmtId="43" fontId="0" fillId="0" borderId="0" xfId="2" applyFont="1" applyFill="1"/>
    <xf numFmtId="49" fontId="0" fillId="0" borderId="0" xfId="2" applyNumberFormat="1" applyFont="1" applyFill="1"/>
    <xf numFmtId="43" fontId="0" fillId="0" borderId="0" xfId="2" applyFont="1" applyFill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43" fontId="0" fillId="0" borderId="0" xfId="2" applyFont="1" applyFill="1" applyBorder="1"/>
    <xf numFmtId="49" fontId="0" fillId="0" borderId="0" xfId="2" applyNumberFormat="1" applyFont="1" applyFill="1" applyBorder="1"/>
    <xf numFmtId="43" fontId="0" fillId="0" borderId="0" xfId="2" applyFont="1" applyFill="1" applyBorder="1" applyAlignment="1">
      <alignment horizontal="right" vertical="center"/>
    </xf>
    <xf numFmtId="43" fontId="6" fillId="0" borderId="0" xfId="2" applyFont="1" applyFill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2" applyNumberFormat="1" applyFont="1" applyFill="1" applyAlignment="1">
      <alignment horizontal="left" vertical="center" wrapText="1"/>
    </xf>
    <xf numFmtId="0" fontId="9" fillId="0" borderId="0" xfId="5" applyFont="1" applyFill="1"/>
    <xf numFmtId="0" fontId="13" fillId="0" borderId="0" xfId="0" applyFont="1"/>
    <xf numFmtId="43" fontId="12" fillId="0" borderId="0" xfId="5" applyNumberFormat="1" applyFont="1" applyFill="1"/>
    <xf numFmtId="43" fontId="12" fillId="0" borderId="0" xfId="5" applyNumberFormat="1" applyFont="1" applyFill="1" applyAlignment="1">
      <alignment horizontal="left" vertical="center" wrapText="1"/>
    </xf>
    <xf numFmtId="43" fontId="12" fillId="0" borderId="0" xfId="5" applyNumberFormat="1" applyFont="1" applyFill="1" applyBorder="1"/>
    <xf numFmtId="43" fontId="0" fillId="0" borderId="0" xfId="2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2" applyNumberFormat="1" applyFont="1" applyFill="1" applyBorder="1" applyAlignment="1">
      <alignment horizontal="left"/>
    </xf>
    <xf numFmtId="0" fontId="0" fillId="0" borderId="0" xfId="2" applyNumberFormat="1" applyFont="1" applyFill="1"/>
    <xf numFmtId="43" fontId="8" fillId="0" borderId="0" xfId="2" applyFont="1" applyFill="1"/>
    <xf numFmtId="49" fontId="8" fillId="0" borderId="0" xfId="0" applyNumberFormat="1" applyFont="1"/>
    <xf numFmtId="49" fontId="0" fillId="0" borderId="1" xfId="0" applyNumberFormat="1" applyBorder="1"/>
    <xf numFmtId="0" fontId="0" fillId="0" borderId="1" xfId="0" applyBorder="1"/>
    <xf numFmtId="43" fontId="0" fillId="0" borderId="1" xfId="2" applyFont="1" applyFill="1" applyBorder="1"/>
    <xf numFmtId="49" fontId="0" fillId="0" borderId="1" xfId="2" applyNumberFormat="1" applyFont="1" applyFill="1" applyBorder="1"/>
    <xf numFmtId="0" fontId="0" fillId="0" borderId="1" xfId="2" applyNumberFormat="1" applyFont="1" applyFill="1" applyBorder="1"/>
    <xf numFmtId="0" fontId="8" fillId="0" borderId="0" xfId="0" applyFont="1"/>
    <xf numFmtId="49" fontId="8" fillId="0" borderId="0" xfId="2" applyNumberFormat="1" applyFont="1" applyFill="1"/>
    <xf numFmtId="43" fontId="15" fillId="4" borderId="0" xfId="6" applyNumberFormat="1" applyFont="1"/>
    <xf numFmtId="43" fontId="15" fillId="4" borderId="1" xfId="6" applyNumberFormat="1" applyFont="1" applyBorder="1"/>
    <xf numFmtId="0" fontId="15" fillId="0" borderId="0" xfId="6" applyFont="1" applyFill="1"/>
    <xf numFmtId="1" fontId="0" fillId="0" borderId="0" xfId="0" applyNumberFormat="1"/>
    <xf numFmtId="1" fontId="0" fillId="0" borderId="0" xfId="2" applyNumberFormat="1" applyFont="1" applyFill="1"/>
    <xf numFmtId="1" fontId="8" fillId="0" borderId="0" xfId="2" applyNumberFormat="1" applyFont="1" applyFill="1"/>
    <xf numFmtId="1" fontId="0" fillId="0" borderId="0" xfId="2" applyNumberFormat="1" applyFont="1"/>
    <xf numFmtId="43" fontId="15" fillId="4" borderId="0" xfId="6" applyNumberFormat="1" applyFont="1" applyBorder="1"/>
    <xf numFmtId="0" fontId="0" fillId="0" borderId="0" xfId="2" applyNumberFormat="1" applyFont="1" applyFill="1" applyBorder="1"/>
    <xf numFmtId="164" fontId="0" fillId="0" borderId="0" xfId="2" applyNumberFormat="1" applyFont="1"/>
    <xf numFmtId="164" fontId="0" fillId="0" borderId="0" xfId="2" applyNumberFormat="1" applyFont="1" applyFill="1"/>
    <xf numFmtId="164" fontId="0" fillId="0" borderId="0" xfId="0" applyNumberFormat="1"/>
    <xf numFmtId="164" fontId="8" fillId="0" borderId="0" xfId="2" applyNumberFormat="1" applyFont="1" applyFill="1"/>
    <xf numFmtId="43" fontId="8" fillId="0" borderId="0" xfId="2" applyFont="1" applyFill="1" applyAlignment="1">
      <alignment horizontal="left" vertical="center"/>
    </xf>
    <xf numFmtId="49" fontId="8" fillId="0" borderId="0" xfId="2" applyNumberFormat="1" applyFont="1" applyFill="1" applyBorder="1"/>
    <xf numFmtId="1" fontId="8" fillId="0" borderId="0" xfId="2" applyNumberFormat="1" applyFont="1" applyFill="1" applyBorder="1" applyAlignment="1">
      <alignment horizontal="left"/>
    </xf>
    <xf numFmtId="0" fontId="17" fillId="0" borderId="0" xfId="7" applyFill="1" applyProtection="1"/>
    <xf numFmtId="49" fontId="17" fillId="0" borderId="0" xfId="7" applyNumberFormat="1" applyFill="1" applyProtection="1"/>
    <xf numFmtId="2" fontId="13" fillId="0" borderId="0" xfId="0" applyNumberFormat="1" applyFont="1"/>
    <xf numFmtId="43" fontId="8" fillId="0" borderId="0" xfId="2" applyFont="1" applyFill="1" applyBorder="1"/>
    <xf numFmtId="0" fontId="8" fillId="0" borderId="1" xfId="0" applyFont="1" applyBorder="1"/>
    <xf numFmtId="2" fontId="6" fillId="0" borderId="0" xfId="2" applyNumberFormat="1" applyFont="1" applyFill="1" applyAlignment="1">
      <alignment horizontal="left" vertical="center" wrapText="1"/>
    </xf>
    <xf numFmtId="0" fontId="8" fillId="0" borderId="0" xfId="2" applyNumberFormat="1" applyFont="1" applyFill="1"/>
    <xf numFmtId="2" fontId="0" fillId="0" borderId="0" xfId="0" applyNumberFormat="1"/>
    <xf numFmtId="0" fontId="9" fillId="0" borderId="0" xfId="5" applyFont="1" applyFill="1" applyBorder="1"/>
    <xf numFmtId="2" fontId="12" fillId="0" borderId="0" xfId="5" applyNumberFormat="1" applyFont="1" applyFill="1" applyBorder="1"/>
    <xf numFmtId="0" fontId="19" fillId="0" borderId="0" xfId="0" applyFont="1"/>
    <xf numFmtId="49" fontId="20" fillId="0" borderId="0" xfId="0" applyNumberFormat="1" applyFont="1" applyAlignment="1">
      <alignment horizontal="left" vertical="center" wrapText="1"/>
    </xf>
    <xf numFmtId="43" fontId="0" fillId="0" borderId="0" xfId="2" applyFont="1"/>
    <xf numFmtId="2" fontId="22" fillId="5" borderId="0" xfId="8" applyNumberFormat="1" applyFont="1" applyBorder="1"/>
    <xf numFmtId="0" fontId="22" fillId="0" borderId="0" xfId="8" applyFont="1" applyFill="1" applyBorder="1"/>
    <xf numFmtId="43" fontId="15" fillId="4" borderId="0" xfId="6" applyNumberFormat="1" applyFont="1" applyBorder="1" applyAlignment="1">
      <alignment horizontal="left" vertical="center" wrapText="1"/>
    </xf>
    <xf numFmtId="0" fontId="15" fillId="0" borderId="0" xfId="6" applyFont="1" applyFill="1" applyBorder="1"/>
    <xf numFmtId="43" fontId="12" fillId="0" borderId="0" xfId="2" applyFont="1" applyFill="1" applyBorder="1" applyAlignment="1">
      <alignment horizontal="left" vertical="center" wrapText="1"/>
    </xf>
    <xf numFmtId="43" fontId="12" fillId="0" borderId="0" xfId="2" applyFont="1" applyFill="1" applyBorder="1"/>
    <xf numFmtId="0" fontId="11" fillId="0" borderId="0" xfId="0" applyFont="1"/>
    <xf numFmtId="43" fontId="21" fillId="4" borderId="0" xfId="6" applyNumberFormat="1" applyFont="1" applyBorder="1" applyAlignment="1">
      <alignment horizontal="left" vertical="center" wrapText="1"/>
    </xf>
    <xf numFmtId="43" fontId="12" fillId="0" borderId="0" xfId="2" applyFont="1" applyFill="1"/>
    <xf numFmtId="43" fontId="17" fillId="0" borderId="0" xfId="2" applyFont="1" applyFill="1" applyProtection="1"/>
    <xf numFmtId="49" fontId="11" fillId="0" borderId="0" xfId="0" applyNumberFormat="1" applyFont="1" applyAlignment="1">
      <alignment horizontal="left" vertical="center" wrapText="1"/>
    </xf>
    <xf numFmtId="43" fontId="11" fillId="0" borderId="0" xfId="2" applyFont="1" applyFill="1" applyAlignment="1">
      <alignment horizontal="left" vertical="center" wrapText="1"/>
    </xf>
    <xf numFmtId="1" fontId="8" fillId="0" borderId="0" xfId="2" applyNumberFormat="1" applyFont="1" applyFill="1" applyBorder="1"/>
    <xf numFmtId="43" fontId="21" fillId="0" borderId="0" xfId="2" applyFont="1" applyFill="1" applyBorder="1"/>
    <xf numFmtId="1" fontId="0" fillId="0" borderId="0" xfId="2" applyNumberFormat="1" applyFont="1" applyFill="1" applyAlignment="1"/>
    <xf numFmtId="49" fontId="24" fillId="0" borderId="0" xfId="0" applyNumberFormat="1" applyFont="1" applyAlignment="1">
      <alignment horizontal="left" vertical="center" wrapText="1"/>
    </xf>
    <xf numFmtId="49" fontId="25" fillId="0" borderId="0" xfId="0" applyNumberFormat="1" applyFont="1"/>
    <xf numFmtId="1" fontId="6" fillId="0" borderId="0" xfId="0" applyNumberFormat="1" applyFont="1" applyAlignment="1">
      <alignment horizontal="left" vertical="center" wrapText="1"/>
    </xf>
    <xf numFmtId="1" fontId="0" fillId="0" borderId="2" xfId="2" applyNumberFormat="1" applyFont="1" applyFill="1" applyBorder="1"/>
    <xf numFmtId="43" fontId="0" fillId="0" borderId="0" xfId="0" applyNumberFormat="1"/>
    <xf numFmtId="49" fontId="0" fillId="0" borderId="0" xfId="0" applyNumberFormat="1" applyAlignment="1">
      <alignment horizontal="left"/>
    </xf>
    <xf numFmtId="164" fontId="6" fillId="0" borderId="0" xfId="2" applyNumberFormat="1" applyFont="1" applyFill="1" applyAlignment="1">
      <alignment horizontal="left" vertical="center" wrapText="1"/>
    </xf>
    <xf numFmtId="14" fontId="6" fillId="0" borderId="0" xfId="0" applyNumberFormat="1" applyFont="1" applyAlignment="1">
      <alignment horizontal="left" vertical="center" wrapText="1"/>
    </xf>
    <xf numFmtId="14" fontId="0" fillId="0" borderId="0" xfId="2" applyNumberFormat="1" applyFont="1" applyFill="1"/>
    <xf numFmtId="43" fontId="6" fillId="0" borderId="0" xfId="0" applyNumberFormat="1" applyFont="1" applyAlignment="1">
      <alignment horizontal="left" vertical="center" wrapText="1"/>
    </xf>
    <xf numFmtId="43" fontId="0" fillId="0" borderId="1" xfId="0" applyNumberFormat="1" applyBorder="1"/>
    <xf numFmtId="14" fontId="0" fillId="0" borderId="1" xfId="0" applyNumberFormat="1" applyBorder="1"/>
    <xf numFmtId="2" fontId="6" fillId="0" borderId="0" xfId="0" applyNumberFormat="1" applyFont="1" applyAlignment="1">
      <alignment horizontal="left" vertical="center" wrapText="1"/>
    </xf>
    <xf numFmtId="2" fontId="0" fillId="0" borderId="0" xfId="2" applyNumberFormat="1" applyFont="1" applyFill="1" applyBorder="1"/>
    <xf numFmtId="2" fontId="12" fillId="0" borderId="0" xfId="2" applyNumberFormat="1" applyFont="1" applyFill="1" applyBorder="1" applyAlignment="1">
      <alignment horizontal="left" vertical="center" wrapText="1"/>
    </xf>
    <xf numFmtId="2" fontId="12" fillId="0" borderId="0" xfId="5" applyNumberFormat="1" applyFont="1" applyFill="1"/>
    <xf numFmtId="2" fontId="12" fillId="0" borderId="1" xfId="5" applyNumberFormat="1" applyFont="1" applyFill="1" applyBorder="1"/>
    <xf numFmtId="2" fontId="0" fillId="0" borderId="0" xfId="2" applyNumberFormat="1" applyFont="1" applyFill="1" applyAlignment="1">
      <alignment horizontal="right" vertical="center"/>
    </xf>
    <xf numFmtId="2" fontId="12" fillId="0" borderId="0" xfId="2" applyNumberFormat="1" applyFont="1" applyFill="1" applyBorder="1" applyAlignment="1">
      <alignment horizontal="right" vertical="center" wrapText="1"/>
    </xf>
    <xf numFmtId="2" fontId="22" fillId="5" borderId="1" xfId="8" applyNumberFormat="1" applyFont="1" applyBorder="1"/>
    <xf numFmtId="43" fontId="15" fillId="4" borderId="1" xfId="6" applyNumberFormat="1" applyFont="1" applyBorder="1" applyAlignment="1">
      <alignment horizontal="left" vertical="center" wrapText="1"/>
    </xf>
    <xf numFmtId="1" fontId="6" fillId="0" borderId="0" xfId="2" applyNumberFormat="1" applyFont="1" applyFill="1" applyAlignment="1">
      <alignment horizontal="left" vertical="center" wrapText="1"/>
    </xf>
    <xf numFmtId="2" fontId="22" fillId="5" borderId="4" xfId="8" applyNumberFormat="1" applyFont="1" applyBorder="1"/>
    <xf numFmtId="43" fontId="12" fillId="0" borderId="0" xfId="5" applyNumberFormat="1" applyFont="1" applyFill="1" applyBorder="1" applyAlignment="1">
      <alignment horizontal="left" vertical="center" wrapText="1"/>
    </xf>
    <xf numFmtId="164" fontId="0" fillId="0" borderId="0" xfId="2" applyNumberFormat="1" applyFont="1" applyFill="1" applyBorder="1"/>
    <xf numFmtId="1" fontId="0" fillId="0" borderId="0" xfId="2" applyNumberFormat="1" applyFont="1" applyFill="1" applyBorder="1"/>
    <xf numFmtId="4" fontId="0" fillId="0" borderId="0" xfId="0" applyNumberFormat="1"/>
    <xf numFmtId="43" fontId="15" fillId="0" borderId="0" xfId="6" applyNumberFormat="1" applyFont="1" applyFill="1" applyBorder="1" applyAlignment="1">
      <alignment horizontal="left" vertical="center" wrapText="1"/>
    </xf>
    <xf numFmtId="0" fontId="21" fillId="6" borderId="0" xfId="0" applyFont="1" applyFill="1" applyAlignment="1">
      <alignment horizontal="left" vertical="center" wrapText="1"/>
    </xf>
    <xf numFmtId="0" fontId="27" fillId="0" borderId="0" xfId="0" applyFont="1"/>
    <xf numFmtId="0" fontId="12" fillId="0" borderId="0" xfId="0" applyFont="1"/>
    <xf numFmtId="0" fontId="15" fillId="0" borderId="0" xfId="0" applyFont="1" applyAlignment="1">
      <alignment horizontal="left" vertical="center" wrapText="1"/>
    </xf>
    <xf numFmtId="43" fontId="15" fillId="7" borderId="0" xfId="6" applyNumberFormat="1" applyFont="1" applyFill="1" applyBorder="1" applyAlignment="1">
      <alignment horizontal="left" vertical="center" wrapText="1"/>
    </xf>
    <xf numFmtId="2" fontId="22" fillId="5" borderId="3" xfId="8" applyNumberFormat="1" applyFont="1"/>
    <xf numFmtId="2" fontId="22" fillId="0" borderId="3" xfId="8" applyNumberFormat="1" applyFont="1" applyFill="1"/>
    <xf numFmtId="2" fontId="22" fillId="0" borderId="4" xfId="8" applyNumberFormat="1" applyFont="1" applyFill="1" applyBorder="1"/>
    <xf numFmtId="43" fontId="15" fillId="7" borderId="0" xfId="6" applyNumberFormat="1" applyFont="1" applyFill="1" applyBorder="1"/>
    <xf numFmtId="43" fontId="0" fillId="0" borderId="0" xfId="2" applyFont="1" applyFill="1" applyBorder="1" applyAlignment="1">
      <alignment horizontal="left" vertical="center"/>
    </xf>
    <xf numFmtId="43" fontId="8" fillId="0" borderId="0" xfId="2" applyFont="1" applyFill="1" applyBorder="1" applyAlignment="1">
      <alignment horizontal="left" vertical="center"/>
    </xf>
    <xf numFmtId="0" fontId="28" fillId="0" borderId="0" xfId="9" applyFill="1" applyProtection="1"/>
    <xf numFmtId="0" fontId="26" fillId="0" borderId="0" xfId="9" applyFont="1" applyFill="1" applyProtection="1"/>
    <xf numFmtId="8" fontId="28" fillId="0" borderId="0" xfId="9" applyNumberFormat="1" applyFill="1" applyProtection="1"/>
    <xf numFmtId="9" fontId="11" fillId="0" borderId="0" xfId="10" applyFont="1" applyFill="1" applyAlignment="1">
      <alignment horizontal="left" vertical="center" wrapText="1"/>
    </xf>
    <xf numFmtId="9" fontId="0" fillId="0" borderId="0" xfId="10" applyFont="1" applyFill="1"/>
    <xf numFmtId="9" fontId="0" fillId="0" borderId="0" xfId="10" applyFont="1"/>
    <xf numFmtId="9" fontId="20" fillId="0" borderId="0" xfId="10" applyFont="1" applyFill="1" applyAlignment="1">
      <alignment horizontal="left" vertical="center" wrapText="1"/>
    </xf>
    <xf numFmtId="9" fontId="8" fillId="0" borderId="0" xfId="10" applyFont="1" applyFill="1"/>
    <xf numFmtId="9" fontId="13" fillId="0" borderId="0" xfId="10" applyFont="1"/>
    <xf numFmtId="43" fontId="29" fillId="8" borderId="0" xfId="11" applyNumberFormat="1" applyFont="1" applyAlignment="1">
      <alignment horizontal="left" vertical="center" wrapText="1"/>
    </xf>
    <xf numFmtId="43" fontId="29" fillId="8" borderId="0" xfId="11" applyNumberFormat="1" applyFont="1"/>
    <xf numFmtId="43" fontId="29" fillId="8" borderId="0" xfId="11" applyNumberFormat="1" applyFont="1" applyBorder="1"/>
    <xf numFmtId="0" fontId="29" fillId="8" borderId="0" xfId="11" applyFont="1"/>
    <xf numFmtId="9" fontId="11" fillId="0" borderId="0" xfId="2" applyNumberFormat="1" applyFont="1" applyFill="1" applyAlignment="1">
      <alignment horizontal="left" vertical="center" wrapText="1"/>
    </xf>
    <xf numFmtId="9" fontId="0" fillId="0" borderId="0" xfId="2" applyNumberFormat="1" applyFont="1" applyFill="1"/>
    <xf numFmtId="9" fontId="0" fillId="0" borderId="0" xfId="0" applyNumberFormat="1"/>
    <xf numFmtId="9" fontId="0" fillId="0" borderId="0" xfId="2" applyNumberFormat="1" applyFont="1" applyFill="1" applyBorder="1"/>
    <xf numFmtId="43" fontId="6" fillId="0" borderId="0" xfId="2" applyFont="1" applyAlignment="1">
      <alignment horizontal="left" vertical="center" wrapText="1"/>
    </xf>
    <xf numFmtId="49" fontId="8" fillId="0" borderId="6" xfId="0" applyNumberFormat="1" applyFont="1" applyBorder="1"/>
    <xf numFmtId="49" fontId="8" fillId="0" borderId="8" xfId="2" applyNumberFormat="1" applyFont="1" applyFill="1" applyBorder="1"/>
    <xf numFmtId="49" fontId="30" fillId="0" borderId="5" xfId="0" applyNumberFormat="1" applyFont="1" applyBorder="1"/>
    <xf numFmtId="49" fontId="30" fillId="0" borderId="9" xfId="0" applyNumberFormat="1" applyFont="1" applyBorder="1"/>
    <xf numFmtId="49" fontId="3" fillId="0" borderId="0" xfId="4" applyNumberFormat="1"/>
    <xf numFmtId="49" fontId="30" fillId="0" borderId="7" xfId="0" applyNumberFormat="1" applyFont="1" applyBorder="1"/>
    <xf numFmtId="43" fontId="12" fillId="0" borderId="0" xfId="2" applyFont="1" applyFill="1" applyAlignment="1">
      <alignment horizontal="left" vertical="center" wrapText="1"/>
    </xf>
    <xf numFmtId="43" fontId="15" fillId="4" borderId="0" xfId="6" applyNumberFormat="1" applyFont="1" applyAlignment="1">
      <alignment horizontal="left" vertical="center" wrapText="1"/>
    </xf>
    <xf numFmtId="49" fontId="0" fillId="0" borderId="0" xfId="2" applyNumberFormat="1" applyFont="1" applyFill="1" applyAlignment="1">
      <alignment horizontal="right" vertical="center"/>
    </xf>
    <xf numFmtId="49" fontId="0" fillId="0" borderId="0" xfId="2" applyNumberFormat="1" applyFont="1" applyFill="1" applyBorder="1" applyAlignment="1">
      <alignment horizontal="right" vertical="center"/>
    </xf>
    <xf numFmtId="49" fontId="1" fillId="0" borderId="0" xfId="4" applyNumberFormat="1" applyFont="1"/>
    <xf numFmtId="0" fontId="26" fillId="0" borderId="0" xfId="9" applyFont="1" applyFill="1" applyProtection="1"/>
    <xf numFmtId="0" fontId="28" fillId="0" borderId="0" xfId="9" applyFill="1" applyProtection="1"/>
    <xf numFmtId="0" fontId="26" fillId="0" borderId="0" xfId="0" applyFont="1"/>
    <xf numFmtId="0" fontId="0" fillId="0" borderId="0" xfId="0"/>
    <xf numFmtId="49" fontId="8" fillId="0" borderId="0" xfId="0" applyNumberFormat="1" applyFont="1" applyFill="1" applyBorder="1"/>
    <xf numFmtId="49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0" fontId="8" fillId="0" borderId="0" xfId="2" applyNumberFormat="1" applyFont="1" applyFill="1" applyBorder="1"/>
    <xf numFmtId="43" fontId="8" fillId="0" borderId="0" xfId="2" applyNumberFormat="1" applyFont="1" applyFill="1" applyBorder="1"/>
    <xf numFmtId="164" fontId="8" fillId="0" borderId="0" xfId="2" applyNumberFormat="1" applyFont="1" applyFill="1" applyBorder="1"/>
    <xf numFmtId="43" fontId="0" fillId="0" borderId="0" xfId="0" applyNumberFormat="1" applyFill="1" applyBorder="1"/>
    <xf numFmtId="14" fontId="0" fillId="0" borderId="0" xfId="0" applyNumberFormat="1" applyFill="1" applyBorder="1"/>
  </cellXfs>
  <cellStyles count="12">
    <cellStyle name="60% - Énfasis4" xfId="11" builtinId="44"/>
    <cellStyle name="Énfasis6" xfId="5" builtinId="49"/>
    <cellStyle name="Entrada" xfId="8" builtinId="20"/>
    <cellStyle name="Millares" xfId="2" builtinId="3"/>
    <cellStyle name="Neutral" xfId="6" builtinId="28"/>
    <cellStyle name="Normal" xfId="0" builtinId="0"/>
    <cellStyle name="Normal 2" xfId="1" xr:uid="{F1026522-BA8A-474E-B520-01D3EAAF9CEB}"/>
    <cellStyle name="Normal 3" xfId="3" xr:uid="{6DDAA4D7-BBAF-4685-B568-D87D30DBB806}"/>
    <cellStyle name="Normal 4" xfId="4" xr:uid="{262DEED2-0D64-429E-8A89-A0AD881B356A}"/>
    <cellStyle name="Normal 5" xfId="7" xr:uid="{B6B8C09D-55AA-40C6-B2B8-3D24B299FD1D}"/>
    <cellStyle name="Normal 6" xfId="9" xr:uid="{43FFE234-228C-46CE-82B3-83FD8BBAFC8D}"/>
    <cellStyle name="Porcentaje" xfId="10" builtinId="5"/>
  </cellStyles>
  <dxfs count="1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/>
        <sz val="12"/>
        <color rgb="FF3F3F76"/>
        <name val="Calibri"/>
        <family val="2"/>
        <scheme val="minor"/>
      </font>
      <numFmt numFmtId="2" formatCode="0.0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/>
        <sz val="12"/>
        <color rgb="FF3F3F76"/>
        <name val="Calibri"/>
        <family val="2"/>
        <scheme val="minor"/>
      </font>
      <numFmt numFmtId="2" formatCode="0.0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</dxf>
    <dxf>
      <numFmt numFmtId="30" formatCode="@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/>
        <sz val="12"/>
        <color rgb="FF3F3F76"/>
        <name val="Calibri"/>
        <family val="2"/>
        <scheme val="minor"/>
      </font>
      <numFmt numFmtId="2" formatCode="0.00"/>
      <fill>
        <patternFill patternType="solid">
          <fgColor indexed="64"/>
          <bgColor rgb="FFFFCC99"/>
        </patternFill>
      </fill>
      <alignment horizontal="righ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9" formatCode="d/m/yyyy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35" formatCode="_-* #,##0.00_-;\-* #,##0.00_-;_-* &quot;-&quot;??_-;_-@_-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/>
        <sz val="12"/>
        <color rgb="FF9C5700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</dxf>
    <dxf>
      <font>
        <b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border outline="0">
        <left style="thin">
          <color rgb="FF7F7F7F"/>
        </left>
      </border>
    </dxf>
    <dxf>
      <font>
        <b/>
        <sz val="12"/>
        <color rgb="FF3F3F76"/>
        <name val="Calibri"/>
        <family val="2"/>
        <scheme val="minor"/>
      </font>
      <numFmt numFmtId="2" formatCode="0.00"/>
    </dxf>
    <dxf>
      <numFmt numFmtId="30" formatCode="@"/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9" formatCode="d/m/yyyy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35" formatCode="_-* #,##0.00_-;\-* #,##0.00_-;_-* &quot;-&quot;??_-;_-@_-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sz val="12"/>
        <color rgb="FF3F3F76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/>
        <sz val="12"/>
        <color rgb="FF3F3F76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/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rgb="FFC00000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rgb="FF00206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numFmt numFmtId="19" formatCode="d/m/yyyy"/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numFmt numFmtId="35" formatCode="_-* #,##0.00_-;\-* #,##0.00_-;_-* &quot;-&quot;??_-;_-@_-"/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rgb="FFFFFFFF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9" formatCode="d/m/yyyy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35" formatCode="_-* #,##0.00_-;\-* #,##0.00_-;_-* &quot;-&quot;??_-;_-@_-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/>
        <sz val="12"/>
        <color rgb="FF9C5700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numFmt numFmtId="2" formatCode="0.00"/>
      <fill>
        <patternFill patternType="solid">
          <fgColor indexed="64"/>
          <bgColor rgb="FFFFCC99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CC99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numFmt numFmtId="2" formatCode="0.00"/>
      <fill>
        <patternFill patternType="solid">
          <fgColor indexed="64"/>
          <bgColor rgb="FFFFCC99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9" formatCode="d/m/yyyy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35" formatCode="_-* #,##0.00_-;\-* #,##0.00_-;_-* &quot;-&quot;??_-;_-@_-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</dxf>
    <dxf>
      <numFmt numFmtId="30" formatCode="@"/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numFmt numFmtId="2" formatCode="0.0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9" formatCode="d/m/yyyy"/>
    </dxf>
    <dxf>
      <numFmt numFmtId="19" formatCode="d/m/yyyy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numFmt numFmtId="2" formatCode="0.0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ont>
        <b/>
        <sz val="12"/>
        <color rgb="FF3F3F76"/>
        <name val="Calibri"/>
        <family val="2"/>
        <scheme val="minor"/>
      </font>
      <numFmt numFmtId="2" formatCode="0.00"/>
    </dxf>
    <dxf>
      <numFmt numFmtId="30" formatCode="@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9" formatCode="d/m/yyyy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35" formatCode="_-* #,##0.00_-;\-* #,##0.00_-;_-* &quot;-&quot;??_-;_-@_-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</dxf>
    <dxf>
      <font>
        <b/>
        <sz val="12"/>
        <color rgb="FF3F3F76"/>
        <name val="Calibri"/>
        <family val="2"/>
        <scheme val="minor"/>
      </font>
      <numFmt numFmtId="2" formatCode="0.00"/>
      <fill>
        <patternFill patternType="solid">
          <fgColor indexed="64"/>
          <bgColor rgb="FFFFCC99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9" formatCode="d/m/yyyy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35" formatCode="_-* #,##0.00_-;\-* #,##0.00_-;_-* &quot;-&quot;??_-;_-@_-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/>
        <sz val="12"/>
        <color rgb="FF9C5700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numFmt numFmtId="2" formatCode="0.0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sz val="12"/>
        <color rgb="FF3F3F76"/>
        <name val="Calibri"/>
        <family val="2"/>
        <scheme val="minor"/>
      </font>
      <numFmt numFmtId="2" formatCode="0.00"/>
      <fill>
        <patternFill patternType="solid">
          <fgColor indexed="64"/>
          <bgColor rgb="FFFFCC99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sz val="12"/>
        <color rgb="FF3F3F76"/>
        <name val="Calibri"/>
        <family val="2"/>
        <scheme val="minor"/>
      </font>
      <numFmt numFmtId="2" formatCode="0.0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</dxf>
    <dxf>
      <font>
        <b/>
        <strike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</dxf>
    <dxf>
      <numFmt numFmtId="30" formatCode="@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auto="1"/>
      </font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/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9" formatCode="d/m/yyyy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35" formatCode="_-* #,##0.00_-;\-* #,##0.00_-;_-* &quot;-&quot;??_-;_-@_-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numFmt numFmtId="2" formatCode="0.00"/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B40E13-118B-4C2E-B5FD-ED4C251300AB}" name="PROVEEDORES" displayName="PROVEEDORES" ref="A1:A66" totalsRowShown="0" headerRowDxfId="1156">
  <autoFilter ref="A1:A66" xr:uid="{75B40E13-118B-4C2E-B5FD-ED4C251300AB}"/>
  <sortState xmlns:xlrd2="http://schemas.microsoft.com/office/spreadsheetml/2017/richdata2" ref="A2:A66">
    <sortCondition ref="A1:A66"/>
  </sortState>
  <tableColumns count="1">
    <tableColumn id="1" xr3:uid="{D6CB8499-85F5-40CC-9064-8EF761B58F9E}" name="PROVEEDOR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F5891F-CB2D-4CF5-B511-8164E7D1FB7F}" name="ARTICULOS_BAI" displayName="ARTICULOS_BAI" ref="A1:AQ31" totalsRowShown="0" headerRowDxfId="890" dataDxfId="889">
  <autoFilter ref="A1:AQ31" xr:uid="{E53924AA-58EF-4F90-9C85-271BB3E0A626}"/>
  <sortState xmlns:xlrd2="http://schemas.microsoft.com/office/spreadsheetml/2017/richdata2" ref="A2:AQ28">
    <sortCondition ref="E1:E28"/>
  </sortState>
  <tableColumns count="43">
    <tableColumn id="1" xr3:uid="{E6C73D3D-68A1-45B5-8F2F-C32B5FD24E10}" name="Codigo" dataDxfId="888"/>
    <tableColumn id="42" xr3:uid="{003CCE56-355E-49E6-A182-DD8A0CE65462}" name="CodigoProveedor" dataDxfId="887"/>
    <tableColumn id="36" xr3:uid="{DD1F67F8-C96B-411E-9FC9-8CB74ED64494}" name="SKU" dataDxfId="886">
      <calculatedColumnFormula>CONCATENATE(LEFT(T2,3),RIGHT(A2,8))</calculatedColumnFormula>
    </tableColumn>
    <tableColumn id="2" xr3:uid="{85BE0A7F-FC4E-429A-8F0E-FA9D634F93F4}" name="PLU" dataDxfId="885"/>
    <tableColumn id="3" xr3:uid="{E01E73B3-5B38-4B56-92EC-0A8CDF8E71F1}" name="Descripcion" dataDxfId="884"/>
    <tableColumn id="18" xr3:uid="{067FDC63-3C72-4D45-B6CD-5475D35BBBE0}" name="P. Compra" dataDxfId="883" dataCellStyle="Entrada"/>
    <tableColumn id="14" xr3:uid="{D674F0E8-B6F8-486D-A66B-4E4C95A2B551}" name="IVA" dataDxfId="882" dataCellStyle="Millares"/>
    <tableColumn id="15" xr3:uid="{FADE5AE6-AB90-438D-9004-70270966E273}" name="ImpInt" dataDxfId="881" dataCellStyle="Millares"/>
    <tableColumn id="24" xr3:uid="{C5ECF621-19F8-40B2-B0FC-E17088F822BD}" name="Bulto" dataDxfId="880" dataCellStyle="Millares"/>
    <tableColumn id="20" xr3:uid="{E860DB9B-653D-48E7-8B93-F5ADDE220574}" name="UnidFact" dataDxfId="879">
      <calculatedColumnFormula>ARTICULOS_BAI[[#This Row],[Bulto]]</calculatedColumnFormula>
    </tableColumn>
    <tableColumn id="19" xr3:uid="{9853D7DF-5739-4637-B306-D53A12F82FC8}" name="CostoFlete"/>
    <tableColumn id="13" xr3:uid="{28E20230-9170-40A3-8B78-F8C018F7B601}" name="Costo" dataDxfId="878" dataCellStyle="Énfasis6">
      <calculatedColumnFormula>((ARTICULOS_BAI[[#This Row],[P. Compra]]*(1+ARTICULOS_BAI[[#This Row],[IVA]]))/ARTICULOS_BAI[[#This Row],[UnidFact]])+ARTICULOS_BAI[[#This Row],[CostoFlete]]</calculatedColumnFormula>
    </tableColumn>
    <tableColumn id="46" xr3:uid="{A6BE4FCC-F6F2-4764-AB23-06E4836A81E6}" name="Util" dataDxfId="877" dataCellStyle="Millares"/>
    <tableColumn id="16" xr3:uid="{33A87884-DC4D-4B78-9495-DECB9B76ECF8}" name="Precio" dataDxfId="876" dataCellStyle="Neutral">
      <calculatedColumnFormula>IF(L2&gt;=5,MROUND(L2/(1-M2/100),100),10)</calculatedColumnFormula>
    </tableColumn>
    <tableColumn id="17" xr3:uid="{44547D92-F078-46D7-AFD9-EB0F3952A879}" name="Precio2" dataDxfId="875" dataCellStyle="Millares">
      <calculatedColumnFormula>MROUND((ARTICULOS_BAI[[#This Row],[Precio]]/0.6),100)</calculatedColumnFormula>
    </tableColumn>
    <tableColumn id="21" xr3:uid="{56F0C04E-642A-49E9-9D65-9EEA4E1A78B1}" name="ControlStk" dataDxfId="874" dataCellStyle="Millares"/>
    <tableColumn id="25" xr3:uid="{C2BEEA0F-2CFD-4D6B-9625-454784695D08}" name="Minimo" dataDxfId="873" dataCellStyle="Millares"/>
    <tableColumn id="26" xr3:uid="{4BC3CB76-A4A6-4B2F-A099-93193A4C8D8A}" name="Maximo" dataDxfId="872" dataCellStyle="Millares">
      <calculatedColumnFormula>ARTICULOS_BAI[[#This Row],[Bulto]]*5</calculatedColumnFormula>
    </tableColumn>
    <tableColumn id="6" xr3:uid="{87971287-5E26-4A03-B9C4-2F0361C5CA94}" name="Proveedor" dataDxfId="871"/>
    <tableColumn id="7" xr3:uid="{D9174289-4517-42B9-9E2D-A92E48668215}" name="Rubro" dataDxfId="870"/>
    <tableColumn id="8" xr3:uid="{E8D58ED4-ECC7-4629-99D1-DCBB7CF3E56C}" name="Categoria" dataDxfId="869"/>
    <tableColumn id="9" xr3:uid="{190F989D-8B81-4825-87EA-BA74C4A3D64B}" name="Marca" dataDxfId="868"/>
    <tableColumn id="11" xr3:uid="{3B46976A-DED0-44B7-94D4-7966779C23CC}" name="PorKg" dataDxfId="867"/>
    <tableColumn id="12" xr3:uid="{B56369E5-F12D-418E-AC5A-7F395BEF3C84}" name="CantidadEti" dataDxfId="866"/>
    <tableColumn id="22" xr3:uid="{B5DBB3F9-C9E4-42E7-AACE-28D892FAA5E0}" name="Stock" dataDxfId="865"/>
    <tableColumn id="23" xr3:uid="{4A26A678-7292-4775-9BBF-826FAD0ADB3D}" name="StockReal" dataDxfId="864"/>
    <tableColumn id="4" xr3:uid="{D79ED499-C9A7-4809-89F4-E94BE2722FDE}" name="Pedido" dataDxfId="863"/>
    <tableColumn id="5" xr3:uid="{E6E5086A-9DD9-45DE-B9C0-27D1772E573A}" name="Total Pedido" dataDxfId="862">
      <calculatedColumnFormula>ARTICULOS_BAI[[#This Row],[Costo]]*ARTICULOS_BAI[[#This Row],[Pedido]]</calculatedColumnFormula>
    </tableColumn>
    <tableColumn id="10" xr3:uid="{83459F01-F590-4FA2-85BD-3DA9C2DF422D}" name="Ingresos" dataDxfId="861"/>
    <tableColumn id="27" xr3:uid="{AC56DC07-48FF-4F12-A052-5E29BEE9F2C6}" name="Salidas" dataDxfId="860"/>
    <tableColumn id="28" xr3:uid="{0FD128AE-DC68-45EA-BB8C-2E265603EEDF}" name="AlertaVencimiento" dataDxfId="859"/>
    <tableColumn id="29" xr3:uid="{E5C28C50-6915-4CF7-A0A2-6CB21E98CC29}" name="FechaVenc" dataDxfId="858"/>
    <tableColumn id="30" xr3:uid="{EA28A9A4-FB0E-4A34-8A87-A6CA6BC0AEBA}" name="DiasVenc" dataDxfId="857"/>
    <tableColumn id="31" xr3:uid="{CB59A08A-71A5-4ABC-A91D-12B5D297CFBF}" name="AlertaFechaVenc" dataDxfId="856">
      <calculatedColumnFormula>IF(AND(ARTICULOS_BAI[[#This Row],[FechaVenc]]=0,ARTICULOS_BAI[[#This Row],[DiasVenc]]=0),"",ARTICULOS_BAI[[#This Row],[FechaVenc]]-ARTICULOS_BAI[[#This Row],[DiasVenc]])</calculatedColumnFormula>
    </tableColumn>
    <tableColumn id="32" xr3:uid="{FA1C66EB-337A-4000-8129-B5FC5B9A9D59}" name="Oferta" dataDxfId="855"/>
    <tableColumn id="33" xr3:uid="{D56D8209-6E3B-4477-AF75-E06A507AEC4E}" name="StockOferta" dataDxfId="854"/>
    <tableColumn id="34" xr3:uid="{8C1C7FD9-3B97-4790-986E-4FB59D586DF2}" name="OfertaDesde" dataDxfId="853"/>
    <tableColumn id="35" xr3:uid="{C5CD075B-4663-4BF2-AFC5-36B2238FE617}" name="OfertaHasta" dataDxfId="852"/>
    <tableColumn id="37" xr3:uid="{4A27CDAA-7FCD-4FC8-8F16-85F23E2EE983}" name="Precio10" dataDxfId="851"/>
    <tableColumn id="38" xr3:uid="{33493626-5087-40EF-9623-5B36DFDF98F3}" name="Precio_fijo" dataDxfId="850"/>
    <tableColumn id="39" xr3:uid="{0B31E469-4EF9-4DEB-9914-4F7C52A56CC9}" name="Anulado" dataDxfId="849"/>
    <tableColumn id="40" xr3:uid="{CA0D5ECE-D997-414F-B268-BDAE3834396B}" name="IB" dataDxfId="848"/>
    <tableColumn id="41" xr3:uid="{B6FA99D4-070B-4CE9-BF7A-5259A42EECA9}" name="UnidadEti" dataDxfId="8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2B72D6-D319-4FD8-9EC7-A3419E207935}" name="ARTICULOS_DOBLECOLA" displayName="ARTICULOS_DOBLECOLA" ref="A1:AR16" totalsRowCount="1" headerRowDxfId="846" dataDxfId="845">
  <autoFilter ref="A1:AR15" xr:uid="{E53924AA-58EF-4F90-9C85-271BB3E0A626}"/>
  <sortState xmlns:xlrd2="http://schemas.microsoft.com/office/spreadsheetml/2017/richdata2" ref="A2:U15">
    <sortCondition ref="E1:E15"/>
  </sortState>
  <tableColumns count="44">
    <tableColumn id="1" xr3:uid="{17474BE7-4543-464F-9E76-17633CE25D46}" name="Codigo" dataDxfId="844" totalsRowDxfId="843"/>
    <tableColumn id="42" xr3:uid="{684DD44B-BFAD-427E-AC1D-609CA1BDB437}" name="CodigoProveedor" dataDxfId="842" totalsRowDxfId="841"/>
    <tableColumn id="36" xr3:uid="{D5D3A373-8820-49E5-A583-047992F27F84}" name="SKU" dataDxfId="840">
      <calculatedColumnFormula>CONCATENATE(LEFT(Q2,3),RIGHT(A2,8))</calculatedColumnFormula>
    </tableColumn>
    <tableColumn id="2" xr3:uid="{1739C868-6C56-46D1-A404-9435D126470C}" name="PLU" dataDxfId="839"/>
    <tableColumn id="3" xr3:uid="{F0B97BDB-D3B3-4AA2-9BBD-1DC456013B99}" name="Descripcion" dataDxfId="838" totalsRowDxfId="837"/>
    <tableColumn id="18" xr3:uid="{245263F0-BEF9-4B4F-9AF8-133140F12364}" name="P. Compra" dataDxfId="836" totalsRowDxfId="835" dataCellStyle="Entrada" totalsRowCellStyle="Entrada"/>
    <tableColumn id="14" xr3:uid="{49C779D9-E0B9-48D4-9D16-5DFACA248BFF}" name="IVA" dataDxfId="834" totalsRowDxfId="833" dataCellStyle="Millares" totalsRowCellStyle="Millares"/>
    <tableColumn id="15" xr3:uid="{F0F1CF25-01D0-41DF-8F9E-F0E027F12DCB}" name="ImpInt" dataDxfId="832" totalsRowDxfId="831" dataCellStyle="Millares" totalsRowCellStyle="Millares"/>
    <tableColumn id="24" xr3:uid="{E0FB2405-F880-4694-B2AA-E1E617022BA9}" name="Bulto" dataDxfId="830" totalsRowDxfId="829" dataCellStyle="Millares" totalsRowCellStyle="Millares"/>
    <tableColumn id="20" xr3:uid="{CE23A71C-FB4C-4650-902E-381541E1C7B5}" name="UnidFact" totalsRowDxfId="828"/>
    <tableColumn id="19" xr3:uid="{A204F9BE-9013-4F2B-84E3-DA4B81228814}" name="CostoFlete"/>
    <tableColumn id="13" xr3:uid="{568793EC-4E41-4D6A-BD84-44BB178C8F69}" name="Costo" dataDxfId="827" totalsRowDxfId="826" dataCellStyle="Énfasis6" totalsRowCellStyle="Énfasis6">
      <calculatedColumnFormula>((ARTICULOS_DOBLECOLA[[#This Row],[P. Compra]]*(1+ARTICULOS_DOBLECOLA[[#This Row],[IVA]]))/ARTICULOS_DOBLECOLA[[#This Row],[UnidFact]])+ARTICULOS_DOBLECOLA[[#This Row],[CostoFlete]]</calculatedColumnFormula>
    </tableColumn>
    <tableColumn id="46" xr3:uid="{A63791D4-D931-414C-B15C-51C9766B80D4}" name="Util" dataDxfId="825" totalsRowDxfId="824" dataCellStyle="Millares" totalsRowCellStyle="Millares"/>
    <tableColumn id="16" xr3:uid="{6D0B2C61-FBA9-4848-839A-3B517D9B34AE}" name="Precio" dataDxfId="823" totalsRowDxfId="822" dataCellStyle="Neutral" totalsRowCellStyle="Neutral">
      <calculatedColumnFormula>IF(L2&gt;=5,MROUND(L2/(1-M2/100),50),10)</calculatedColumnFormula>
    </tableColumn>
    <tableColumn id="17" xr3:uid="{3F65FA97-7B6D-41FD-AE01-B39169D667A2}" name="Precio2" dataDxfId="821" totalsRowDxfId="820" dataCellStyle="Millares" totalsRowCellStyle="Millares">
      <calculatedColumnFormula>MROUND((ARTICULOS_DOBLECOLA[[#This Row],[Precio]]/0.6),10)</calculatedColumnFormula>
    </tableColumn>
    <tableColumn id="6" xr3:uid="{A2D5D42F-8F0D-4D67-A90E-60580CD8A7E8}" name="Proveedor" dataDxfId="819"/>
    <tableColumn id="7" xr3:uid="{5A250D08-1BFE-49E0-8C42-86714DD4ECD0}" name="Rubro" dataDxfId="818"/>
    <tableColumn id="8" xr3:uid="{7F33DF88-19E2-4675-841A-BD1A9F4D3A4F}" name="Categoria" dataDxfId="817"/>
    <tableColumn id="9" xr3:uid="{C261447C-893E-430B-89EB-A159AB64FD67}" name="Marca" dataDxfId="816" totalsRowDxfId="815" totalsRowCellStyle="Millares"/>
    <tableColumn id="11" xr3:uid="{29696780-B226-4560-91BD-B156FA247219}" name="PorKg" dataDxfId="814" totalsRowDxfId="813" totalsRowCellStyle="Millares"/>
    <tableColumn id="12" xr3:uid="{68589827-9A4D-4792-BEA5-1C1B7C0A8B37}" name="CantidadEti" dataDxfId="812"/>
    <tableColumn id="21" xr3:uid="{76A1016C-748F-45B6-A4DB-43BFD5E5882D}" name="ControlStk" dataDxfId="811" totalsRowDxfId="810" dataCellStyle="Millares" totalsRowCellStyle="Millares"/>
    <tableColumn id="25" xr3:uid="{E0DBDEB3-0F54-40C6-8823-9484D4001163}" name="Minimo" dataDxfId="809" totalsRowDxfId="808" dataCellStyle="Millares" totalsRowCellStyle="Millares"/>
    <tableColumn id="26" xr3:uid="{7FE9F4C8-61FA-4473-A428-A5226D8ED4B0}" name="Maximo" dataDxfId="807" totalsRowDxfId="806" dataCellStyle="Millares" totalsRowCellStyle="Millares">
      <calculatedColumnFormula>ARTICULOS_DOBLECOLA[[#This Row],[Bulto]]*2</calculatedColumnFormula>
    </tableColumn>
    <tableColumn id="22" xr3:uid="{30862B03-122B-4EC9-83F8-083F81710304}" name="Stock" dataDxfId="805" totalsRowDxfId="804" totalsRowCellStyle="Millares"/>
    <tableColumn id="23" xr3:uid="{35A651AE-59E8-4A5C-88D8-2D4AD4F96D30}" name="StockReal" dataDxfId="803" totalsRowDxfId="802" totalsRowCellStyle="Millares"/>
    <tableColumn id="4" xr3:uid="{DE1738EC-2856-49D6-8064-6B043962C6EA}" name="Pedido Unidad" dataDxfId="801" totalsRowDxfId="800" totalsRowCellStyle="Millares">
      <calculatedColumnFormula>IF(ARTICULOS_DOBLECOLA[[#This Row],[Stock]]&lt;ARTICULOS_DOBLECOLA[[#This Row],[Minimo]],ARTICULOS_DOBLECOLA[[#This Row],[Maximo]]-ARTICULOS_DOBLECOLA[[#This Row],[Stock]],0)</calculatedColumnFormula>
    </tableColumn>
    <tableColumn id="43" xr3:uid="{11793DE5-929B-4B7C-96DD-49667B30C198}" name="Pedido Bultos" dataDxfId="799" totalsRowDxfId="798">
      <calculatedColumnFormula>MROUND(ARTICULOS_DOBLECOLA[[#This Row],[Pedido Unidad]]/ARTICULOS_DOBLECOLA[[#This Row],[Bulto]],1)</calculatedColumnFormula>
    </tableColumn>
    <tableColumn id="5" xr3:uid="{F8B3F6F8-44D8-4AE8-A9D2-75956F717C51}" name="Total Pedido" totalsRowFunction="sum" dataDxfId="797" totalsRowDxfId="796">
      <calculatedColumnFormula>ARTICULOS_DOBLECOLA[[#This Row],[Costo]]*ARTICULOS_DOBLECOLA[[#This Row],[Bulto]]*ARTICULOS_DOBLECOLA[[#This Row],[Pedido Bultos]]</calculatedColumnFormula>
    </tableColumn>
    <tableColumn id="10" xr3:uid="{E77A13C7-D93F-4650-9442-E33475E6C84D}" name="Ingresos" dataDxfId="795"/>
    <tableColumn id="27" xr3:uid="{49585F5B-01F9-4B24-B2E7-D0EA704A81A0}" name="Salidas" dataDxfId="794"/>
    <tableColumn id="28" xr3:uid="{DECAB941-14AE-47BE-888B-0DEA742FE073}" name="AlertaVencimiento" dataDxfId="793"/>
    <tableColumn id="29" xr3:uid="{46C4E461-C6A2-4C0A-814B-DCB9B2221D6A}" name="FechaVenc" dataDxfId="792"/>
    <tableColumn id="30" xr3:uid="{CD4B7820-19AC-4617-B51F-3F2BE6B0BE54}" name="DiasVenc" dataDxfId="791"/>
    <tableColumn id="31" xr3:uid="{3F59E113-9389-41BB-BD64-6448C3979A3C}" name="AlertaFechaVenc" dataDxfId="790" totalsRowDxfId="789">
      <calculatedColumnFormula>IF(AND(ARTICULOS_OSLE[[#This Row],[FechaVenc]]=0,ARTICULOS_OSLE[[#This Row],[DiasVenc]]=0),"",ARTICULOS_OSLE[[#This Row],[FechaVenc]]-ARTICULOS_OSLE[[#This Row],[DiasVenc]])</calculatedColumnFormula>
    </tableColumn>
    <tableColumn id="32" xr3:uid="{7904753F-9F92-461A-A382-2E088FFC0E48}" name="Oferta" dataDxfId="788"/>
    <tableColumn id="33" xr3:uid="{1E93E757-0279-4A4C-9FE9-FD3945E2BCB7}" name="StockOferta" dataDxfId="787"/>
    <tableColumn id="34" xr3:uid="{E0DD576F-3FD3-416B-8AB9-FA84726FF172}" name="OfertaDesde" dataDxfId="786"/>
    <tableColumn id="35" xr3:uid="{5C7FFB50-DE7F-46D8-BDB8-A9864C2028D5}" name="OfertaHasta" dataDxfId="785"/>
    <tableColumn id="37" xr3:uid="{92B4794B-03D4-4CBC-9419-562BDB7917AD}" name="Precio10" dataDxfId="784"/>
    <tableColumn id="38" xr3:uid="{EA4BE1F5-F1C4-43D9-B905-245972FE9F2B}" name="Precio_fijo" dataDxfId="783"/>
    <tableColumn id="39" xr3:uid="{2835E8B7-5A81-4B17-8512-8EC38BA3F4A9}" name="Anulado" dataDxfId="782"/>
    <tableColumn id="40" xr3:uid="{5AF89214-151C-4F7F-8C6A-3DF3B2844750}" name="IB" dataDxfId="781"/>
    <tableColumn id="41" xr3:uid="{293EC820-7AFB-4B66-9560-FB9A2B4BD1D8}" name="UnidadEti" dataDxfId="78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65DECE-2FE3-426D-991B-6EBA48EA66D3}" name="ARTICULOS_YAMANIL" displayName="ARTICULOS_YAMANIL" ref="A1:AQ66" totalsRowShown="0" headerRowDxfId="779" dataDxfId="778">
  <autoFilter ref="A1:AQ66" xr:uid="{E53924AA-58EF-4F90-9C85-271BB3E0A626}"/>
  <sortState xmlns:xlrd2="http://schemas.microsoft.com/office/spreadsheetml/2017/richdata2" ref="A2:X66">
    <sortCondition ref="E1:E66"/>
  </sortState>
  <tableColumns count="43">
    <tableColumn id="1" xr3:uid="{76261A94-3F41-4EDE-8FA2-74CB002522FF}" name="Codigo" dataDxfId="777"/>
    <tableColumn id="42" xr3:uid="{EB8A1891-0B1A-4884-A6B1-2179E8B6614E}" name="CodigoProveedor" dataDxfId="776"/>
    <tableColumn id="36" xr3:uid="{72C2546C-31BF-42AF-9B51-3BC6FC39012C}" name="SKU" dataDxfId="775">
      <calculatedColumnFormula>CONCATENATE(LEFT(T2,3),RIGHT(A2,8))</calculatedColumnFormula>
    </tableColumn>
    <tableColumn id="2" xr3:uid="{21FAA1B3-E8FD-4B96-95DE-FEFEE8459FCD}" name="PLU" dataDxfId="774"/>
    <tableColumn id="3" xr3:uid="{2CA97DBD-7AE3-4625-A980-60D1643C70C0}" name="Descripcion" dataDxfId="773"/>
    <tableColumn id="18" xr3:uid="{586A5EE4-4EBC-40BB-95A2-FCA2705FC5E6}" name="P. Compra" dataDxfId="772" dataCellStyle="Entrada"/>
    <tableColumn id="14" xr3:uid="{A6BFC499-0300-4F00-BCD0-67F36ACA2A64}" name="IVA" dataDxfId="771" dataCellStyle="Millares"/>
    <tableColumn id="15" xr3:uid="{60268E3A-52A5-41B5-B711-A406597FC573}" name="ImpInt" dataDxfId="770" dataCellStyle="Millares"/>
    <tableColumn id="24" xr3:uid="{3BBB4D6D-C3B0-416C-A96C-38CBA2A84FBE}" name="Bulto" dataDxfId="769" dataCellStyle="Millares"/>
    <tableColumn id="20" xr3:uid="{A8A2EE2D-C76B-48BD-A127-80EFB1D89669}" name="UnidFact" dataDxfId="768">
      <calculatedColumnFormula>ARTICULOS_YAMANIL[[#This Row],[Bulto]]</calculatedColumnFormula>
    </tableColumn>
    <tableColumn id="19" xr3:uid="{E4892E80-5D62-447F-94B5-DB94C09B4753}" name="CostoFlete" dataDxfId="767">
      <calculatedColumnFormula>500*1%</calculatedColumnFormula>
    </tableColumn>
    <tableColumn id="13" xr3:uid="{1A4900BB-5FC2-426C-98D6-07CFBB28D4A7}" name="Costo" dataDxfId="766" dataCellStyle="Énfasis6">
      <calculatedColumnFormula>((ARTICULOS_YAMANIL[[#This Row],[P. Compra]]*(1+ARTICULOS_YAMANIL[[#This Row],[IVA]]%))/ARTICULOS_YAMANIL[[#This Row],[UnidFact]])+ARTICULOS_YAMANIL[[#This Row],[CostoFlete]]</calculatedColumnFormula>
    </tableColumn>
    <tableColumn id="46" xr3:uid="{AF5A96FE-542E-4E4E-B22F-FE2D7E840918}" name="Util" dataDxfId="765" dataCellStyle="Millares"/>
    <tableColumn id="16" xr3:uid="{03CA22E3-1386-40BC-A3BA-D179FD7B0ABB}" name="Precio" dataDxfId="764" dataCellStyle="Neutral">
      <calculatedColumnFormula>IF(L2&gt;=5,MROUND(L2/(1-M2/100),50),10)</calculatedColumnFormula>
    </tableColumn>
    <tableColumn id="17" xr3:uid="{A26C017A-988D-4323-8C97-506FAB785229}" name="Precio2" dataDxfId="763" dataCellStyle="Millares">
      <calculatedColumnFormula>MROUND((ARTICULOS_YAMANIL[[#This Row],[Precio]]/0.6),50)</calculatedColumnFormula>
    </tableColumn>
    <tableColumn id="21" xr3:uid="{3F0440A2-C661-4008-9FBA-FE0B95074EEB}" name="ControlStk" dataDxfId="762" dataCellStyle="Millares"/>
    <tableColumn id="25" xr3:uid="{9979EF87-E56F-4A12-94FC-EBD6B1D64811}" name="Minimo" dataDxfId="761" dataCellStyle="Millares"/>
    <tableColumn id="26" xr3:uid="{A97E3106-93A9-4D1C-8E48-779C8E82D407}" name="Maximo" dataDxfId="760" dataCellStyle="Millares">
      <calculatedColumnFormula>ARTICULOS_YAMANIL[[#This Row],[Minimo]]*10</calculatedColumnFormula>
    </tableColumn>
    <tableColumn id="6" xr3:uid="{9B802050-3829-4F6C-BA29-0F76310D44EE}" name="Proveedor" dataDxfId="759"/>
    <tableColumn id="7" xr3:uid="{915AD7C2-2BD8-4150-9E59-601015F517E3}" name="Rubro" dataDxfId="758"/>
    <tableColumn id="8" xr3:uid="{D63BB86C-42C4-4AC6-881D-A6BA81B6F5FA}" name="Categoria" dataDxfId="757"/>
    <tableColumn id="9" xr3:uid="{01EDC9A2-C0B2-4635-8D8F-478A85D14E3F}" name="Marca" dataDxfId="756"/>
    <tableColumn id="11" xr3:uid="{D1E5F0D2-4DA0-4AEB-BB36-136B4FE584A1}" name="PorKg" dataDxfId="755"/>
    <tableColumn id="12" xr3:uid="{F65FDE19-B5B6-4A17-9D24-0F0BE3C01D13}" name="CantidadEti" dataDxfId="754"/>
    <tableColumn id="22" xr3:uid="{E31C6153-C3C5-4998-8A80-D7DE5CCF23E8}" name="Stock" dataDxfId="753"/>
    <tableColumn id="23" xr3:uid="{5CBE9B53-BC7D-4881-B390-945675BBF928}" name="StockReal" dataDxfId="752"/>
    <tableColumn id="4" xr3:uid="{F3B25379-4226-45D0-BDDB-934BB6277C0A}" name="Pedido" dataDxfId="751"/>
    <tableColumn id="5" xr3:uid="{28CA9A5B-7B34-4533-87C4-7E1158646AAF}" name="Total Pedido" dataDxfId="750">
      <calculatedColumnFormula>ARTICULOS_OSLE[[#This Row],[Costo]]*ARTICULOS_OSLE[[#This Row],[Pedido]]</calculatedColumnFormula>
    </tableColumn>
    <tableColumn id="10" xr3:uid="{2722656A-ECF5-4235-8412-35E9006C0E6F}" name="Ingresos" dataDxfId="749"/>
    <tableColumn id="27" xr3:uid="{9E7B0F91-3BB5-41E3-AF6E-820E84B9E88A}" name="Salidas" dataDxfId="748"/>
    <tableColumn id="28" xr3:uid="{B156BC96-3E36-43E0-B038-2289352994BE}" name="AlertaVencimiento" dataDxfId="747"/>
    <tableColumn id="29" xr3:uid="{8D428BD2-8701-4AD2-A162-672C3543BB0B}" name="FechaVenc" dataDxfId="746"/>
    <tableColumn id="30" xr3:uid="{893FA05A-E621-469C-AD11-792BEC3E0F91}" name="DiasVenc" dataDxfId="745"/>
    <tableColumn id="31" xr3:uid="{289AE27B-41AB-4176-9CF2-44A5A38B2AB5}" name="AlertaFechaVenc" dataDxfId="744">
      <calculatedColumnFormula>IF(AND(ARTICULOS_OSLE[[#This Row],[FechaVenc]]=0,ARTICULOS_OSLE[[#This Row],[DiasVenc]]=0),"",ARTICULOS_OSLE[[#This Row],[FechaVenc]]-ARTICULOS_OSLE[[#This Row],[DiasVenc]])</calculatedColumnFormula>
    </tableColumn>
    <tableColumn id="32" xr3:uid="{BDCF56A2-6B9D-401E-A93A-813373DF80F4}" name="Oferta" dataDxfId="743"/>
    <tableColumn id="33" xr3:uid="{8965DA37-5A1A-415B-A1BF-FC9E2B550809}" name="StockOferta" dataDxfId="742"/>
    <tableColumn id="34" xr3:uid="{BED4B5ED-FD69-49A8-9585-82B452AED0C8}" name="OfertaDesde" dataDxfId="741"/>
    <tableColumn id="35" xr3:uid="{8F30A181-0FD8-44DD-9845-C73F12726F86}" name="OfertaHasta" dataDxfId="740"/>
    <tableColumn id="37" xr3:uid="{8633E4ED-9FE6-4D54-A926-ADB0B265E0E7}" name="Precio10" dataDxfId="739"/>
    <tableColumn id="38" xr3:uid="{CDA6B964-D6DD-4FBB-BB34-71B34B16850C}" name="Precio_fijo" dataDxfId="738"/>
    <tableColumn id="39" xr3:uid="{BBFAA0C8-61BF-4128-9E9C-BB9A5FE558FB}" name="Anulado" dataDxfId="737"/>
    <tableColumn id="40" xr3:uid="{0960CA0F-416F-4F21-8D24-C3B667CAB861}" name="IB" dataDxfId="736"/>
    <tableColumn id="41" xr3:uid="{C4DB1F89-A082-40CA-9BB9-0C25CC0B3A25}" name="UnidadEti" dataDxfId="73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C093E23-3498-468B-83B5-140A2E7E557B}" name="ARTICULOS_OSLE" displayName="ARTICULOS_OSLE" ref="A1:AQ31" totalsRowCount="1" headerRowDxfId="734" dataDxfId="733">
  <autoFilter ref="A1:AQ30" xr:uid="{E53924AA-58EF-4F90-9C85-271BB3E0A626}"/>
  <sortState xmlns:xlrd2="http://schemas.microsoft.com/office/spreadsheetml/2017/richdata2" ref="A2:AQ30">
    <sortCondition ref="E1:E30"/>
  </sortState>
  <tableColumns count="43">
    <tableColumn id="1" xr3:uid="{D8176673-BE68-40BE-8BC2-BEE765DF5815}" name="Codigo" totalsRowLabel="Total" dataDxfId="732"/>
    <tableColumn id="42" xr3:uid="{970C5FDA-63E9-4062-96F9-62CA0ACCF961}" name="CodigoProveedor" dataDxfId="731"/>
    <tableColumn id="36" xr3:uid="{442EE32D-1C4B-4032-A033-A6CD2610CEEA}" name="SKU" dataDxfId="730">
      <calculatedColumnFormula>CONCATENATE(LEFT(T2,3),RIGHT(A2,8))</calculatedColumnFormula>
    </tableColumn>
    <tableColumn id="2" xr3:uid="{AB4C8A12-7200-4057-83E9-AC4E998AC25D}" name="PLU" dataDxfId="729"/>
    <tableColumn id="3" xr3:uid="{97011691-0DE3-42D1-8799-1668AC80D9D1}" name="Descripcion" dataDxfId="728"/>
    <tableColumn id="18" xr3:uid="{1B2CF5D3-5E9E-427D-8AFD-DC595F7598E3}" name="P. Compra" dataDxfId="727" totalsRowDxfId="726" dataCellStyle="Entrada"/>
    <tableColumn id="14" xr3:uid="{B64A2046-ADEA-43E0-8A4F-8476C9E3A4C2}" name="IVA" dataDxfId="725" dataCellStyle="Millares"/>
    <tableColumn id="15" xr3:uid="{45FBA956-AEB3-4949-B645-895F309722A5}" name="ImpInt" dataDxfId="724" dataCellStyle="Millares"/>
    <tableColumn id="24" xr3:uid="{2B76E8AB-2E14-4DED-8673-8C397CA6ECEB}" name="Bulto" dataDxfId="723" dataCellStyle="Millares"/>
    <tableColumn id="20" xr3:uid="{A2480A23-412C-464A-B8FE-B845C5D18CF7}" name="UnidFact"/>
    <tableColumn id="19" xr3:uid="{24F71D42-2A35-479A-8038-453CABDF0006}" name="CostoFlete"/>
    <tableColumn id="13" xr3:uid="{21D59796-3AA1-4C38-811A-FC8CEE393E15}" name="Costo" dataDxfId="722" totalsRowDxfId="721" dataCellStyle="Énfasis6">
      <calculatedColumnFormula>((ARTICULOS_OSLE[[#This Row],[P. Compra]]*(1+ARTICULOS_OSLE[[#This Row],[IVA]]%))/ARTICULOS_OSLE[[#This Row],[UnidFact]])+ARTICULOS_OSLE[[#This Row],[CostoFlete]]</calculatedColumnFormula>
    </tableColumn>
    <tableColumn id="46" xr3:uid="{4647E2DC-2AB7-4DFB-9651-18BA40A9E136}" name="Util" dataDxfId="720" dataCellStyle="Millares"/>
    <tableColumn id="16" xr3:uid="{E6917235-E103-404D-8027-8DD7CAF4F1C6}" name="Precio" dataDxfId="719" totalsRowDxfId="718" dataCellStyle="Neutral">
      <calculatedColumnFormula>IF(L2&gt;=5,MROUND(L2/(1-M2/100),50),10)</calculatedColumnFormula>
    </tableColumn>
    <tableColumn id="17" xr3:uid="{61087A6B-4EF1-4925-9706-5EF27D6072D2}" name="Precio2" dataDxfId="717" dataCellStyle="Millares">
      <calculatedColumnFormula>MROUND((ARTICULOS_OSLE[[#This Row],[Precio]]/0.6),50)</calculatedColumnFormula>
    </tableColumn>
    <tableColumn id="21" xr3:uid="{2CFCBD48-BCB6-4DB0-96B6-CDDD52DE3C68}" name="ControlStk" dataDxfId="716" dataCellStyle="Millares"/>
    <tableColumn id="25" xr3:uid="{9B49B40A-9C7D-4B1F-963F-30018E946CF1}" name="Minimo" dataDxfId="715" dataCellStyle="Millares"/>
    <tableColumn id="26" xr3:uid="{15F347FB-CCD4-43D7-8526-9F0A1DF4EC64}" name="Maximo" dataDxfId="714" dataCellStyle="Millares">
      <calculatedColumnFormula>ARTICULOS_OSLE[[#This Row],[Bulto]]+ARTICULOS_OSLE[[#This Row],[Minimo]]</calculatedColumnFormula>
    </tableColumn>
    <tableColumn id="6" xr3:uid="{D44FEA60-1EB4-4344-ADF5-08BB477EC7DF}" name="Proveedor" dataDxfId="713"/>
    <tableColumn id="7" xr3:uid="{6B1A4A78-E3A3-4CD2-A60F-DDF27593A423}" name="Rubro" dataDxfId="712"/>
    <tableColumn id="8" xr3:uid="{CCB016B5-5765-4239-B9B4-E927EA6AC0FC}" name="Categoria" dataDxfId="711"/>
    <tableColumn id="9" xr3:uid="{509BAA63-26E0-443F-80B1-7DFA82F27F8D}" name="Marca" dataDxfId="710"/>
    <tableColumn id="11" xr3:uid="{8B49F2B7-C24F-4F29-9D54-D3C2452B5977}" name="PorKg" dataDxfId="709"/>
    <tableColumn id="12" xr3:uid="{4203A3EF-B969-435D-9259-D35C8858696A}" name="CantidadEti" dataDxfId="708"/>
    <tableColumn id="23" xr3:uid="{98CEF253-29F4-4CED-ACAF-339991220F8B}" name="Stock" dataDxfId="707" dataCellStyle="Millares"/>
    <tableColumn id="22" xr3:uid="{5FBF0A57-EBCF-466D-A5C3-AD7603D2DD68}" name="StockInicial" dataDxfId="706"/>
    <tableColumn id="4" xr3:uid="{AD15BFA3-2670-44BE-90D3-40A29977B09A}" name="Pedido" dataDxfId="705"/>
    <tableColumn id="5" xr3:uid="{EDD292B9-9B11-4289-8AB6-DCA54EA0B70A}" name="Total Pedido" totalsRowFunction="sum" dataDxfId="704" totalsRowDxfId="703">
      <calculatedColumnFormula>ARTICULOS_OSLE[[#This Row],[Costo]]*ARTICULOS_OSLE[[#This Row],[Pedido]]</calculatedColumnFormula>
    </tableColumn>
    <tableColumn id="10" xr3:uid="{B90D12C5-ED4A-42AD-A82F-FE8883195C40}" name="Ingresos" dataDxfId="702"/>
    <tableColumn id="27" xr3:uid="{CADBF1F7-4F85-4D3E-8B27-9D5E4AC63359}" name="Salidas" dataDxfId="701"/>
    <tableColumn id="32" xr3:uid="{26A45ED6-2E4A-4734-AF5B-B23A10127306}" name="AlertaVencimiento" dataDxfId="700"/>
    <tableColumn id="28" xr3:uid="{851F64A2-F4C1-4F3D-8497-0DD9C3B62752}" name="FechaVenc" dataDxfId="699"/>
    <tableColumn id="33" xr3:uid="{42356D31-0153-4AFD-B886-A35BCD706867}" name="DiasVenc" dataDxfId="698"/>
    <tableColumn id="34" xr3:uid="{8ED23633-AF5C-41E2-8AF4-CA056D9317D8}" name="AlertaFechaVenc" dataDxfId="697">
      <calculatedColumnFormula>IF(AND(ARTICULOS_OSLE[[#This Row],[FechaVenc]]=0,ARTICULOS_OSLE[[#This Row],[DiasVenc]]=0),"",ARTICULOS_OSLE[[#This Row],[FechaVenc]]-ARTICULOS_OSLE[[#This Row],[DiasVenc]])</calculatedColumnFormula>
    </tableColumn>
    <tableColumn id="35" xr3:uid="{420E7708-261C-440F-A646-E4DD791945A3}" name="Oferta" dataDxfId="696"/>
    <tableColumn id="37" xr3:uid="{C336943C-081D-4F14-ABE7-5114CFECE0FB}" name="StockOferta" dataDxfId="695"/>
    <tableColumn id="38" xr3:uid="{B4581CD3-1758-4569-B559-9A2CE6025275}" name="OfertaDesde" dataDxfId="694"/>
    <tableColumn id="39" xr3:uid="{714F65D1-5DE7-4D2D-B5AB-6C3E0C90E8D2}" name="OfertaHasta" dataDxfId="693"/>
    <tableColumn id="40" xr3:uid="{0DA96300-F563-4512-9D04-39AE1E950CDB}" name="Precio10" dataDxfId="692"/>
    <tableColumn id="41" xr3:uid="{0DFA1BDD-E125-4832-9B11-D92E0ABAB0DA}" name="Precio_fijo" dataDxfId="691"/>
    <tableColumn id="43" xr3:uid="{97D5CBCA-B25B-4590-AA13-2BDB8BE12F48}" name="Anulado" dataDxfId="690"/>
    <tableColumn id="44" xr3:uid="{2B1A1F9A-4C44-4A94-B0DC-4067E59FE6B0}" name="IB" dataDxfId="689"/>
    <tableColumn id="45" xr3:uid="{F4AF2A31-6379-4D9D-927F-51EDE870BE45}" name="UnidadEti" dataDxfId="68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AE37C2-3BC6-46A1-972A-E9607C3F23B8}" name="ARTICULOS_DICOSPA" displayName="ARTICULOS_DICOSPA" ref="A1:AQ28" totalsRowShown="0" headerRowDxfId="687" dataDxfId="686">
  <autoFilter ref="A1:AQ28" xr:uid="{E53924AA-58EF-4F90-9C85-271BB3E0A626}"/>
  <sortState xmlns:xlrd2="http://schemas.microsoft.com/office/spreadsheetml/2017/richdata2" ref="A2:AQ28">
    <sortCondition ref="E1:E28"/>
  </sortState>
  <tableColumns count="43">
    <tableColumn id="1" xr3:uid="{AAECA1D5-7459-482F-A567-64119CF00EED}" name="Codigo" dataDxfId="685" dataCellStyle="Normal 4"/>
    <tableColumn id="42" xr3:uid="{D134C294-974F-4910-AE2E-FCB9ECD00E11}" name="CodigoProveedor" dataDxfId="684"/>
    <tableColumn id="36" xr3:uid="{26E44BF1-7F9C-4375-992C-82276B7F573F}" name="SKU" dataDxfId="683">
      <calculatedColumnFormula>CONCATENATE(LEFT(T2,3),RIGHT(A2,8))</calculatedColumnFormula>
    </tableColumn>
    <tableColumn id="2" xr3:uid="{72C3F7D7-F45E-4A60-A9FA-213D0A261D68}" name="PLU" dataDxfId="682"/>
    <tableColumn id="3" xr3:uid="{621F1352-31C4-4134-975A-3769003A082D}" name="Descripcion" dataDxfId="681"/>
    <tableColumn id="18" xr3:uid="{A68D4994-8F56-4C76-9E3C-89077129EB46}" name="P. Compra" dataDxfId="680" dataCellStyle="Entrada"/>
    <tableColumn id="14" xr3:uid="{CC17FCE8-B236-41C3-93F0-728594CDD6F0}" name="IVA" dataDxfId="679" dataCellStyle="Millares"/>
    <tableColumn id="15" xr3:uid="{0462C043-C78D-48B2-9C5A-3ACA1DEFA9CB}" name="ImpInt" dataDxfId="678" dataCellStyle="Millares"/>
    <tableColumn id="24" xr3:uid="{C855777C-DD2E-4CD2-B174-DC247816046D}" name="Bulto" dataDxfId="677" dataCellStyle="Millares"/>
    <tableColumn id="20" xr3:uid="{8C7765D9-58F0-4378-AF2A-7609D546A223}" name="UnidFact"/>
    <tableColumn id="19" xr3:uid="{5980CC31-94B8-4F64-A5EC-CCA5C09FB224}" name="CostoFlete"/>
    <tableColumn id="13" xr3:uid="{E76288CE-22E1-42C2-A249-33445D2C15CD}" name="Costo" dataDxfId="676" dataCellStyle="Énfasis6">
      <calculatedColumnFormula>((ARTICULOS_DICOSPA[[#This Row],[P. Compra]]*(1+ARTICULOS_DICOSPA[[#This Row],[IVA]]%))/ARTICULOS_DICOSPA[[#This Row],[UnidFact]])+ARTICULOS_DICOSPA[[#This Row],[CostoFlete]]</calculatedColumnFormula>
    </tableColumn>
    <tableColumn id="46" xr3:uid="{0C1A7E31-EECD-44E9-8EE2-03F6D5F8E373}" name="Util" dataDxfId="675" dataCellStyle="Millares"/>
    <tableColumn id="16" xr3:uid="{3E012EC0-FB2F-4DA2-B278-307FD41BD7F1}" name="Precio" dataDxfId="674" dataCellStyle="Neutral">
      <calculatedColumnFormula>IF(L2&gt;=5,MROUND(L2/(1-M2/100),50),10)</calculatedColumnFormula>
    </tableColumn>
    <tableColumn id="17" xr3:uid="{7FB3E5E1-19D7-4987-8AE8-5359F3706707}" name="Precio2" dataDxfId="673" dataCellStyle="Millares">
      <calculatedColumnFormula>MROUND((ARTICULOS_DICOSPA[[#This Row],[Precio]]/0.6),50)</calculatedColumnFormula>
    </tableColumn>
    <tableColumn id="21" xr3:uid="{41CC08C1-226E-4772-BD83-D5297663BEBA}" name="ControlStk" dataDxfId="672" dataCellStyle="Millares"/>
    <tableColumn id="25" xr3:uid="{78D00EF5-F29C-4280-9835-5474C5C4BBE1}" name="Minimo" dataDxfId="671" dataCellStyle="Millares"/>
    <tableColumn id="26" xr3:uid="{1ED7A6F1-835F-49FD-9ED1-A219EA894A97}" name="Maximo" dataDxfId="670" dataCellStyle="Millares">
      <calculatedColumnFormula>ARTICULOS_DICOSPA[[#This Row],[Bulto]]+ARTICULOS_DICOSPA[[#This Row],[Minimo]]</calculatedColumnFormula>
    </tableColumn>
    <tableColumn id="6" xr3:uid="{FCB410E2-4D66-4394-9640-464A2438594B}" name="Proveedor" dataDxfId="669"/>
    <tableColumn id="7" xr3:uid="{917EA5E9-19E5-42AE-A7A8-FE393274320F}" name="Rubro" dataDxfId="668"/>
    <tableColumn id="8" xr3:uid="{2A273EE6-38BA-4793-9014-A8738DF24145}" name="Categoria" dataDxfId="667"/>
    <tableColumn id="9" xr3:uid="{8FED9A27-CD94-4882-82D9-918C7F1ECA98}" name="Marca" dataDxfId="666"/>
    <tableColumn id="11" xr3:uid="{DF78F28F-2265-4F69-AC98-DC6895B76042}" name="PorKg" dataDxfId="665"/>
    <tableColumn id="12" xr3:uid="{83A63D69-0508-4BCC-9C50-157BE055A175}" name="CantidadEti" dataDxfId="664"/>
    <tableColumn id="23" xr3:uid="{53C49EC1-0FF8-4B48-B267-8F778F0141B7}" name="Stock" dataDxfId="663" dataCellStyle="Millares"/>
    <tableColumn id="22" xr3:uid="{E39D413C-4796-455B-B87D-88CF95BBB1E5}" name="StockReal" dataDxfId="662"/>
    <tableColumn id="4" xr3:uid="{0A7CF5C8-6280-4738-BE55-2838FE291107}" name="Pedido" dataDxfId="661"/>
    <tableColumn id="5" xr3:uid="{E6857E5E-A4D3-4297-9E5C-EC5CED15A971}" name="Total Pedido" dataDxfId="660">
      <calculatedColumnFormula>ARTICULOS_OSLE[[#This Row],[Costo]]*ARTICULOS_OSLE[[#This Row],[Pedido]]</calculatedColumnFormula>
    </tableColumn>
    <tableColumn id="10" xr3:uid="{008D4D45-B87D-4F13-9F1A-55743D276EE0}" name="Ingresos" dataDxfId="659"/>
    <tableColumn id="27" xr3:uid="{FFDA5D7F-DCE5-4C41-A04C-73B6D373339F}" name="Salidas" dataDxfId="658"/>
    <tableColumn id="28" xr3:uid="{BE590B3D-00B0-4639-80D5-8A6800037060}" name="AlertaVencimiento" dataDxfId="657"/>
    <tableColumn id="29" xr3:uid="{9C9C074A-ABAF-4828-AFA1-4638E26185E4}" name="FechaVenc" dataDxfId="656"/>
    <tableColumn id="30" xr3:uid="{D422C6A9-59E4-4E95-90D8-C71301FC1CE3}" name="DiasVenc" dataDxfId="655"/>
    <tableColumn id="31" xr3:uid="{89D2DF81-1538-4EF4-BFF6-26B8A93C15F5}" name="AlertaFechaVenc" dataDxfId="654">
      <calculatedColumnFormula>IF(AND(ARTICULOS_OSLE[[#This Row],[FechaVenc]]=0,ARTICULOS_OSLE[[#This Row],[DiasVenc]]=0),"",ARTICULOS_OSLE[[#This Row],[FechaVenc]]-ARTICULOS_OSLE[[#This Row],[DiasVenc]])</calculatedColumnFormula>
    </tableColumn>
    <tableColumn id="32" xr3:uid="{334ED32D-80C8-496D-8D0A-47DCE07AA53C}" name="Oferta" dataDxfId="653"/>
    <tableColumn id="33" xr3:uid="{0B5E8D90-50BB-4B20-BC01-7DF8AA33CA79}" name="StockOferta" dataDxfId="652"/>
    <tableColumn id="34" xr3:uid="{09D5E449-D4F3-46F7-AEFE-882F831A3DCD}" name="OfertaDesde" dataDxfId="651"/>
    <tableColumn id="35" xr3:uid="{49F6D504-7DE4-469B-81BD-C45A605A3ED8}" name="OfertaHasta" dataDxfId="650"/>
    <tableColumn id="37" xr3:uid="{EBB60C94-C9AC-462E-A5CD-F100D1843B28}" name="Precio10" dataDxfId="649"/>
    <tableColumn id="38" xr3:uid="{8B3F1E8C-32EE-47A2-B8CA-67B692D79B6E}" name="Precio_fijo" dataDxfId="648"/>
    <tableColumn id="39" xr3:uid="{09B79538-5742-4544-A4FF-BBE852D8FEB4}" name="Anulado" dataDxfId="647"/>
    <tableColumn id="40" xr3:uid="{F952BD49-FD70-436A-AD43-63D91CDD23A7}" name="IB" dataDxfId="646"/>
    <tableColumn id="41" xr3:uid="{717C5A7D-AE4A-431D-89B8-7773F7A80587}" name="UnidadEti" dataDxfId="6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818F4D-3AE0-494B-8F60-4D2959875028}" name="ARTICULOS_FRIGOR" displayName="ARTICULOS_FRIGOR" ref="A1:AQ44" totalsRowShown="0" headerRowDxfId="644" dataDxfId="643">
  <autoFilter ref="A1:AQ44" xr:uid="{160535EF-AE22-4BA6-99FC-F1C372921455}"/>
  <sortState xmlns:xlrd2="http://schemas.microsoft.com/office/spreadsheetml/2017/richdata2" ref="A2:X44">
    <sortCondition ref="U38:U44"/>
    <sortCondition ref="E38:E44"/>
  </sortState>
  <tableColumns count="43">
    <tableColumn id="1" xr3:uid="{6C9F5ADF-06EB-4039-96B7-AEEDEAA36A91}" name="Codigo" dataDxfId="642"/>
    <tableColumn id="43" xr3:uid="{C4BE0408-927B-4943-A1D9-4AA15CA27250}" name="CodigoProveedor" dataDxfId="641"/>
    <tableColumn id="2" xr3:uid="{6A17E0AE-0142-424B-A77D-22A93DEF946F}" name="SKU" dataDxfId="640">
      <calculatedColumnFormula>CONCATENATE(LEFT(T2,3),RIGHT(A2,8))</calculatedColumnFormula>
    </tableColumn>
    <tableColumn id="3" xr3:uid="{6D65E86A-798C-4DC0-A655-1189A1D8B1DE}" name="PLU" dataDxfId="639"/>
    <tableColumn id="4" xr3:uid="{51E716AD-34A3-47C2-8B47-33689861C402}" name="Descripcion" dataDxfId="638"/>
    <tableColumn id="16" xr3:uid="{E66FAC5E-33FE-4CFB-A31A-387383F8698A}" name="P. Compra" dataDxfId="637" dataCellStyle="Entrada"/>
    <tableColumn id="17" xr3:uid="{3B63411F-984E-4F3D-A33E-5F7E1B4C04E9}" name="IVA" dataDxfId="636" dataCellStyle="Millares"/>
    <tableColumn id="21" xr3:uid="{8A7734CD-0E90-452D-A6F3-E03BAF67E067}" name="ImpInt" dataDxfId="635" dataCellStyle="Millares"/>
    <tableColumn id="26" xr3:uid="{21A13650-040A-4AAB-8165-585EEF618A5E}" name="Bulto" dataDxfId="634" dataCellStyle="Millares"/>
    <tableColumn id="20" xr3:uid="{D4347A83-80EE-4823-B82F-D2DE7C807366}" name="UnidFact" dataDxfId="633" dataCellStyle="Millares"/>
    <tableColumn id="22" xr3:uid="{853CE453-F198-4C41-ACBA-5861C9A4E517}" name="CostoFlete" dataDxfId="632" dataCellStyle="Millares"/>
    <tableColumn id="15" xr3:uid="{6ED01631-4D5F-48E1-8D0F-3B79D0EDEE05}" name="Costo" dataDxfId="631" dataCellStyle="Énfasis6">
      <calculatedColumnFormula>((ARTICULOS_PROMOCIONES[[#This Row],[P. Compra]]*(1+ARTICULOS_PROMOCIONES[[#This Row],[IVA]]%))/ARTICULOS_PROMOCIONES[[#This Row],[UnidFact]])+ARTICULOS_PROMOCIONES[[#This Row],[CostoFlete]]</calculatedColumnFormula>
    </tableColumn>
    <tableColumn id="14" xr3:uid="{800C1FC7-CECF-4C45-87FC-01BB94D4D9EC}" name="Util" dataDxfId="630" dataCellStyle="Millares"/>
    <tableColumn id="18" xr3:uid="{9129820D-3AD7-4B47-A602-A86E374145D0}" name="Precio" dataDxfId="629" dataCellStyle="Millares">
      <calculatedColumnFormula>IF(L2&gt;=5,MROUND(L2/(1-M2/100),50),10)</calculatedColumnFormula>
    </tableColumn>
    <tableColumn id="19" xr3:uid="{0F345503-B5BB-42FE-A64A-B131D92CC3E3}" name="Precio2" dataDxfId="628" dataCellStyle="Millares">
      <calculatedColumnFormula>MROUND(N2/0.6,50)</calculatedColumnFormula>
    </tableColumn>
    <tableColumn id="23" xr3:uid="{8073F66A-86BD-45F1-A144-0E2BC4574227}" name="ControlStk" dataDxfId="627" dataCellStyle="Millares"/>
    <tableColumn id="27" xr3:uid="{A28D51FD-2302-4166-AB9C-0BDDEC4DF2AF}" name="Minimo" dataDxfId="626" dataCellStyle="Millares"/>
    <tableColumn id="28" xr3:uid="{363797F7-0D9E-4575-AF9B-3274B2A3764C}" name="Maximo" dataDxfId="625" dataCellStyle="Millares">
      <calculatedColumnFormula>ARTICULOS_FRIGOR[[#This Row],[Bulto]]+ARTICULOS_FRIGOR[[#This Row],[Minimo]]</calculatedColumnFormula>
    </tableColumn>
    <tableColumn id="7" xr3:uid="{A78B8159-60F7-4CDA-A979-9EE09862FCD3}" name="Proveedor" dataDxfId="624"/>
    <tableColumn id="8" xr3:uid="{11B71C11-6953-4A97-B944-4FF2E14CEB11}" name="Rubro" dataDxfId="623"/>
    <tableColumn id="9" xr3:uid="{CDD26563-AB60-4819-8C2B-5B6743D42550}" name="Categoria" dataDxfId="622"/>
    <tableColumn id="10" xr3:uid="{9A5346EA-E1B4-4662-869F-E1B4311253CD}" name="Marca" dataDxfId="621"/>
    <tableColumn id="12" xr3:uid="{7805D441-E2F8-4C7A-924F-637C9DB8CA84}" name="PorKg" dataDxfId="620"/>
    <tableColumn id="13" xr3:uid="{F2A5EFA0-84B1-471C-A200-BCC157E2E9DB}" name="CantidadEti" dataDxfId="619"/>
    <tableColumn id="24" xr3:uid="{975B6B25-64B8-46B8-B439-D0E2B8B0F76F}" name="Stock" dataDxfId="618"/>
    <tableColumn id="25" xr3:uid="{4D3CC094-B7AB-4820-AABC-24813C3C41F7}" name="StockReal" dataDxfId="617"/>
    <tableColumn id="5" xr3:uid="{EC46313D-50EB-44D7-B0F4-A96F9E9410F7}" name="Pedido" dataDxfId="616"/>
    <tableColumn id="6" xr3:uid="{1EB65BC0-B462-4CBF-89ED-F4357C1066DD}" name="Total Pedido" dataDxfId="615">
      <calculatedColumnFormula>ARTICULOS_OSLE[[#This Row],[Costo]]*ARTICULOS_OSLE[[#This Row],[Pedido]]</calculatedColumnFormula>
    </tableColumn>
    <tableColumn id="11" xr3:uid="{A6DCC420-3324-4B71-A2BB-B39049C8EB01}" name="Ingresos" dataDxfId="614"/>
    <tableColumn id="29" xr3:uid="{9EE407A6-9A28-47BC-9C99-3252E0721729}" name="Salidas" dataDxfId="613"/>
    <tableColumn id="30" xr3:uid="{78ABA958-A2C1-4608-B8D5-D1A82CEE505C}" name="AlertaVencimiento" dataDxfId="612"/>
    <tableColumn id="31" xr3:uid="{9549AB3D-4F93-4ECD-85F9-0DEDEE31B93A}" name="FechaVenc" dataDxfId="611"/>
    <tableColumn id="32" xr3:uid="{6C416747-0008-4BB1-B448-6C8B71F7DD0E}" name="DiasVenc" dataDxfId="610"/>
    <tableColumn id="33" xr3:uid="{2D051CC6-983D-4F85-9A88-09A1193A94CE}" name="AlertaFechaVenc" dataDxfId="609">
      <calculatedColumnFormula>IF(AND(ARTICULOS_OSLE[[#This Row],[FechaVenc]]=0,ARTICULOS_OSLE[[#This Row],[DiasVenc]]=0),"",ARTICULOS_OSLE[[#This Row],[FechaVenc]]-ARTICULOS_OSLE[[#This Row],[DiasVenc]])</calculatedColumnFormula>
    </tableColumn>
    <tableColumn id="34" xr3:uid="{7A118B34-E1B9-4116-AB29-F4084D85FDE8}" name="Oferta" dataDxfId="608"/>
    <tableColumn id="35" xr3:uid="{B62622B0-952E-4531-84A3-5706A5E4987E}" name="StockOferta" dataDxfId="607"/>
    <tableColumn id="36" xr3:uid="{F11D52D0-1513-4394-A239-15C6D63FE63A}" name="OfertaDesde" dataDxfId="606"/>
    <tableColumn id="37" xr3:uid="{EF5FA483-8DA2-49D4-93E4-BEDE1281A6AE}" name="OfertaHasta" dataDxfId="605"/>
    <tableColumn id="38" xr3:uid="{52501FCA-4C6D-447E-BC51-C4B6B226F571}" name="Precio10" dataDxfId="604"/>
    <tableColumn id="39" xr3:uid="{370929EF-B2D0-4C83-8E8D-34394DA81AEB}" name="Precio_fijo" dataDxfId="603"/>
    <tableColumn id="40" xr3:uid="{F7E4DACC-416D-4E0E-ABFB-85836B163C66}" name="Anulado" dataDxfId="602"/>
    <tableColumn id="41" xr3:uid="{6262BBFE-A4BE-43C6-87DA-495BE3F2827A}" name="IB" dataDxfId="601"/>
    <tableColumn id="42" xr3:uid="{F3645680-6965-4EE1-8002-C24962CE138C}" name="UnidadEti" dataDxfId="60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0535EF-AE22-4BA6-99FC-F1C372921455}" name="ARTICULOS_NORNES" displayName="ARTICULOS_NORNES" ref="A1:AQ28" totalsRowShown="0" headerRowDxfId="599" dataDxfId="598">
  <autoFilter ref="A1:AQ28" xr:uid="{160535EF-AE22-4BA6-99FC-F1C372921455}"/>
  <sortState xmlns:xlrd2="http://schemas.microsoft.com/office/spreadsheetml/2017/richdata2" ref="A2:X23">
    <sortCondition ref="U2:U23"/>
    <sortCondition ref="E2:E23"/>
  </sortState>
  <tableColumns count="43">
    <tableColumn id="1" xr3:uid="{63DD0306-0BC6-4A24-A4AB-7DDC8AC47CF5}" name="Codigo" dataDxfId="597"/>
    <tableColumn id="43" xr3:uid="{CD614EF4-29A9-4452-A9D9-527896F5CBC2}" name="CodigoProveedor" dataDxfId="596"/>
    <tableColumn id="2" xr3:uid="{66F422F2-957B-4EFA-B226-72130787863C}" name="SKU" dataDxfId="595">
      <calculatedColumnFormula>CONCATENATE(LEFT(NORNES!#REF!,3),RIGHT(NORNES!#REF!,8))</calculatedColumnFormula>
    </tableColumn>
    <tableColumn id="3" xr3:uid="{F3A2BB8C-9F09-4083-A93A-C871EC4A6E63}" name="PLU" dataDxfId="594"/>
    <tableColumn id="4" xr3:uid="{23247CE9-90FA-46DA-A9AE-EA7F1D43F4B7}" name="Descripcion" dataDxfId="593"/>
    <tableColumn id="20" xr3:uid="{13E164BD-82B1-449C-B97F-604398E4347D}" name="P. Compra" dataDxfId="592" dataCellStyle="Entrada"/>
    <tableColumn id="16" xr3:uid="{254B4846-49B8-47BD-A17C-0DEC70603E51}" name="IVA" dataDxfId="591" dataCellStyle="Millares"/>
    <tableColumn id="17" xr3:uid="{6A732C4F-1272-4E93-9E02-D200E9C9A177}" name="ImpInt" dataDxfId="590" dataCellStyle="Millares"/>
    <tableColumn id="26" xr3:uid="{8D6BBEA8-47B1-4EB2-87DB-0E5C4ADE4983}" name="Bulto" dataDxfId="589" dataCellStyle="Millares"/>
    <tableColumn id="22" xr3:uid="{C99B6CF1-CFB2-48EA-82BB-104B04321CD9}" name="UnidFact" dataDxfId="588"/>
    <tableColumn id="21" xr3:uid="{D9A921EC-F032-46CA-A6BB-1877B6D01A48}" name="CostoFlete" dataDxfId="587"/>
    <tableColumn id="15" xr3:uid="{1F6F4252-7C7B-4D78-82AB-2752657D3867}" name="Costo" dataDxfId="586" dataCellStyle="Énfasis6">
      <calculatedColumnFormula>((ARTICULOS_NORNES[[#This Row],[P. Compra]]*(1+ARTICULOS_NORNES[[#This Row],[IVA]]%))/ARTICULOS_NORNES[[#This Row],[UnidFact]])+ARTICULOS_NORNES[[#This Row],[CostoFlete]]</calculatedColumnFormula>
    </tableColumn>
    <tableColumn id="14" xr3:uid="{D7F990EB-234C-494D-B634-37CC24A68F7E}" name="Util" dataDxfId="585" dataCellStyle="Millares"/>
    <tableColumn id="18" xr3:uid="{80BA5BC1-F289-4F2B-B001-591B894E47BC}" name="Precio" dataDxfId="584" dataCellStyle="Neutral">
      <calculatedColumnFormula>IF(L2&gt;=5,MROUND(L2/(1-M2/100),50),10)</calculatedColumnFormula>
    </tableColumn>
    <tableColumn id="19" xr3:uid="{F570A3B4-FF6F-47E0-B46F-8EEA959D0B61}" name="Precio2" dataDxfId="583" dataCellStyle="Millares">
      <calculatedColumnFormula>MROUND(N2/0.6,50)</calculatedColumnFormula>
    </tableColumn>
    <tableColumn id="23" xr3:uid="{BCB8AFF3-A303-47FD-A462-BBA4BB3BA7D1}" name="ControlStk" dataDxfId="582" dataCellStyle="Millares"/>
    <tableColumn id="27" xr3:uid="{FB06526C-4F2B-4980-8241-EE717C56F9E6}" name="Minimo" dataDxfId="581" dataCellStyle="Millares"/>
    <tableColumn id="28" xr3:uid="{9AB7F16E-3CAA-47FD-97D6-8D9A70C16AC4}" name="Maximo" dataDxfId="580" dataCellStyle="Millares">
      <calculatedColumnFormula>ARTICULOS_NORNES[[#This Row],[Bulto]]+ARTICULOS_NORNES[[#This Row],[Minimo]]</calculatedColumnFormula>
    </tableColumn>
    <tableColumn id="7" xr3:uid="{A12ACE5E-B46A-4E14-B8E9-50BC41B3EFCB}" name="Proveedor" dataDxfId="579"/>
    <tableColumn id="8" xr3:uid="{3FF03113-64ED-4998-9890-81F18CE641E7}" name="Rubro" dataDxfId="578"/>
    <tableColumn id="9" xr3:uid="{158E63B5-3746-459C-BA1D-A9D4C6EE698F}" name="Categoria" dataDxfId="577"/>
    <tableColumn id="10" xr3:uid="{B2435AB7-009F-4C3C-B751-4550FBF7CE98}" name="Marca" dataDxfId="576"/>
    <tableColumn id="12" xr3:uid="{B5953902-9B51-428B-B2E1-5E844BA664DB}" name="PorKg" dataDxfId="575"/>
    <tableColumn id="13" xr3:uid="{396AAEBA-8E7D-46B7-9AF0-BA4D331F2FB2}" name="CantidadEti" dataDxfId="574"/>
    <tableColumn id="24" xr3:uid="{AD667387-954C-4DF3-8062-3C15CB518DDC}" name="Stock" dataDxfId="573"/>
    <tableColumn id="25" xr3:uid="{01848124-E487-48FC-95F4-09990BBD0CE3}" name="StockReal" dataDxfId="572"/>
    <tableColumn id="5" xr3:uid="{D249E698-5796-41BA-9628-19A974F6DBAA}" name="Pedido" dataDxfId="571"/>
    <tableColumn id="6" xr3:uid="{A9F80347-985B-4154-897B-61332F10356D}" name="Total Pedido" dataDxfId="570">
      <calculatedColumnFormula>ARTICULOS_OSLE[[#This Row],[Costo]]*ARTICULOS_OSLE[[#This Row],[Pedido]]</calculatedColumnFormula>
    </tableColumn>
    <tableColumn id="11" xr3:uid="{3A97BBB9-EFF1-4A4A-9126-BC78BE07E0E6}" name="Ingresos" dataDxfId="569"/>
    <tableColumn id="29" xr3:uid="{67206E4A-960D-4BD6-94F2-1381C9D2CEB8}" name="Salidas" dataDxfId="568"/>
    <tableColumn id="30" xr3:uid="{CD6C2CA5-9B43-4E34-9261-F57E1C084D09}" name="AlertaVencimiento" dataDxfId="567"/>
    <tableColumn id="31" xr3:uid="{A734367A-3C6C-4E32-B507-B67A42CB8E03}" name="FechaVenc" dataDxfId="566"/>
    <tableColumn id="32" xr3:uid="{DF9020F4-1DE7-4610-86F0-11694F96AACB}" name="DiasVenc" dataDxfId="565"/>
    <tableColumn id="33" xr3:uid="{E3DF4DD6-486A-4C35-8FC9-2866FC9F806B}" name="AlertaFechaVenc" dataDxfId="564">
      <calculatedColumnFormula>IF(AND(ARTICULOS_OSLE[[#This Row],[FechaVenc]]=0,ARTICULOS_OSLE[[#This Row],[DiasVenc]]=0),"",ARTICULOS_OSLE[[#This Row],[FechaVenc]]-ARTICULOS_OSLE[[#This Row],[DiasVenc]])</calculatedColumnFormula>
    </tableColumn>
    <tableColumn id="34" xr3:uid="{F197EAC4-0898-45C2-AB2A-F534E81F0AA7}" name="Oferta" dataDxfId="563"/>
    <tableColumn id="35" xr3:uid="{099A884A-933E-49FE-9EAA-2145CE5C929D}" name="StockOferta" dataDxfId="562"/>
    <tableColumn id="36" xr3:uid="{E5D359EB-0A4A-4103-B1F4-9A5AD2FCBD84}" name="OfertaDesde" dataDxfId="561"/>
    <tableColumn id="37" xr3:uid="{F309B51D-B4F2-4396-A53C-B6CEE5E0E006}" name="OfertaHasta" dataDxfId="560"/>
    <tableColumn id="38" xr3:uid="{828093F3-2862-4444-9C3E-D7432E05BDCF}" name="Precio10" dataDxfId="559"/>
    <tableColumn id="39" xr3:uid="{64B9C11C-3C8E-461F-8D74-FD82F3A7D1EC}" name="Precio_fijo" dataDxfId="558"/>
    <tableColumn id="40" xr3:uid="{FC76AC7F-0722-41F6-BC97-CF4D9D207D4A}" name="Anulado" dataDxfId="557"/>
    <tableColumn id="41" xr3:uid="{FE866478-BA9F-4C9B-B8B2-4839A9E6898C}" name="IB" dataDxfId="556"/>
    <tableColumn id="42" xr3:uid="{8FCA53A9-DB01-4EEE-A925-A345E0F6A908}" name="UnidadEti" dataDxfId="55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969A169-7DA5-4557-AB2A-DD2D4F3596E0}" name="ARTICULOS_LADIAR" displayName="ARTICULOS_LADIAR" ref="A1:AQ227" totalsRowShown="0" headerRowDxfId="554" dataDxfId="553">
  <autoFilter ref="A1:AQ227" xr:uid="{E53924AA-58EF-4F90-9C85-271BB3E0A626}"/>
  <sortState xmlns:xlrd2="http://schemas.microsoft.com/office/spreadsheetml/2017/richdata2" ref="A2:AQ227">
    <sortCondition ref="U2:U227"/>
    <sortCondition ref="E2:E227"/>
  </sortState>
  <tableColumns count="43">
    <tableColumn id="1" xr3:uid="{DBF41D7F-0C88-435E-A720-3067856BBADA}" name="Codigo" dataDxfId="552"/>
    <tableColumn id="42" xr3:uid="{E438BB9A-2E69-4744-B261-2E68246ACA65}" name="CodigoProveedor" dataDxfId="551"/>
    <tableColumn id="36" xr3:uid="{BF4217B4-22B0-4FF2-97E0-D59D093068AC}" name="SKU" dataDxfId="550">
      <calculatedColumnFormula>CONCATENATE(LEFT(INSUMOS!#REF!,3),RIGHT(INSUMOS!#REF!,8))</calculatedColumnFormula>
    </tableColumn>
    <tableColumn id="2" xr3:uid="{9C1C7661-B69C-44BD-BFD9-2A9371755687}" name="PLU" dataDxfId="549"/>
    <tableColumn id="3" xr3:uid="{E6D3969B-A477-49C1-B41E-89F8171A9238}" name="Descripcion" dataDxfId="548"/>
    <tableColumn id="18" xr3:uid="{F80628FE-7BD2-4595-A3D9-6A7416A43323}" name="P. Compra" dataDxfId="547" dataCellStyle="Entrada"/>
    <tableColumn id="14" xr3:uid="{6848EE34-6BFE-4441-9699-BEBF9C0DD40D}" name="IVA" dataDxfId="546" dataCellStyle="Millares"/>
    <tableColumn id="15" xr3:uid="{77D274F0-1E74-4699-9F4C-E0C4B85F09D7}" name="ImpInt" dataDxfId="545" dataCellStyle="Millares"/>
    <tableColumn id="24" xr3:uid="{39973FF2-F2D1-4A27-B6D2-47905CD924F6}" name="Bulto" dataDxfId="544" dataCellStyle="Millares"/>
    <tableColumn id="19" xr3:uid="{979FDD90-6A14-4BCC-A52B-C8E946EB12E7}" name="UnidFact" dataDxfId="543" dataCellStyle="Millares">
      <calculatedColumnFormula>ARTICULOS_LADIAR[[#This Row],[Bulto]]</calculatedColumnFormula>
    </tableColumn>
    <tableColumn id="22" xr3:uid="{DB4AA80F-63DC-486D-9D67-278C22E3F0C1}" name="CostoFlete" dataDxfId="542" dataCellStyle="Millares"/>
    <tableColumn id="13" xr3:uid="{B698EA57-613B-4349-BCA5-8D17EC2EF9A2}" name="Costo" dataDxfId="541" dataCellStyle="Énfasis6">
      <calculatedColumnFormula>((ARTICULOS_LADIAR[[#This Row],[P. Compra]]*(1+ARTICULOS_LADIAR[[#This Row],[IVA]]%))/ARTICULOS_LADIAR[[#This Row],[UnidFact]])+ARTICULOS_LADIAR[[#This Row],[CostoFlete]]</calculatedColumnFormula>
    </tableColumn>
    <tableColumn id="46" xr3:uid="{BC0780E6-D497-4D52-98DD-499DF285EBD2}" name="Util" dataDxfId="540" dataCellStyle="Millares"/>
    <tableColumn id="16" xr3:uid="{AEF0B31A-9E29-47D2-821E-B81D5FD66F2D}" name="Precio" dataDxfId="539" dataCellStyle="Neutral">
      <calculatedColumnFormula>IF(L2&gt;=20,MROUND((L2*(1+(ARTICULOS_LADIAR[[#This Row],[IVA]]/100)))/(1-M2/100),50),20)</calculatedColumnFormula>
    </tableColumn>
    <tableColumn id="17" xr3:uid="{A04C6703-8E8D-4ADD-B3B0-4CD6867DB83E}" name="Precio2" dataDxfId="538" dataCellStyle="Millares">
      <calculatedColumnFormula>MROUND((ARTICULOS_LADIAR[[#This Row],[Precio]]/0.6),50)</calculatedColumnFormula>
    </tableColumn>
    <tableColumn id="21" xr3:uid="{96B14211-2D14-4F81-963C-9E6699FBD37D}" name="ControlStk" dataDxfId="537" dataCellStyle="Millares"/>
    <tableColumn id="25" xr3:uid="{C5DC1864-F4D1-439D-B575-160B5CCC038E}" name="Minimo" dataDxfId="536" dataCellStyle="Millares"/>
    <tableColumn id="26" xr3:uid="{295BA9BF-9AC6-492B-A527-7B4F91CE5D0E}" name="Maximo" dataDxfId="535" dataCellStyle="Millares">
      <calculatedColumnFormula>ARTICULOS_LADIAR[[#This Row],[Bulto]]+ARTICULOS_LADIAR[[#This Row],[Minimo]]</calculatedColumnFormula>
    </tableColumn>
    <tableColumn id="6" xr3:uid="{4DF2ACE3-4D89-4044-BC75-34429E8A56F6}" name="Proveedor" dataDxfId="534"/>
    <tableColumn id="7" xr3:uid="{0DF27E46-4D74-43E5-AA57-5004D2922D72}" name="Rubro" dataDxfId="533"/>
    <tableColumn id="8" xr3:uid="{ADC4FA00-3668-44A8-B894-5B3FC21273C2}" name="Categoria" dataDxfId="532"/>
    <tableColumn id="9" xr3:uid="{5A4B2889-543A-447E-A9D6-BB4E97966C89}" name="Marca" dataDxfId="531"/>
    <tableColumn id="11" xr3:uid="{F1AB606B-E46F-4363-91F1-D68165999007}" name="PorKg" dataDxfId="530"/>
    <tableColumn id="12" xr3:uid="{8A031B87-AB97-438F-B0D4-F92E100126C3}" name="CantidadEti" dataDxfId="529"/>
    <tableColumn id="23" xr3:uid="{498DFFE6-B88D-4E59-9913-90CA643D90AC}" name="Stock" dataDxfId="528"/>
    <tableColumn id="27" xr3:uid="{9D09EBF6-C262-496F-BA16-1E8BC900A870}" name="StockReal" dataDxfId="527"/>
    <tableColumn id="4" xr3:uid="{49DE329E-224C-4E43-82BB-5AE3B82DCEAE}" name="Pedido" dataDxfId="526"/>
    <tableColumn id="5" xr3:uid="{38A72930-1557-4369-B892-7CC7D4C7E2AD}" name="Total Pedido" dataDxfId="525">
      <calculatedColumnFormula>ARTICULOS_OSLE[[#This Row],[Costo]]*ARTICULOS_OSLE[[#This Row],[Pedido]]</calculatedColumnFormula>
    </tableColumn>
    <tableColumn id="10" xr3:uid="{BA52E40D-4BE0-46D4-8C67-D5478CF55771}" name="Ingresos" dataDxfId="524"/>
    <tableColumn id="20" xr3:uid="{B3C1C413-2CA6-4ECF-91FC-0FE03A0FCDEC}" name="Salidas" dataDxfId="523"/>
    <tableColumn id="28" xr3:uid="{487C4F85-CC5E-4100-92DC-32D8DB57BDBA}" name="AlertaVencimiento" dataDxfId="522"/>
    <tableColumn id="29" xr3:uid="{FFD5E7EE-7928-43D6-A395-3C0C27230BFE}" name="FechaVenc" dataDxfId="521"/>
    <tableColumn id="30" xr3:uid="{7D3EB6CE-AAC3-4239-8817-C4EF0F8A6462}" name="DiasVenc" dataDxfId="520"/>
    <tableColumn id="31" xr3:uid="{E848F41D-1B6A-4CB8-9FC8-2017D32121B3}" name="AlertaFechaVenc" dataDxfId="519">
      <calculatedColumnFormula>IF(AND(ARTICULOS_OSLE[[#This Row],[FechaVenc]]=0,ARTICULOS_OSLE[[#This Row],[DiasVenc]]=0),"",ARTICULOS_OSLE[[#This Row],[FechaVenc]]-ARTICULOS_OSLE[[#This Row],[DiasVenc]])</calculatedColumnFormula>
    </tableColumn>
    <tableColumn id="32" xr3:uid="{A00919EF-F8C0-4B6D-A913-D01BADCD5FDB}" name="Oferta" dataDxfId="518"/>
    <tableColumn id="33" xr3:uid="{68618672-6972-45E1-8C11-6423E70E8412}" name="StockOferta" dataDxfId="517"/>
    <tableColumn id="34" xr3:uid="{C034F036-7DE1-474A-927C-009EF998F314}" name="OfertaDesde" dataDxfId="516"/>
    <tableColumn id="35" xr3:uid="{FE2AAA2B-FA71-4066-9C5C-33DDA8AF1F85}" name="OfertaHasta" dataDxfId="515"/>
    <tableColumn id="37" xr3:uid="{2807CDB5-039B-4C72-9F9A-AFC02AB3A5DF}" name="Precio10" dataDxfId="514"/>
    <tableColumn id="38" xr3:uid="{37197F3F-9500-4C6B-B523-C2C7CAA60180}" name="Precio_fijo" dataDxfId="513"/>
    <tableColumn id="39" xr3:uid="{8DB9B9A7-70DB-4DA1-B476-6239F7C9D96B}" name="Anulado" dataDxfId="512"/>
    <tableColumn id="40" xr3:uid="{862D2EFB-B6EB-488D-834E-FECA94BBD435}" name="IB" dataDxfId="511"/>
    <tableColumn id="41" xr3:uid="{53EEE6DB-ED96-412D-A3BA-DD38894EAA1E}" name="UnidadEti" dataDxfId="51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0A9B16-25D1-4F20-8B8B-69C23C2FAB86}" name="ARTICULOS_MONDELEZ" displayName="ARTICULOS_MONDELEZ" ref="A1:AQ128" totalsRowShown="0" headerRowDxfId="509" dataDxfId="508">
  <autoFilter ref="A1:AQ128" xr:uid="{E53924AA-58EF-4F90-9C85-271BB3E0A626}"/>
  <sortState xmlns:xlrd2="http://schemas.microsoft.com/office/spreadsheetml/2017/richdata2" ref="A2:Z128">
    <sortCondition ref="U2:U128"/>
    <sortCondition ref="E2:E128"/>
  </sortState>
  <tableColumns count="43">
    <tableColumn id="1" xr3:uid="{6C22C81C-2E62-4ADD-9BD5-456B6B6ADEF0}" name="Codigo" dataDxfId="507"/>
    <tableColumn id="42" xr3:uid="{AF100FF9-6C6F-46DA-A24A-7E26088FE41F}" name="CodigoProveedor" dataDxfId="506"/>
    <tableColumn id="36" xr3:uid="{C4E1A3FD-F252-4D5B-BFBB-3EC780CE0012}" name="SKU" dataDxfId="505">
      <calculatedColumnFormula>CONCATENATE(LEFT(T2,3),RIGHT(A2,8))</calculatedColumnFormula>
    </tableColumn>
    <tableColumn id="2" xr3:uid="{7C8AF6DF-F1CF-411D-A89E-3985A4E66A57}" name="PLU" dataDxfId="504"/>
    <tableColumn id="3" xr3:uid="{43CAF99D-969D-49E0-B220-50EB26CDA907}" name="Descripcion" dataDxfId="503"/>
    <tableColumn id="18" xr3:uid="{357D3A40-38B5-423F-9958-AF72B67EA721}" name="P. Compra" dataDxfId="502" dataCellStyle="Entrada"/>
    <tableColumn id="14" xr3:uid="{62B1CE76-2DB0-48D2-9667-C14A2CF5B6B8}" name="IVA" dataDxfId="501" dataCellStyle="Porcentaje"/>
    <tableColumn id="15" xr3:uid="{99BE8D21-2964-4C4D-964B-17ADBA09BA59}" name="ImpInt" dataDxfId="500" dataCellStyle="Millares"/>
    <tableColumn id="24" xr3:uid="{6645F744-6F93-4902-875B-B4124D73F8AD}" name="Bulto" dataDxfId="499" dataCellStyle="Millares"/>
    <tableColumn id="20" xr3:uid="{F103B4DC-9720-4337-9CCA-8551AD98DB3E}" name="UnidFact" dataDxfId="498">
      <calculatedColumnFormula>ARTICULOS_MONDELEZ[[#This Row],[Bulto]]</calculatedColumnFormula>
    </tableColumn>
    <tableColumn id="19" xr3:uid="{D399A409-34B0-4599-982A-312CD1569DB4}" name="CostoFlete"/>
    <tableColumn id="13" xr3:uid="{85F09F6A-3013-4744-B5A7-989876892A03}" name="Costo" dataDxfId="497" dataCellStyle="Énfasis6">
      <calculatedColumnFormula>((ARTICULOS_MONDELEZ[[#This Row],[P. Compra]]*(1+ARTICULOS_MONDELEZ[[#This Row],[IVA]]))/ARTICULOS_MONDELEZ[[#This Row],[UnidFact]])+ARTICULOS_MONDELEZ[[#This Row],[CostoFlete]]</calculatedColumnFormula>
    </tableColumn>
    <tableColumn id="46" xr3:uid="{42266DC0-0E40-4B2C-BCD0-6C17B4CDB332}" name="Util" dataDxfId="496" dataCellStyle="Millares"/>
    <tableColumn id="16" xr3:uid="{983A91FA-685C-416C-B9F0-6E7467613C5D}" name="Precio" dataDxfId="495" dataCellStyle="Neutral">
      <calculatedColumnFormula>IF(L2&gt;=5,MROUND((L2*(1+(ARTICULOS_MONDELEZ[[#This Row],[IVA]]/100)))/(1-M2/100),50),10)</calculatedColumnFormula>
    </tableColumn>
    <tableColumn id="17" xr3:uid="{F26EFAA7-48CA-4D63-AF43-3B949B6CF9B5}" name="Precio2" dataDxfId="494" dataCellStyle="Millares">
      <calculatedColumnFormula>MROUND(ARTICULOS_MONDELEZ[[#This Row],[Precio]]/0.6,50)</calculatedColumnFormula>
    </tableColumn>
    <tableColumn id="21" xr3:uid="{83BEAB88-EE1E-4D1E-9D43-EBA8B85E7551}" name="ControlStk" dataDxfId="493" dataCellStyle="Millares"/>
    <tableColumn id="25" xr3:uid="{7BFB809F-F6BC-41D4-9BDC-264D4223C28A}" name="Minimo" dataDxfId="492" dataCellStyle="Millares"/>
    <tableColumn id="26" xr3:uid="{DEEB2DD9-601C-4556-978B-4BD93A6DBE0E}" name="Maximo" dataDxfId="491" dataCellStyle="Millares">
      <calculatedColumnFormula>ARTICULOS_MONDELEZ[[#This Row],[Bulto]]+ARTICULOS_MONDELEZ[[#This Row],[Minimo]]</calculatedColumnFormula>
    </tableColumn>
    <tableColumn id="6" xr3:uid="{49231EC3-A6FB-4F54-B1FD-C266016010E0}" name="Proveedor" dataDxfId="490"/>
    <tableColumn id="7" xr3:uid="{C071AED7-1745-4540-B242-FD6970B3D2EE}" name="Rubro" dataDxfId="489"/>
    <tableColumn id="8" xr3:uid="{14DC7DAE-96C2-4542-8CDC-35799CEF5D33}" name="Categoria" dataDxfId="488"/>
    <tableColumn id="9" xr3:uid="{9AB7EBD1-C51C-40EF-8009-ADBB575D4ECA}" name="Marca" dataDxfId="487"/>
    <tableColumn id="11" xr3:uid="{D4ABF80C-1068-4D4B-9911-9150A7C06776}" name="PorKg" dataDxfId="486"/>
    <tableColumn id="12" xr3:uid="{2F19D774-ADE6-47E3-9D13-35FE32C79BE4}" name="CantidadEti" dataDxfId="485"/>
    <tableColumn id="23" xr3:uid="{5014354C-7A69-4C1B-9107-441E5E7FF2D5}" name="Stock" dataDxfId="484" dataCellStyle="Millares"/>
    <tableColumn id="10" xr3:uid="{F0785341-7845-4009-84A0-32303C8A2FE4}" name="StockReal" dataDxfId="483"/>
    <tableColumn id="4" xr3:uid="{3AA92523-424E-4AE8-976E-6E61EFC76671}" name="Pedido" dataDxfId="482"/>
    <tableColumn id="5" xr3:uid="{C0A357DE-13EC-4E5A-ADA8-52CB3715D19E}" name="Total Pedido" dataDxfId="481">
      <calculatedColumnFormula>ARTICULOS_OSLE[[#This Row],[Costo]]*ARTICULOS_OSLE[[#This Row],[Pedido]]</calculatedColumnFormula>
    </tableColumn>
    <tableColumn id="22" xr3:uid="{2E9B5B46-12F2-4638-81C0-2B34776AFC73}" name="Ingresos" dataDxfId="480"/>
    <tableColumn id="27" xr3:uid="{BFAAEBFD-1FF1-45DE-98B9-9306E08214C7}" name="Salidas" dataDxfId="479"/>
    <tableColumn id="28" xr3:uid="{B1E5FD4B-B74B-4D4E-8DFD-0B70EAD70D49}" name="AlertaVencimiento" dataDxfId="478"/>
    <tableColumn id="29" xr3:uid="{04183B33-6641-40BB-AB99-2C907B52551B}" name="FechaVenc" dataDxfId="477"/>
    <tableColumn id="30" xr3:uid="{E6F4C0B9-64F3-472C-82CC-7979A7A435BF}" name="DiasVenc" dataDxfId="476"/>
    <tableColumn id="31" xr3:uid="{B9B7E855-90DC-434E-B93F-C66BDF0D1243}" name="AlertaFechaVenc" dataDxfId="475">
      <calculatedColumnFormula>IF(AND(ARTICULOS_OSLE[[#This Row],[FechaVenc]]=0,ARTICULOS_OSLE[[#This Row],[DiasVenc]]=0),"",ARTICULOS_OSLE[[#This Row],[FechaVenc]]-ARTICULOS_OSLE[[#This Row],[DiasVenc]])</calculatedColumnFormula>
    </tableColumn>
    <tableColumn id="32" xr3:uid="{15C40740-C4AA-4D6D-A5CD-BD4263D2F4C6}" name="Oferta" dataDxfId="474"/>
    <tableColumn id="33" xr3:uid="{61F2239D-EF5B-4B52-888D-C8589B6F69E1}" name="StockOferta" dataDxfId="473"/>
    <tableColumn id="34" xr3:uid="{503EA225-F391-428C-90E7-8C1C13DFB031}" name="OfertaDesde" dataDxfId="472"/>
    <tableColumn id="35" xr3:uid="{C23BAD6A-EF9E-4DC3-BAF7-274511582FC4}" name="OfertaHasta" dataDxfId="471"/>
    <tableColumn id="37" xr3:uid="{36536C1E-5852-42CB-8040-967559E49488}" name="Precio10" dataDxfId="470"/>
    <tableColumn id="38" xr3:uid="{92037F54-3811-4F3E-95FF-7D3811AAD843}" name="Precio_fijo" dataDxfId="469"/>
    <tableColumn id="39" xr3:uid="{040F6D63-FE68-419D-BE2E-B1984F076575}" name="Anulado" dataDxfId="468"/>
    <tableColumn id="40" xr3:uid="{77EB00D7-B667-4BD8-B40A-9C2E580BCAE5}" name="IB" dataDxfId="467"/>
    <tableColumn id="41" xr3:uid="{3CBD9F59-5C63-4515-9A2F-FDAF3CC90657}" name="UnidadEti" dataDxfId="4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B678AD-4897-408C-AFCC-0C44A5E4683B}" name="ARTICULOS_GOLOMAX" displayName="ARTICULOS_GOLOMAX" ref="A1:AQ315" totalsRowShown="0" headerRowDxfId="465" dataDxfId="464">
  <autoFilter ref="A1:AQ315" xr:uid="{E53924AA-58EF-4F90-9C85-271BB3E0A626}">
    <filterColumn colId="4">
      <filters>
        <filter val="NAIPE ESPAÑOL CASINO PLAST X 40"/>
        <filter val="NAIPE ESPAÑOL CASINO PLAST X 50"/>
        <filter val="NAIPE POCKER CASINO PLAST ROJO X 54"/>
      </filters>
    </filterColumn>
  </autoFilter>
  <sortState xmlns:xlrd2="http://schemas.microsoft.com/office/spreadsheetml/2017/richdata2" ref="A2:Z297">
    <sortCondition ref="T2:T297"/>
    <sortCondition ref="U2:U297"/>
    <sortCondition ref="E2:E297"/>
  </sortState>
  <tableColumns count="43">
    <tableColumn id="1" xr3:uid="{38AF8AC3-56AA-403B-A7D7-BDA612655D7A}" name="Codigo" dataDxfId="463"/>
    <tableColumn id="42" xr3:uid="{F2C1F1DC-00AE-4FBE-AF94-29A1BE12812A}" name="CodigoProveedor" dataDxfId="462"/>
    <tableColumn id="36" xr3:uid="{D596FAAE-7DF4-4103-B71B-CB0610FB4BC8}" name="SKU" dataDxfId="461">
      <calculatedColumnFormula>CONCATENATE(LEFT(VENEZOLANO!O38,3),RIGHT(VENEZOLANO!A38,8))</calculatedColumnFormula>
    </tableColumn>
    <tableColumn id="2" xr3:uid="{C78C056B-68EF-4CF6-8E0D-44541BED19AC}" name="PLU" dataDxfId="460"/>
    <tableColumn id="3" xr3:uid="{A3584208-A638-4DEC-AA40-3D692B95C972}" name="Descripcion" dataDxfId="459"/>
    <tableColumn id="18" xr3:uid="{B7B96E19-A112-44C0-A9D7-10B3D0B4224E}" name="P. Compra" dataDxfId="458" dataCellStyle="Entrada">
      <calculatedColumnFormula>VLOOKUP(ARTICULOS_GOLOMAX[[#This Row],[CodigoProveedor]],'PRECIOS GOLOMAX'!$A$1:$C$10000,3,FALSE)</calculatedColumnFormula>
    </tableColumn>
    <tableColumn id="14" xr3:uid="{49320EFD-48A8-4C83-96AD-933ACBFB2844}" name="IVA" dataDxfId="457" dataCellStyle="Millares"/>
    <tableColumn id="15" xr3:uid="{A532F2F0-0BE9-4AC9-BE40-E4F31113F9CB}" name="ImpInt" dataDxfId="456" dataCellStyle="Millares"/>
    <tableColumn id="24" xr3:uid="{6712DFA3-C762-4AAC-A16D-34B8BAF27DEE}" name="Bulto" dataDxfId="455" dataCellStyle="Millares"/>
    <tableColumn id="22" xr3:uid="{A82692D0-92AF-4BDE-87E1-2D98010B96D2}" name="UnidFact" dataDxfId="454" dataCellStyle="Millares"/>
    <tableColumn id="19" xr3:uid="{3E78E465-5B84-4082-BF9A-73EFCCDD7BE9}" name="CostoFlete" dataDxfId="453" dataCellStyle="Millares"/>
    <tableColumn id="13" xr3:uid="{34348C00-2C54-4867-A7B7-EE4CD7DF7A0A}" name="Costo" dataDxfId="452" dataCellStyle="Millares">
      <calculatedColumnFormula>((ARTICULOS_GOLOMAX[[#This Row],[P. Compra]]*(1+ARTICULOS_GOLOMAX[[#This Row],[IVA]]%))/ARTICULOS_GOLOMAX[[#This Row],[UnidFact]])+ARTICULOS_GOLOMAX[[#This Row],[CostoFlete]]</calculatedColumnFormula>
    </tableColumn>
    <tableColumn id="46" xr3:uid="{A1F1542D-8FCA-448B-A697-E4BAADA62696}" name="Util" dataDxfId="451" dataCellStyle="Millares"/>
    <tableColumn id="16" xr3:uid="{C8829451-22B0-40C6-8CBC-A32DB98D768A}" name="Precio" dataDxfId="450" dataCellStyle="Neutral">
      <calculatedColumnFormula>IF(L2&gt;=10,MROUND(L2/(1-M2/100),50),20)</calculatedColumnFormula>
    </tableColumn>
    <tableColumn id="17" xr3:uid="{E0EF0B1C-D286-437E-9FD4-B36B55B3F327}" name="Precio2" dataDxfId="449" dataCellStyle="Millares">
      <calculatedColumnFormula>MROUND((ARTICULOS_GOLOMAX[[#This Row],[Precio]]/0.6),50)</calculatedColumnFormula>
    </tableColumn>
    <tableColumn id="21" xr3:uid="{37F21131-C163-41F7-ACE3-D6DB6A813ECB}" name="ControlStk" dataDxfId="448" dataCellStyle="Millares"/>
    <tableColumn id="25" xr3:uid="{BA7953CF-6B0C-4425-A86D-58CCF8B5EE2A}" name="Minimo" dataDxfId="447" dataCellStyle="Millares"/>
    <tableColumn id="26" xr3:uid="{E1B3BEE0-B639-455B-ACEE-50653F808AE3}" name="Maximo" dataDxfId="446" dataCellStyle="Millares">
      <calculatedColumnFormula>ARTICULOS_GOLOMAX[[#This Row],[Bulto]]+ARTICULOS_GOLOMAX[[#This Row],[Minimo]]</calculatedColumnFormula>
    </tableColumn>
    <tableColumn id="6" xr3:uid="{5F123D2F-B42D-4597-9D37-37FBDC3E3C5B}" name="Proveedor" dataDxfId="445"/>
    <tableColumn id="7" xr3:uid="{B22DB596-263B-4369-BDA1-DFF6E49CADEA}" name="Rubro" dataDxfId="444"/>
    <tableColumn id="8" xr3:uid="{6C4CF483-C60B-4C7F-9986-5FF1368860AE}" name="Categoria" dataDxfId="443"/>
    <tableColumn id="9" xr3:uid="{268ADBB7-BC36-40F8-A887-A51BE57F3E3E}" name="Marca" dataDxfId="442"/>
    <tableColumn id="11" xr3:uid="{ED604753-06DE-4349-9615-96B09317A18B}" name="PorKg" dataDxfId="441"/>
    <tableColumn id="12" xr3:uid="{2A5824AF-B3EB-490B-84CD-722A36DE6282}" name="CantidadEti" dataDxfId="440"/>
    <tableColumn id="4" xr3:uid="{ADC97215-3D31-4189-8FD2-C1713E949546}" name="Stock" dataDxfId="439"/>
    <tableColumn id="5" xr3:uid="{DA6E8152-24F3-4FB3-8AF8-A772CDA7F8A4}" name="StockReal" dataDxfId="438"/>
    <tableColumn id="10" xr3:uid="{081F135B-A8EA-4C1E-AFAE-885916E40DBE}" name="Pedido" dataDxfId="437"/>
    <tableColumn id="20" xr3:uid="{BC77F73A-7DA4-4ABF-A9C3-5F8070D8565D}" name="Total Pedido" dataDxfId="436">
      <calculatedColumnFormula>ARTICULOS_OSLE[[#This Row],[Costo]]*ARTICULOS_OSLE[[#This Row],[Pedido]]</calculatedColumnFormula>
    </tableColumn>
    <tableColumn id="23" xr3:uid="{B6174B72-4667-456D-9E5D-7DE5C18E2E82}" name="Ingresos" dataDxfId="435"/>
    <tableColumn id="27" xr3:uid="{9534FF69-0D2E-41EB-B816-9400E5A6DBD0}" name="Salidas" dataDxfId="434"/>
    <tableColumn id="28" xr3:uid="{BB4AB2B6-2B12-4268-B0A1-FD514EC3A004}" name="AlertaVencimiento" dataDxfId="433"/>
    <tableColumn id="29" xr3:uid="{27ABEC65-38C5-45B4-A8F9-0FBE7370B5EE}" name="FechaVenc" dataDxfId="432"/>
    <tableColumn id="30" xr3:uid="{725CB8FD-91B3-4D8A-B73E-D65C7EE16FD1}" name="DiasVenc" dataDxfId="431"/>
    <tableColumn id="31" xr3:uid="{B06C2D02-C0EB-4DE5-8116-3E545028090F}" name="AlertaFechaVenc" dataDxfId="430">
      <calculatedColumnFormula>IF(AND(ARTICULOS_OSLE[[#This Row],[FechaVenc]]=0,ARTICULOS_OSLE[[#This Row],[DiasVenc]]=0),"",ARTICULOS_OSLE[[#This Row],[FechaVenc]]-ARTICULOS_OSLE[[#This Row],[DiasVenc]])</calculatedColumnFormula>
    </tableColumn>
    <tableColumn id="32" xr3:uid="{ECC867A3-5743-4AE3-9EC3-2C61B43F6850}" name="Oferta" dataDxfId="429"/>
    <tableColumn id="33" xr3:uid="{A94E6BE9-9573-4042-AF60-9A71B1C708FD}" name="StockOferta" dataDxfId="428"/>
    <tableColumn id="34" xr3:uid="{63396362-3118-447F-84E6-7D65350CE9DC}" name="OfertaDesde" dataDxfId="427"/>
    <tableColumn id="35" xr3:uid="{1DBC3490-E895-4D30-9B3D-ACBD044D2809}" name="OfertaHasta" dataDxfId="426"/>
    <tableColumn id="37" xr3:uid="{C726C130-816E-4702-928C-BC3954848BC8}" name="Precio10" dataDxfId="425"/>
    <tableColumn id="38" xr3:uid="{D3E4838D-ED39-4698-A66B-340371CAE673}" name="Precio_fijo" dataDxfId="424"/>
    <tableColumn id="39" xr3:uid="{C5E882D1-7FAE-406F-9DC8-228B1467C445}" name="Anulado" dataDxfId="423"/>
    <tableColumn id="40" xr3:uid="{E081CA2E-178B-44B1-83F7-D08F080E64B1}" name="IB" dataDxfId="422"/>
    <tableColumn id="41" xr3:uid="{400B2248-3E0E-4A3E-B4B2-611C26F63592}" name="UnidadEti" dataDxfId="4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7E3252E-263B-40F0-A47C-92C16E14F956}" name="RUBROS" displayName="RUBROS" ref="C1:C66" totalsRowShown="0" headerRowDxfId="1155">
  <autoFilter ref="C1:C66" xr:uid="{07E3252E-263B-40F0-A47C-92C16E14F956}"/>
  <sortState xmlns:xlrd2="http://schemas.microsoft.com/office/spreadsheetml/2017/richdata2" ref="C2:C66">
    <sortCondition ref="C1:C66"/>
  </sortState>
  <tableColumns count="1">
    <tableColumn id="1" xr3:uid="{A7EBFF49-1121-4E4B-BCEB-E21EF4CDD6DC}" name="RUBRO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A7D43B2-3032-4661-84B2-9A64052E9F20}" name="ARTICULOS_POPSALADO" displayName="ARTICULOS_POPSALADO" ref="A1:AQ50" totalsRowShown="0" headerRowDxfId="420" dataDxfId="419">
  <autoFilter ref="A1:AQ50" xr:uid="{E53924AA-58EF-4F90-9C85-271BB3E0A626}"/>
  <sortState xmlns:xlrd2="http://schemas.microsoft.com/office/spreadsheetml/2017/richdata2" ref="A2:Z50">
    <sortCondition ref="S1:S50"/>
  </sortState>
  <tableColumns count="43">
    <tableColumn id="1" xr3:uid="{97E699D6-2D12-41B9-A641-737CE6118075}" name="Codigo" dataDxfId="418"/>
    <tableColumn id="42" xr3:uid="{77761E4F-BF81-4424-AA4F-39908FEB1EBB}" name="CodigoProveedor" dataDxfId="417"/>
    <tableColumn id="36" xr3:uid="{0C66226B-04A7-4D49-82AF-8B94289D1A56}" name="SKU" dataDxfId="416">
      <calculatedColumnFormula>CONCATENATE(LEFT(T2,3),RIGHT(A2,8))</calculatedColumnFormula>
    </tableColumn>
    <tableColumn id="2" xr3:uid="{03187EE9-156E-4BA1-B914-CB63B4E4A8B8}" name="PLU" dataDxfId="415"/>
    <tableColumn id="3" xr3:uid="{12EFAC99-165B-4639-A0C3-FF4C60D6DFC4}" name="Descripcion" dataDxfId="414"/>
    <tableColumn id="18" xr3:uid="{CFF8E472-E389-47ED-B723-51D5433447F1}" name="P. Compra" dataDxfId="413" dataCellStyle="Entrada"/>
    <tableColumn id="14" xr3:uid="{E0498252-F784-414D-8BC0-25309E3587A7}" name="IVA" dataDxfId="412" dataCellStyle="Millares"/>
    <tableColumn id="15" xr3:uid="{A8D12E7E-1134-437E-8816-F5D20E85BDEB}" name="ImpInt" dataDxfId="411" dataCellStyle="Millares"/>
    <tableColumn id="24" xr3:uid="{83DFD83A-9D67-42D7-A82C-EB54F71BE452}" name="Bulto" dataDxfId="410" dataCellStyle="Millares"/>
    <tableColumn id="27" xr3:uid="{676D4BAB-D1A0-4F6C-B5F8-3C12DEA320A5}" name="UnidFact"/>
    <tableColumn id="20" xr3:uid="{497D27FC-6B4B-4F26-9EC8-36BAFE9A353F}" name="CostoFlete"/>
    <tableColumn id="13" xr3:uid="{206960A6-2A55-4B7D-BF44-43ED7A88A04F}" name="Costo" dataDxfId="409" dataCellStyle="Énfasis6">
      <calculatedColumnFormula>((ARTICULOS_POPSALADO[[#This Row],[P. Compra]]*(1+ARTICULOS_POPSALADO[[#This Row],[IVA]]%))/ARTICULOS_POPSALADO[[#This Row],[UnidFact]])+ARTICULOS_POPSALADO[[#This Row],[CostoFlete]]</calculatedColumnFormula>
    </tableColumn>
    <tableColumn id="46" xr3:uid="{E0623A8E-60E8-43C2-9F42-ACD9CAAFE104}" name="Util" dataDxfId="408" dataCellStyle="Millares"/>
    <tableColumn id="16" xr3:uid="{430053FB-3B5F-4075-8474-B4F5E3D771BC}" name="Precio" dataDxfId="407" dataCellStyle="Neutral">
      <calculatedColumnFormula>IF(L2&gt;=5,MROUND((L2*(1+(ARTICULOS_POPSALADO[[#This Row],[Util]]/100))),50),10)</calculatedColumnFormula>
    </tableColumn>
    <tableColumn id="17" xr3:uid="{102C4850-DA27-4F88-A20E-201E6F837755}" name="Precio2" dataDxfId="406" dataCellStyle="Millares">
      <calculatedColumnFormula>MROUND((ARTICULOS_POPSALADO[[#This Row],[Precio]]/0.6),10)</calculatedColumnFormula>
    </tableColumn>
    <tableColumn id="21" xr3:uid="{7078A7BA-9E92-410E-ADC6-8F52A896D358}" name="ControlStk" dataDxfId="405" dataCellStyle="Millares"/>
    <tableColumn id="25" xr3:uid="{EE3A90F6-440D-422B-AD66-FDC5B81E3C4C}" name="Minimo" dataDxfId="404" dataCellStyle="Millares"/>
    <tableColumn id="26" xr3:uid="{8BD86B8F-6536-4F81-852F-07F6FEE3C04D}" name="Maximo" dataDxfId="403" dataCellStyle="Millares">
      <calculatedColumnFormula>ARTICULOS_POPSALADO[[#This Row],[Bulto]]+ARTICULOS_POPSALADO[[#This Row],[Minimo]]</calculatedColumnFormula>
    </tableColumn>
    <tableColumn id="6" xr3:uid="{855E7DF2-009C-4EFC-AB35-E1E31238C4CB}" name="Proveedor" dataDxfId="402"/>
    <tableColumn id="7" xr3:uid="{91D6C4EF-1A58-4BC4-847A-D300E11F31E2}" name="Rubro" dataDxfId="401"/>
    <tableColumn id="8" xr3:uid="{D05888FC-F52D-42EE-9D81-B656D6D227AA}" name="Categoria" dataDxfId="400"/>
    <tableColumn id="9" xr3:uid="{D68915C4-196F-4825-A776-461F09E5F9F6}" name="Marca" dataDxfId="399"/>
    <tableColumn id="11" xr3:uid="{914FF120-A9D1-4064-A241-BE6BE73C8298}" name="PorKg" dataDxfId="398"/>
    <tableColumn id="12" xr3:uid="{3F4FFC46-C4A9-4927-A736-0DD052B00D47}" name="CantidadEti" dataDxfId="397"/>
    <tableColumn id="22" xr3:uid="{1D6F3CFB-70A3-49FC-804C-3118DED0E7A8}" name="Stock" dataDxfId="396" dataCellStyle="Millares"/>
    <tableColumn id="23" xr3:uid="{39ABD9FD-0AA2-434D-A045-0BA4826CD536}" name="StockReal" dataDxfId="395" dataCellStyle="Millares"/>
    <tableColumn id="4" xr3:uid="{F058A912-7D35-4CE2-B4CF-F0F2BC82FCAA}" name="Pedido" dataDxfId="394"/>
    <tableColumn id="5" xr3:uid="{B35F4380-8EFC-4E63-B4CD-8FCEFDB03F4C}" name="Total Pedido" dataDxfId="393">
      <calculatedColumnFormula>ARTICULOS_POPSALADO[[#This Row],[Costo]]*ARTICULOS_POPSALADO[[#This Row],[Pedido]]</calculatedColumnFormula>
    </tableColumn>
    <tableColumn id="10" xr3:uid="{AAF7671D-B862-4730-8E05-B33AFFBF0F5B}" name="Ingresos" dataDxfId="392"/>
    <tableColumn id="19" xr3:uid="{D2884EAC-7DEB-43AF-B27E-8CCA9BEFA255}" name="Salidas" dataDxfId="391"/>
    <tableColumn id="28" xr3:uid="{8983AA7F-BDEE-49D2-9E63-A8D7D30B5C96}" name="AlertaVencimiento" dataDxfId="390"/>
    <tableColumn id="29" xr3:uid="{51E87FC1-E762-44EA-AF2A-FD4748B68CDA}" name="FechaVenc" dataDxfId="389"/>
    <tableColumn id="30" xr3:uid="{03B76C32-A588-4A94-BC29-76BD847FF39F}" name="DiasVenc" dataDxfId="388"/>
    <tableColumn id="31" xr3:uid="{D35C2DD4-ED6C-4880-B469-B8C0704A294B}" name="AlertaFechaVenc" dataDxfId="387">
      <calculatedColumnFormula>IF(AND(ARTICULOS_OSLE[[#This Row],[FechaVenc]]=0,ARTICULOS_OSLE[[#This Row],[DiasVenc]]=0),"",ARTICULOS_OSLE[[#This Row],[FechaVenc]]-ARTICULOS_OSLE[[#This Row],[DiasVenc]])</calculatedColumnFormula>
    </tableColumn>
    <tableColumn id="32" xr3:uid="{B45A822F-1DE0-4237-BD0E-74638A602562}" name="Oferta" dataDxfId="386"/>
    <tableColumn id="33" xr3:uid="{EDFC1DAA-77F8-4A58-B93E-82076989E66C}" name="StockOferta" dataDxfId="385"/>
    <tableColumn id="34" xr3:uid="{BD8F4B2C-B476-4964-968A-3D2BEE2A2C72}" name="OfertaDesde" dataDxfId="384"/>
    <tableColumn id="35" xr3:uid="{752E68B8-33B1-470F-9BE9-CC49E4977868}" name="OfertaHasta" dataDxfId="383"/>
    <tableColumn id="37" xr3:uid="{B9B0115B-FCDE-466C-B5E5-38A04406C57B}" name="Precio10" dataDxfId="382"/>
    <tableColumn id="38" xr3:uid="{671F9C74-72B5-4102-87DE-BDD78BAB4A35}" name="Precio_fijo" dataDxfId="381"/>
    <tableColumn id="39" xr3:uid="{3709F4BC-F838-4C9C-BB10-FF13A5084995}" name="Anulado" dataDxfId="380"/>
    <tableColumn id="40" xr3:uid="{EACC17B6-8741-4979-8E3F-6CF3F4092656}" name="IB" dataDxfId="379"/>
    <tableColumn id="41" xr3:uid="{B93DEF8E-A695-4AA5-A105-512538D8E274}" name="UnidadEti" dataDxfId="37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A13CC81-A929-48EB-A8DC-024B57E6D270}" name="ARTICULOS_MAYORISTA" displayName="ARTICULOS_MAYORISTA" ref="A1:AQ148" totalsRowShown="0" headerRowDxfId="377" dataDxfId="376">
  <autoFilter ref="A1:AQ148" xr:uid="{E53924AA-58EF-4F90-9C85-271BB3E0A626}">
    <filterColumn colId="4">
      <filters>
        <filter val="CALDO KNORR CARNE X 2 U"/>
        <filter val="CALDO KNORR GALLINA  X 2 U"/>
        <filter val="CALDO KNORR VERDURAS X 2 U"/>
      </filters>
    </filterColumn>
  </autoFilter>
  <sortState xmlns:xlrd2="http://schemas.microsoft.com/office/spreadsheetml/2017/richdata2" ref="A2:AQ141">
    <sortCondition ref="U2:U141"/>
    <sortCondition ref="E2:E141"/>
    <sortCondition ref="V2:V141"/>
  </sortState>
  <tableColumns count="43">
    <tableColumn id="1" xr3:uid="{304016FA-9514-4A52-8851-3FF92965311E}" name="Codigo" dataDxfId="375"/>
    <tableColumn id="42" xr3:uid="{C9C50CE1-C8D0-4F2B-8F60-CA70E0A384E8}" name="CodigoProveedor" dataDxfId="374"/>
    <tableColumn id="36" xr3:uid="{2250B0A7-308E-49D2-B0E2-351CF30F197C}" name="SKU" dataDxfId="373">
      <calculatedColumnFormula>CONCATENATE(LEFT(T2,3),RIGHT(A2,8))</calculatedColumnFormula>
    </tableColumn>
    <tableColumn id="2" xr3:uid="{316C08E5-6252-4CE2-B573-F19F38403B4D}" name="PLU" dataDxfId="372"/>
    <tableColumn id="3" xr3:uid="{625C3139-F3A3-49B0-AADB-8CA6EA1F0965}" name="Descripcion" dataDxfId="371"/>
    <tableColumn id="18" xr3:uid="{F8707299-5661-486F-9D85-8E02D6D3783C}" name="P. Compra" dataDxfId="370" dataCellStyle="Entrada"/>
    <tableColumn id="14" xr3:uid="{94F8AFC1-1223-4389-A29F-C091680F91DE}" name="IVA" dataDxfId="369" dataCellStyle="Millares"/>
    <tableColumn id="15" xr3:uid="{2008E03E-90E1-439C-80A1-F390FC2342AB}" name="ImpInt" dataDxfId="368" dataCellStyle="Millares"/>
    <tableColumn id="24" xr3:uid="{6C47DE89-8D0C-4357-B26B-CE4E40A2F082}" name="Bulto" dataDxfId="367" dataCellStyle="Millares"/>
    <tableColumn id="20" xr3:uid="{C8E4DB7B-87D3-4C25-87B6-4AD0123A0AFA}" name="UnidFact" dataDxfId="366"/>
    <tableColumn id="19" xr3:uid="{C2938E32-2051-47A9-B13F-06207CF3EB1D}" name="Flete"/>
    <tableColumn id="13" xr3:uid="{ED499387-265A-4122-B5DB-7036CC61F3C2}" name="Costo" dataDxfId="365" dataCellStyle="Énfasis6">
      <calculatedColumnFormula>((ARTICULOS_MAYORISTA[[#This Row],[P. Compra]]*(1+ARTICULOS_MAYORISTA[[#This Row],[IVA]]%))/ARTICULOS_MAYORISTA[[#This Row],[UnidFact]])+ARTICULOS_MAYORISTA[[#This Row],[Flete]]</calculatedColumnFormula>
    </tableColumn>
    <tableColumn id="46" xr3:uid="{FDEF3642-1768-448A-9D9D-3DAA4B1DD4A7}" name="Util" dataDxfId="364" dataCellStyle="Millares"/>
    <tableColumn id="16" xr3:uid="{980B6EBF-5EB1-4C12-B26C-5C7595FCB270}" name="Precio" dataDxfId="363" dataCellStyle="Neutral">
      <calculatedColumnFormula>IF(L2&gt;=5,MROUND(L2/(1-M2/100),10),10)</calculatedColumnFormula>
    </tableColumn>
    <tableColumn id="17" xr3:uid="{5A5A8DEA-3942-4D32-A95E-D54DB108E247}" name="Precio2" dataDxfId="362" dataCellStyle="Millares">
      <calculatedColumnFormula>MROUND((ARTICULOS_MAYORISTA[[#This Row],[Precio]]/0.6),10)</calculatedColumnFormula>
    </tableColumn>
    <tableColumn id="21" xr3:uid="{D55C6B39-3F94-4CDC-B9A7-879B08F3BF8C}" name="ControlStk" dataDxfId="361" dataCellStyle="Millares"/>
    <tableColumn id="25" xr3:uid="{1756EA20-176B-485B-9776-377C45A43C31}" name="Minimo" dataDxfId="360" dataCellStyle="Millares"/>
    <tableColumn id="26" xr3:uid="{31D38C4E-304E-4707-9C07-8F2926E1619B}" name="Maximo" dataDxfId="359" dataCellStyle="Millares">
      <calculatedColumnFormula>ARTICULOS_MAYORISTA[[#This Row],[Bulto]]+ARTICULOS_MAYORISTA[[#This Row],[Minimo]]</calculatedColumnFormula>
    </tableColumn>
    <tableColumn id="6" xr3:uid="{250C4DB1-9436-447B-8165-0F4635886FA5}" name="Proveedor" dataDxfId="358"/>
    <tableColumn id="7" xr3:uid="{3C6F5715-B533-437D-8CFA-F795D4F8D037}" name="Rubro" dataDxfId="357"/>
    <tableColumn id="8" xr3:uid="{6B257686-BEDC-461B-908A-102AA70FE89C}" name="Categoria" dataDxfId="356"/>
    <tableColumn id="9" xr3:uid="{4BF41EE6-8F3D-44F0-99B2-BCB711C20602}" name="Marca" dataDxfId="355"/>
    <tableColumn id="11" xr3:uid="{C3422E32-5028-4C86-83BD-6B0B0AF7B64A}" name="PorKg" dataDxfId="354"/>
    <tableColumn id="12" xr3:uid="{F4D52F27-92AA-4EBE-8510-C3D80AE860F0}" name="CantidadEti" dataDxfId="353"/>
    <tableColumn id="23" xr3:uid="{03344C0F-890E-4D05-B41C-55A26BD5EE4E}" name="Stock" dataDxfId="352" dataCellStyle="Millares"/>
    <tableColumn id="10" xr3:uid="{3208C2A7-BFBB-4243-9DE8-CF682744F990}" name="StockReal" dataDxfId="351"/>
    <tableColumn id="4" xr3:uid="{BA34E577-00DC-4165-BF12-90F9C4D740B8}" name="Pedido" dataDxfId="350"/>
    <tableColumn id="5" xr3:uid="{60D86673-7020-4A6D-9AD1-C4EA37886DEE}" name="Total Pedido" dataDxfId="349">
      <calculatedColumnFormula>ARTICULOS_MAYORISTA[[#This Row],[Costo]]*ARTICULOS_MAYORISTA[[#This Row],[Pedido]]</calculatedColumnFormula>
    </tableColumn>
    <tableColumn id="22" xr3:uid="{00CE1A73-7D1A-4EEB-A752-08D6680E3CE7}" name="Ingresos" dataDxfId="348"/>
    <tableColumn id="27" xr3:uid="{84D05B06-D486-49DF-B5A1-E777C872C722}" name="Salidas" dataDxfId="347"/>
    <tableColumn id="28" xr3:uid="{B1CBD747-32EC-4C63-BEDE-B49AA7903C0D}" name="AlertaVencimiento" dataDxfId="346"/>
    <tableColumn id="29" xr3:uid="{5EF356B3-CB5C-43D2-9CA8-7425506AB921}" name="FechaVenc" dataDxfId="345"/>
    <tableColumn id="30" xr3:uid="{2C801D2A-2AD9-4BC2-AF27-104A36A47F6A}" name="DiasVenc" dataDxfId="344"/>
    <tableColumn id="31" xr3:uid="{07B7D593-ACB6-4970-A655-F624E1F45722}" name="AlertaFechaVenc" dataDxfId="343">
      <calculatedColumnFormula>IF(AND(ARTICULOS_MAYORISTA[[#This Row],[FechaVenc]]=0,ARTICULOS_MAYORISTA[[#This Row],[DiasVenc]]=0),"",ARTICULOS_MAYORISTA[[#This Row],[FechaVenc]]-ARTICULOS_MAYORISTA[[#This Row],[DiasVenc]])</calculatedColumnFormula>
    </tableColumn>
    <tableColumn id="32" xr3:uid="{BA8168E1-1909-49E1-8945-B02E14F1C739}" name="Oferta" dataDxfId="342"/>
    <tableColumn id="33" xr3:uid="{F3574415-DE3C-4F64-BCC9-15B29EE24B15}" name="StockOferta" dataDxfId="341"/>
    <tableColumn id="34" xr3:uid="{018C4E4D-840E-4E18-88F8-A05ADB2B11DA}" name="OfertaDesde" dataDxfId="340"/>
    <tableColumn id="35" xr3:uid="{12661BA6-A9B3-41D6-9A55-F7C9E56A20F3}" name="OfertaHasta" dataDxfId="339"/>
    <tableColumn id="37" xr3:uid="{B71D65EF-0924-4692-B4BB-BBDAA13D1555}" name="Precio10" dataDxfId="338"/>
    <tableColumn id="38" xr3:uid="{A0468F1F-E510-4036-8D49-4E58B36DEC31}" name="Precio_fijo" dataDxfId="337"/>
    <tableColumn id="39" xr3:uid="{23B5A81E-CA2D-4019-A394-1047B15436E9}" name="Anulado" dataDxfId="336"/>
    <tableColumn id="40" xr3:uid="{4FD71345-6493-488B-9AAF-B7041F2A63B0}" name="IB" dataDxfId="335"/>
    <tableColumn id="41" xr3:uid="{80B6C1C3-5CDC-4274-8CA4-91F7925BA59D}" name="UnidadEti" dataDxfId="33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9658F1-C1E5-4F81-9BFA-4013EBDAC642}" name="ARTICULOS_QUENTO" displayName="ARTICULOS_QUENTO" ref="A1:AQ40" totalsRowShown="0" headerRowDxfId="333" dataDxfId="332">
  <autoFilter ref="A1:AQ40" xr:uid="{E53924AA-58EF-4F90-9C85-271BB3E0A626}"/>
  <sortState xmlns:xlrd2="http://schemas.microsoft.com/office/spreadsheetml/2017/richdata2" ref="A2:Z40">
    <sortCondition ref="S1:S40"/>
  </sortState>
  <tableColumns count="43">
    <tableColumn id="1" xr3:uid="{194CBFEA-E393-49CC-83B4-05DD97750FFA}" name="Codigo" dataDxfId="331"/>
    <tableColumn id="42" xr3:uid="{2B12EA3A-1A93-4BC5-805B-7127E49CBC4E}" name="CodigoProveedor" dataDxfId="330"/>
    <tableColumn id="36" xr3:uid="{A9D8A49E-6A61-4C00-AD81-66E64A402610}" name="SKU" dataDxfId="329">
      <calculatedColumnFormula>CONCATENATE(LEFT(T2,3),RIGHT(A2,8))</calculatedColumnFormula>
    </tableColumn>
    <tableColumn id="2" xr3:uid="{ACC30A70-747D-477D-91E1-62142DDBC8BA}" name="PLU" dataDxfId="328"/>
    <tableColumn id="3" xr3:uid="{CFFEC34C-E650-47AF-877E-574EBF8F803C}" name="Descripcion" dataDxfId="327"/>
    <tableColumn id="18" xr3:uid="{EF4C5A46-F5F4-4F31-959E-8645E0A907D2}" name="P. Compra" dataDxfId="326" dataCellStyle="Entrada"/>
    <tableColumn id="14" xr3:uid="{EFA9BC2A-0BB2-474F-8044-FBA9217C3A1F}" name="IVA" dataDxfId="325" dataCellStyle="Millares"/>
    <tableColumn id="15" xr3:uid="{576C7654-17C2-45FA-B5AD-FCB4B7C0F516}" name="ImpInt" dataDxfId="324" dataCellStyle="Millares"/>
    <tableColumn id="24" xr3:uid="{1BBC1623-D010-4363-9F2B-10B8DD986BB3}" name="Bulto" dataDxfId="323" dataCellStyle="Millares"/>
    <tableColumn id="22" xr3:uid="{15A9F2AC-D926-43A9-9ECB-8A29CA92F34F}" name="UnidFact" dataDxfId="322"/>
    <tableColumn id="20" xr3:uid="{2388CF5F-AE45-4C1F-85AB-4EF13D86F476}" name="CostoFlete"/>
    <tableColumn id="13" xr3:uid="{3CE6D57C-96D1-4CA2-BFB4-A9A0D786C226}" name="Costo" dataDxfId="321" dataCellStyle="Énfasis6">
      <calculatedColumnFormula>((ARTICULOS_QUENTO[[#This Row],[P. Compra]]*(1+ARTICULOS_QUENTO[[#This Row],[IVA]]%))/ARTICULOS_QUENTO[[#This Row],[UnidFact]])+ARTICULOS_QUENTO[[#This Row],[CostoFlete]]</calculatedColumnFormula>
    </tableColumn>
    <tableColumn id="46" xr3:uid="{8A41D9A9-208C-489A-8CC6-6C5399B6A8E6}" name="Util" dataDxfId="320" dataCellStyle="Millares"/>
    <tableColumn id="16" xr3:uid="{67D38A12-88FF-4EFC-AB26-DDCC9BC32B40}" name="Precio" dataDxfId="319" dataCellStyle="Neutral">
      <calculatedColumnFormula>IF(L2&gt;=5,MROUND(L2/(1-M2/100),50),10)</calculatedColumnFormula>
    </tableColumn>
    <tableColumn id="17" xr3:uid="{6458B8A2-2FFF-4A84-8658-D3B3B0249AB5}" name="Precio2" dataDxfId="318" dataCellStyle="Millares">
      <calculatedColumnFormula>MROUND((ARTICULOS_QUENTO[[#This Row],[Precio]]/0.6),10)</calculatedColumnFormula>
    </tableColumn>
    <tableColumn id="21" xr3:uid="{EBD02762-C8F1-4097-A95B-31B815C73297}" name="ControlStk" dataDxfId="317" dataCellStyle="Millares"/>
    <tableColumn id="25" xr3:uid="{778B6694-F0E1-4513-9A88-15D44F11F0D0}" name="Minimo" dataDxfId="316" dataCellStyle="Millares"/>
    <tableColumn id="26" xr3:uid="{9C9A0C2C-E1F2-49F9-8BFA-DA97BD96C8D9}" name="Maximo" dataDxfId="315" dataCellStyle="Millares">
      <calculatedColumnFormula>ARTICULOS_QUENTO[[#This Row],[Bulto]]+ARTICULOS_QUENTO[[#This Row],[Minimo]]</calculatedColumnFormula>
    </tableColumn>
    <tableColumn id="6" xr3:uid="{18D2B6F9-1B4C-4BA3-AE85-114C966D19A8}" name="Proveedor" dataDxfId="314"/>
    <tableColumn id="7" xr3:uid="{9B4C4F0B-9E9C-4589-BF7B-DCC9D1CEB691}" name="Rubro" dataDxfId="313"/>
    <tableColumn id="8" xr3:uid="{FEF0DF03-C36D-4481-9862-B0D3C20ED64D}" name="Categoria" dataDxfId="312"/>
    <tableColumn id="9" xr3:uid="{4561DC2B-8D65-41D0-832F-0A71D18C3609}" name="Marca" dataDxfId="311"/>
    <tableColumn id="11" xr3:uid="{4CA46B63-88A8-4237-AFC0-4A6050B6B49C}" name="PorKg" dataDxfId="310"/>
    <tableColumn id="12" xr3:uid="{7BF2FC91-9C73-4F3D-98D6-5576BCBD7C07}" name="CantidadEti" dataDxfId="309"/>
    <tableColumn id="23" xr3:uid="{E46992EB-8952-4F92-8880-E176EE93B639}" name="Stock" dataDxfId="308" dataCellStyle="Millares"/>
    <tableColumn id="10" xr3:uid="{EEA041E6-2F30-41E8-BA5E-86A17685DE74}" name="StockReal" dataDxfId="307"/>
    <tableColumn id="4" xr3:uid="{0AA7CB07-6D5D-4AF5-AE5A-9164FA1B4478}" name="Pedido" dataDxfId="306"/>
    <tableColumn id="5" xr3:uid="{0AC6E39C-643D-44F8-8D98-BF44BD282005}" name="Total Pedido" dataDxfId="305">
      <calculatedColumnFormula>ARTICULOS_QUENTO[[#This Row],[Costo]]*ARTICULOS_QUENTO[[#This Row],[Pedido]]</calculatedColumnFormula>
    </tableColumn>
    <tableColumn id="19" xr3:uid="{D2BF9B8C-71C5-4CF8-A975-3DEC499A9B3E}" name="Ingresos" dataDxfId="304"/>
    <tableColumn id="27" xr3:uid="{403F1B50-249C-4DC0-9150-7D987D27193E}" name="Salidas" dataDxfId="303"/>
    <tableColumn id="28" xr3:uid="{E5538861-F44C-4D89-B5AD-1351B6835BB2}" name="AlertaVencimiento" dataDxfId="302"/>
    <tableColumn id="29" xr3:uid="{B3A94972-DD6C-40AB-B33F-A49EAB4C28F2}" name="FechaVenc" dataDxfId="301"/>
    <tableColumn id="30" xr3:uid="{F043BC16-629F-4E75-BA46-1F64E262833D}" name="DiasVenc" dataDxfId="300"/>
    <tableColumn id="31" xr3:uid="{988ECDE4-C80F-4149-A561-7BDBA7F0E8AD}" name="AlertaFechaVenc" dataDxfId="299">
      <calculatedColumnFormula>IF(AND(ARTICULOS_QUENTO[[#This Row],[FechaVenc]]=0,ARTICULOS_QUENTO[[#This Row],[DiasVenc]]=0),"",ARTICULOS_QUENTO[[#This Row],[FechaVenc]]-ARTICULOS_QUENTO[[#This Row],[DiasVenc]])</calculatedColumnFormula>
    </tableColumn>
    <tableColumn id="32" xr3:uid="{ADCBD5F7-3868-4C0C-9168-BCCB81785026}" name="Oferta" dataDxfId="298"/>
    <tableColumn id="33" xr3:uid="{069B8BE7-2C3A-4D2E-BBB4-6BD15B37DCFD}" name="StockOferta" dataDxfId="297"/>
    <tableColumn id="34" xr3:uid="{0F5E0CAA-8C59-42EC-9877-534BDC6C4E06}" name="OfertaDesde" dataDxfId="296"/>
    <tableColumn id="35" xr3:uid="{C6D49639-F47F-46AC-9D11-FA21895F5856}" name="OfertaHasta" dataDxfId="295"/>
    <tableColumn id="37" xr3:uid="{45CD03DA-EFFB-4E47-B7A3-6A51F87917CF}" name="Precio10" dataDxfId="294"/>
    <tableColumn id="38" xr3:uid="{9637367B-97FC-4BAD-9758-9676C945CC75}" name="Precio_fijo" dataDxfId="293"/>
    <tableColumn id="39" xr3:uid="{E1B4CFFF-9077-40D5-8803-72B65ECBBF9A}" name="Anulado" dataDxfId="292"/>
    <tableColumn id="40" xr3:uid="{E078D0FD-57E4-4215-A35F-80210A7C918C}" name="IB" dataDxfId="291"/>
    <tableColumn id="41" xr3:uid="{AFAD8121-78A6-47B6-A986-3EE11227B4DC}" name="UnidadEti" dataDxfId="29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7F60A9-A286-4CD1-A7D2-F9B87D309707}" name="ARTICULOS_GRANEL" displayName="ARTICULOS_GRANEL" ref="A1:AR15" totalsRowShown="0" headerRowDxfId="289" dataDxfId="288">
  <autoFilter ref="A1:AR15" xr:uid="{E53924AA-58EF-4F90-9C85-271BB3E0A626}"/>
  <sortState xmlns:xlrd2="http://schemas.microsoft.com/office/spreadsheetml/2017/richdata2" ref="A2:Z15">
    <sortCondition ref="S1:S15"/>
  </sortState>
  <tableColumns count="44">
    <tableColumn id="1" xr3:uid="{BB0C3545-0E00-4A64-9270-C901B02DF406}" name="Codigo" dataDxfId="287"/>
    <tableColumn id="42" xr3:uid="{D50F2D5A-6773-42DE-A85A-77A114BCE20F}" name="CodigoProveedor" dataDxfId="286"/>
    <tableColumn id="36" xr3:uid="{0096F31F-BCB4-4FC1-B7ED-4D6A334ABD4C}" name="SKU" dataDxfId="285">
      <calculatedColumnFormula>CONCATENATE(LEFT(T2,3),RIGHT(A2,8))</calculatedColumnFormula>
    </tableColumn>
    <tableColumn id="2" xr3:uid="{1F2D74D7-6C38-477D-810B-07584DA3D678}" name="PLU" dataDxfId="284"/>
    <tableColumn id="3" xr3:uid="{907BDFBD-BB05-4247-A5B2-807DAE4DBE9A}" name="Descripcion" dataDxfId="283"/>
    <tableColumn id="18" xr3:uid="{53737669-589E-4E8E-B07F-BF72A59A64A0}" name="P. Compra" dataDxfId="282" dataCellStyle="Entrada"/>
    <tableColumn id="14" xr3:uid="{4CB3974D-5792-46A4-9E2C-812E13FFEE11}" name="IVA" dataDxfId="281" dataCellStyle="Millares"/>
    <tableColumn id="15" xr3:uid="{72BC32E4-D44F-4163-B7E4-4EFC623F59E8}" name="ImpInt" dataDxfId="280" dataCellStyle="Millares"/>
    <tableColumn id="24" xr3:uid="{C8807B58-D7AE-4AD1-AD0C-C4C1FFD8BC25}" name="Bulto" dataDxfId="279" dataCellStyle="Millares"/>
    <tableColumn id="20" xr3:uid="{4F61379D-A54F-4CF3-AAA4-1D0F45E0ED1E}" name="UnidFact"/>
    <tableColumn id="19" xr3:uid="{5113F582-0486-408A-BAF9-984E4ACE9B51}" name="CostoFlete" dataDxfId="278" dataCellStyle="Millares"/>
    <tableColumn id="13" xr3:uid="{2E6C7908-CE8A-47CD-8AD7-545BED8E5EB4}" name="Costo" dataDxfId="277" dataCellStyle="Énfasis6">
      <calculatedColumnFormula>((ARTICULOS_GOLOMAX[[#This Row],[P. Compra]]*(1+ARTICULOS_GOLOMAX[[#This Row],[IVA]]%))/ARTICULOS_GOLOMAX[[#This Row],[UnidFact]])+ARTICULOS_GOLOMAX[[#This Row],[CostoFlete]]</calculatedColumnFormula>
    </tableColumn>
    <tableColumn id="46" xr3:uid="{61F41844-731A-45C3-924E-83E6EA87F963}" name="Util" dataDxfId="276" dataCellStyle="Millares"/>
    <tableColumn id="16" xr3:uid="{1BAD8CA3-D7AC-4945-9483-13850F71598D}" name="Precio" dataDxfId="275" dataCellStyle="Millares">
      <calculatedColumnFormula>IF(L2&gt;=5,MROUND(L2/(1-M2/100),10),10)</calculatedColumnFormula>
    </tableColumn>
    <tableColumn id="17" xr3:uid="{B5D25067-7E72-41D4-9843-DEC3940378DB}" name="Precio2" dataDxfId="274" dataCellStyle="Millares">
      <calculatedColumnFormula>MROUND((ARTICULOS_LADIAR[[#This Row],[Precio]]/0.6),10)</calculatedColumnFormula>
    </tableColumn>
    <tableColumn id="21" xr3:uid="{10DB50F3-E71C-4887-8992-7B522E63B81C}" name="ControlStk" dataDxfId="273" dataCellStyle="Millares"/>
    <tableColumn id="25" xr3:uid="{5B5E24A9-BCE6-4234-8268-3D25340656BC}" name="Minimo" dataDxfId="272" dataCellStyle="Millares"/>
    <tableColumn id="26" xr3:uid="{CBA4123D-334E-49B9-897B-8A112C7C1582}" name="Maximo" dataDxfId="271" dataCellStyle="Millares">
      <calculatedColumnFormula>ARTICULOS_GRANEL[[#This Row],[Bulto]]+ARTICULOS_GRANEL[[#This Row],[Minimo]]</calculatedColumnFormula>
    </tableColumn>
    <tableColumn id="6" xr3:uid="{15C539A3-2E8B-4FF8-8A4C-CDBF9F8103DE}" name="Proveedor" dataDxfId="270"/>
    <tableColumn id="7" xr3:uid="{68BD8619-46F4-4BD1-A76B-789E41C7F919}" name="Rubro" dataDxfId="269"/>
    <tableColumn id="8" xr3:uid="{5705CC9B-A907-4406-BBDD-073506E9ED18}" name="Categoria" dataDxfId="268"/>
    <tableColumn id="9" xr3:uid="{3F4DC6F9-AA20-42F0-A0CA-A5B695FAE503}" name="Marca" dataDxfId="267"/>
    <tableColumn id="11" xr3:uid="{58161A9F-E2C7-4398-A880-6CC2596E80BB}" name="PorKg" dataDxfId="266"/>
    <tableColumn id="12" xr3:uid="{4553AB06-8F6B-4C81-B023-071F3C160E51}" name="CantidadEti" dataDxfId="265"/>
    <tableColumn id="22" xr3:uid="{5716C303-D4E6-4660-9E5C-43B89E05E0EA}" name="Stock" dataDxfId="264"/>
    <tableColumn id="23" xr3:uid="{BBA43B49-0765-4DCF-ACBD-C573A9FBD833}" name="StockReal" dataDxfId="263" dataCellStyle="Millares"/>
    <tableColumn id="4" xr3:uid="{7F0022D9-91A1-45B7-9A8D-C57D071FC424}" name="Pedido Unidad" dataDxfId="262">
      <calculatedColumnFormula>IF(ARTICULOS_GRANEL[[#This Row],[Stock]]&lt;ARTICULOS_GRANEL[[#This Row],[Minimo]],ARTICULOS_GRANEL[[#This Row],[Maximo]]-ARTICULOS_GRANEL[[#This Row],[Stock]],0)</calculatedColumnFormula>
    </tableColumn>
    <tableColumn id="43" xr3:uid="{86117D60-A227-4A03-BEDD-F3BA2BBAB81F}" name="Pedido Bultos" dataDxfId="261">
      <calculatedColumnFormula>MROUND(ARTICULOS_GRANEL[[#This Row],[Pedido Unidad]]/ARTICULOS_GRANEL[[#This Row],[Bulto]],1)</calculatedColumnFormula>
    </tableColumn>
    <tableColumn id="5" xr3:uid="{8527D887-201A-4BA9-8622-E1A7D9570A67}" name="Total Pedido" dataDxfId="260">
      <calculatedColumnFormula>ARTICULOS_GRANEL[[#This Row],[Costo]]*ARTICULOS_GRANEL[[#This Row],[Bulto]]*ARTICULOS_GRANEL[[#This Row],[Pedido Bultos]]</calculatedColumnFormula>
    </tableColumn>
    <tableColumn id="10" xr3:uid="{D3153EE3-0B6C-4556-8417-96EA70F8F87C}" name="Ingresos" dataDxfId="259"/>
    <tableColumn id="27" xr3:uid="{EA2D5AAA-47C3-4736-8557-48369F7C53D0}" name="Salidas" dataDxfId="258"/>
    <tableColumn id="28" xr3:uid="{5A0CE1EA-AF63-43E0-8CC9-5E8EF760912E}" name="AlertaVencimiento" dataDxfId="257"/>
    <tableColumn id="29" xr3:uid="{97FAB858-0E1A-4C5A-B867-641CF9751B00}" name="FechaVenc" dataDxfId="256"/>
    <tableColumn id="30" xr3:uid="{FF411A0D-9D4B-4AC2-8081-F07B3238CBFA}" name="DiasVenc" dataDxfId="255"/>
    <tableColumn id="31" xr3:uid="{816BE22B-C821-47D2-9DAB-1E6E7AAF8D7A}" name="AlertaFechaVenc" dataDxfId="254">
      <calculatedColumnFormula>IF(AND(ARTICULOS_OSLE[[#This Row],[FechaVenc]]=0,ARTICULOS_OSLE[[#This Row],[DiasVenc]]=0),"",ARTICULOS_OSLE[[#This Row],[FechaVenc]]-ARTICULOS_OSLE[[#This Row],[DiasVenc]])</calculatedColumnFormula>
    </tableColumn>
    <tableColumn id="32" xr3:uid="{55C989EE-DB0B-4995-80B9-30CC2023FC02}" name="Oferta" dataDxfId="253"/>
    <tableColumn id="33" xr3:uid="{376911DE-7B3C-41B5-BC60-A61164A6D4B9}" name="StockOferta" dataDxfId="252"/>
    <tableColumn id="34" xr3:uid="{9B5B5395-CB55-4734-83E3-FA9786EAB4B7}" name="OfertaDesde" dataDxfId="251"/>
    <tableColumn id="35" xr3:uid="{F3610C10-22B8-4AD5-A838-B47F5B2FF702}" name="OfertaHasta" dataDxfId="250"/>
    <tableColumn id="37" xr3:uid="{6A64B30E-AB93-4AAB-82CB-10D0E0807A2F}" name="Precio10" dataDxfId="249"/>
    <tableColumn id="38" xr3:uid="{A1C1C582-ED3C-4B53-83C1-EA51793E4F71}" name="Precio_fijo" dataDxfId="248"/>
    <tableColumn id="39" xr3:uid="{4F2423D1-5D92-4331-879A-15B8EAE1D42A}" name="Anulado" dataDxfId="247"/>
    <tableColumn id="40" xr3:uid="{DFC1CE3A-4B4D-4DAF-8D94-4D4B28E3DE00}" name="IB" dataDxfId="246"/>
    <tableColumn id="41" xr3:uid="{44EC0822-0586-42E0-B12D-CB2A7E2AD07D}" name="UnidadEti" dataDxfId="2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58DD4FA-9663-4A9E-AA64-07685F80ABCC}" name="CATEGORIAS" displayName="CATEGORIAS" ref="E1:E69" totalsRowShown="0" headerRowDxfId="1154">
  <autoFilter ref="E1:E69" xr:uid="{358DD4FA-9663-4A9E-AA64-07685F80ABCC}"/>
  <tableColumns count="1">
    <tableColumn id="1" xr3:uid="{BB8F6E5A-2964-412E-95CA-D827141B1D36}" name="CATEGORÍ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BE612BE-1330-4B6E-A4E0-FF7F3846B2B3}" name="ARTICULOS_PROMOCIONES" displayName="ARTICULOS_PROMOCIONES" ref="A1:AQ10" totalsRowShown="0" headerRowDxfId="1153" dataDxfId="1152">
  <autoFilter ref="A1:AQ10" xr:uid="{E53924AA-58EF-4F90-9C85-271BB3E0A626}"/>
  <sortState xmlns:xlrd2="http://schemas.microsoft.com/office/spreadsheetml/2017/richdata2" ref="A2:Z9">
    <sortCondition ref="A1:A9"/>
  </sortState>
  <tableColumns count="43">
    <tableColumn id="1" xr3:uid="{2E56B540-74A6-43DF-9F3D-89C8D7138C83}" name="Codigo" dataDxfId="1151"/>
    <tableColumn id="42" xr3:uid="{E497F99B-5C9B-4C19-A303-C8544D49BC31}" name="CodigoProveedor" dataDxfId="1150"/>
    <tableColumn id="36" xr3:uid="{DCF6C329-B6FD-4EA4-8AC9-51BA6060267E}" name="SKU" dataDxfId="1149">
      <calculatedColumnFormula>CONCATENATE(LEFT(Q2,3),RIGHT(A2,8))</calculatedColumnFormula>
    </tableColumn>
    <tableColumn id="2" xr3:uid="{4A9C607F-E5AB-4466-A1CA-7583D2D95D2D}" name="PLU" dataDxfId="1148"/>
    <tableColumn id="3" xr3:uid="{5A46205B-449F-434F-BA99-5B8396302DFB}" name="Descripcion" dataDxfId="1147"/>
    <tableColumn id="18" xr3:uid="{B91A3B69-97AD-46BC-9858-C43721449923}" name="P. Compra" dataDxfId="1146" dataCellStyle="Entrada"/>
    <tableColumn id="14" xr3:uid="{47A97079-E1A1-4BE6-84BA-4438EFD16E65}" name="IVA" dataDxfId="1145" dataCellStyle="Millares"/>
    <tableColumn id="15" xr3:uid="{0F02EBB6-E797-4D56-9962-5DDC1DCE315D}" name="ImpInt" dataDxfId="1144" dataCellStyle="Millares"/>
    <tableColumn id="24" xr3:uid="{7315BA83-B18E-46D1-BC4D-C94B225125DA}" name="Bulto" dataDxfId="1143" dataCellStyle="Millares"/>
    <tableColumn id="20" xr3:uid="{AD319569-5002-4D2F-B200-ED232A859149}" name="UnidFact"/>
    <tableColumn id="19" xr3:uid="{32B0F7B3-26CB-4A6E-AC1C-46BA8AD2998F}" name="CostoFlete"/>
    <tableColumn id="13" xr3:uid="{AE13739E-0EA1-4196-87D7-93668441075D}" name="Costo" dataDxfId="1142" dataCellStyle="Énfasis6">
      <calculatedColumnFormula>((ARTICULOS_PROMOCIONES[[#This Row],[P. Compra]]*(1+ARTICULOS_PROMOCIONES[[#This Row],[IVA]]))/ARTICULOS_PROMOCIONES[[#This Row],[UnidFact]])+ARTICULOS_PROMOCIONES[[#This Row],[CostoFlete]]</calculatedColumnFormula>
    </tableColumn>
    <tableColumn id="46" xr3:uid="{65585102-6F53-43D4-A261-58FC73481904}" name="Util" dataDxfId="1141" dataCellStyle="Millares"/>
    <tableColumn id="16" xr3:uid="{48BFAAFF-86C9-4AF8-9C37-464F0C49680F}" name="Precio" dataDxfId="1140" dataCellStyle="Neutral">
      <calculatedColumnFormula>IF(L2&gt;=5,MROUND(L2/(1-M2),10),10)</calculatedColumnFormula>
    </tableColumn>
    <tableColumn id="17" xr3:uid="{BB3DD45C-B119-4C5E-B3FB-CEC008C0651E}" name="Precio2" dataDxfId="1139" dataCellStyle="Millares">
      <calculatedColumnFormula>MROUND((ARTICULOS_LADIAR[[#This Row],[Precio]]/0.6),50)</calculatedColumnFormula>
    </tableColumn>
    <tableColumn id="6" xr3:uid="{DAC19A13-359E-497D-AB65-40314A87F5C6}" name="Proveedor" dataDxfId="1138"/>
    <tableColumn id="7" xr3:uid="{22C79D15-9EDC-4398-98D3-0162C9C92B58}" name="Rubro" dataDxfId="1137"/>
    <tableColumn id="8" xr3:uid="{F6AE7D22-1DFD-4308-B666-F47C9E49BE75}" name="Categoria" dataDxfId="1136"/>
    <tableColumn id="9" xr3:uid="{415838C8-12F4-4A36-88CB-124BCF7E733E}" name="Marca" dataDxfId="1135"/>
    <tableColumn id="11" xr3:uid="{78474378-962A-432B-8D57-1975DDD16214}" name="PorKg" dataDxfId="1134"/>
    <tableColumn id="12" xr3:uid="{005832DB-F30B-472E-98AA-42948F899CF0}" name="CantidadEti" dataDxfId="1133"/>
    <tableColumn id="21" xr3:uid="{B4BBE367-2DA6-40D3-AE19-6738516A1F49}" name="ControlStk" dataDxfId="1132" dataCellStyle="Millares"/>
    <tableColumn id="25" xr3:uid="{B8F470DE-A624-4FB7-A961-B766DE658A68}" name="Minimo" dataDxfId="1131" dataCellStyle="Millares"/>
    <tableColumn id="26" xr3:uid="{A45AA090-9CC0-4B97-BA65-0E5463E40EC3}" name="Maximo" dataDxfId="1130" dataCellStyle="Millares">
      <calculatedColumnFormula>ARTICULOS_PROMOCIONES[[#This Row],[Minimo]]+ARTICULOS_PROMOCIONES[[#This Row],[Bulto]]</calculatedColumnFormula>
    </tableColumn>
    <tableColumn id="22" xr3:uid="{68FE02A8-CC64-4771-AA7E-C68D102A3EEC}" name="Stock" dataDxfId="1129"/>
    <tableColumn id="23" xr3:uid="{D6B4CAE1-8032-4AE3-B831-108A4D6D26CE}" name="StockReal" dataDxfId="1128" dataCellStyle="Millares"/>
    <tableColumn id="4" xr3:uid="{2039B471-3EE9-4DB7-9F95-FDD22D1F28DE}" name="Pedido" dataDxfId="1127"/>
    <tableColumn id="5" xr3:uid="{1188EA34-E2B2-45FB-ABE4-DDAC5527E7A2}" name="Total Pedido" dataDxfId="1126">
      <calculatedColumnFormula>ARTICULOS_OSLE[[#This Row],[Costo]]*ARTICULOS_OSLE[[#This Row],[Pedido]]</calculatedColumnFormula>
    </tableColumn>
    <tableColumn id="10" xr3:uid="{76D8CEA7-9329-48B3-9ADC-4C00E1690C93}" name="Ingresos" dataDxfId="1125"/>
    <tableColumn id="27" xr3:uid="{62429252-10C1-4C85-A5A0-24B7577D0666}" name="Salidas" dataDxfId="1124"/>
    <tableColumn id="28" xr3:uid="{666327B1-FFEE-4862-A48D-D0DCFDF7B394}" name="AlertaVencimiento" dataDxfId="1123"/>
    <tableColumn id="29" xr3:uid="{81CC346F-4E75-4C78-BA57-B4E7BD0BFFF1}" name="FechaVenc" dataDxfId="1122"/>
    <tableColumn id="30" xr3:uid="{25573EB8-03B3-44EC-BF53-08F2FF62EF66}" name="DiasVenc" dataDxfId="1121"/>
    <tableColumn id="31" xr3:uid="{F3FC1A4A-6157-494E-87F2-81E73AF3BB79}" name="AlertaFechaVenc" dataDxfId="1120">
      <calculatedColumnFormula>IF(AND(ARTICULOS_OSLE[[#This Row],[FechaVenc]]=0,ARTICULOS_OSLE[[#This Row],[DiasVenc]]=0),"",ARTICULOS_OSLE[[#This Row],[FechaVenc]]-ARTICULOS_OSLE[[#This Row],[DiasVenc]])</calculatedColumnFormula>
    </tableColumn>
    <tableColumn id="32" xr3:uid="{961D6867-A07D-4F52-811B-199B0E95A425}" name="Oferta" dataDxfId="1119"/>
    <tableColumn id="33" xr3:uid="{F3F8FED4-ED9E-4700-A12E-7802AA93D91D}" name="StockOferta" dataDxfId="1118"/>
    <tableColumn id="34" xr3:uid="{5ED7476E-EB5F-488E-80B2-3C0C3644B82A}" name="OfertaDesde" dataDxfId="1117"/>
    <tableColumn id="35" xr3:uid="{4E1D4BA4-E1C2-44A5-A211-2275604A302B}" name="OfertaHasta" dataDxfId="1116"/>
    <tableColumn id="37" xr3:uid="{21E8F01A-F2F8-40CB-9F66-D239D796B93C}" name="Precio10" dataDxfId="1115"/>
    <tableColumn id="38" xr3:uid="{E47E5841-6FBD-4316-A770-CC90EBE5CA0E}" name="Precio_fijo" dataDxfId="1114"/>
    <tableColumn id="39" xr3:uid="{06D80171-B077-4420-8640-AE167F1022A2}" name="Anulado" dataDxfId="1113"/>
    <tableColumn id="40" xr3:uid="{C720FE30-B91D-466A-90DE-8B3F49452149}" name="IB" dataDxfId="1112"/>
    <tableColumn id="41" xr3:uid="{44ED71A8-73A6-49E8-8ACB-1E10F95BA1E2}" name="UnidadEti" dataDxfId="11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3924AA-58EF-4F90-9C85-271BB3E0A626}" name="ARTICULOS_INTERNOS" displayName="ARTICULOS_INTERNOS" ref="A1:AQ18" totalsRowShown="0" headerRowDxfId="1110" dataDxfId="1109">
  <autoFilter ref="A1:AQ18" xr:uid="{E53924AA-58EF-4F90-9C85-271BB3E0A626}"/>
  <sortState xmlns:xlrd2="http://schemas.microsoft.com/office/spreadsheetml/2017/richdata2" ref="A2:X4">
    <sortCondition ref="S1:S4"/>
  </sortState>
  <tableColumns count="43">
    <tableColumn id="1" xr3:uid="{DE64858B-CB96-49E2-BE63-9D2D3600666B}" name="Codigo" dataDxfId="1108"/>
    <tableColumn id="42" xr3:uid="{CD924BB8-C4FE-44A8-8C6B-D3ADAF63EE77}" name="CodigoProveedor" dataDxfId="1107"/>
    <tableColumn id="36" xr3:uid="{67BEE3A2-7EC7-433D-B1B5-FD1D36999B17}" name="SKU" dataDxfId="1106">
      <calculatedColumnFormula>CONCATENATE(LEFT(T2,3),RIGHT(A2,8))</calculatedColumnFormula>
    </tableColumn>
    <tableColumn id="2" xr3:uid="{56A2CEA9-70F2-4446-8E74-E59FAF472302}" name="PLU" dataDxfId="1105"/>
    <tableColumn id="3" xr3:uid="{05C57A50-153A-4902-94BA-C33DB0C4F2A8}" name="Descripcion" dataDxfId="1104"/>
    <tableColumn id="13" xr3:uid="{58F03218-17F4-424E-B9DB-7A2767F81D09}" name="P. Compra" dataDxfId="1103" dataCellStyle="Énfasis6"/>
    <tableColumn id="14" xr3:uid="{ED3DA3CD-6820-488E-AD8B-58B9C9CA7107}" name="IVA" dataDxfId="1102" dataCellStyle="Porcentaje"/>
    <tableColumn id="15" xr3:uid="{8AE0ECC5-B4CC-45E2-B517-0A3FBB88E63D}" name="ImpInt" dataDxfId="1101" dataCellStyle="Millares"/>
    <tableColumn id="24" xr3:uid="{456A67F8-53A3-460B-8735-0DD4CB6D85D1}" name="Bulto" dataDxfId="1100" dataCellStyle="Millares"/>
    <tableColumn id="19" xr3:uid="{AF03B532-8B79-45B9-914C-64BEE461376D}" name="UnidFact" dataDxfId="1099" dataCellStyle="Millares"/>
    <tableColumn id="20" xr3:uid="{7205FD64-1B8E-417F-AEFA-2899F762AAB7}" name="CostoFlete" dataDxfId="1098" dataCellStyle="Millares"/>
    <tableColumn id="18" xr3:uid="{BC19FCE8-FB7F-4A39-900C-4F6105A0D38D}" name="Costo" dataDxfId="1097" dataCellStyle="Énfasis6">
      <calculatedColumnFormula>((ARTICULOS_INTERNOS[[#This Row],[P. Compra]]*(1+ARTICULOS_INTERNOS[[#This Row],[IVA]]))/ARTICULOS_INTERNOS[[#This Row],[UnidFact]])+ARTICULOS_INTERNOS[[#This Row],[CostoFlete]]</calculatedColumnFormula>
    </tableColumn>
    <tableColumn id="46" xr3:uid="{476BDA3F-99BD-4B51-94E7-083C7887C998}" name="Util" dataDxfId="1096" dataCellStyle="Millares"/>
    <tableColumn id="16" xr3:uid="{18D45DA3-EBEC-4423-9867-26EC456FFF9C}" name="Precio" dataDxfId="1095" dataCellStyle="Neutral">
      <calculatedColumnFormula>(L2/(1-(M2/100)))</calculatedColumnFormula>
    </tableColumn>
    <tableColumn id="17" xr3:uid="{F56E51E4-8652-4766-97D1-F53D01508EE2}" name="Precio2" dataDxfId="1094" dataCellStyle="Millares">
      <calculatedColumnFormula>MROUND((ARTICULOS_INTERNOS[[#This Row],[Precio]]/0.6),50)</calculatedColumnFormula>
    </tableColumn>
    <tableColumn id="21" xr3:uid="{6EE47766-E91F-4D38-87A2-45AF9032BC4B}" name="ControlStk" dataDxfId="1093" dataCellStyle="Millares"/>
    <tableColumn id="25" xr3:uid="{E25AA216-9CD3-4398-8922-0339FEE94951}" name="Minimo" dataDxfId="1092" dataCellStyle="Millares"/>
    <tableColumn id="26" xr3:uid="{21C0C5DB-FBA2-4023-B7DD-ABAA25F4E07E}" name="Maximo" dataDxfId="1091" dataCellStyle="Millares">
      <calculatedColumnFormula>ARTICULOS_INTERNOS[[#This Row],[Bulto]]+ARTICULOS_INTERNOS[[#This Row],[Minimo]]</calculatedColumnFormula>
    </tableColumn>
    <tableColumn id="6" xr3:uid="{88519CE7-8B6F-4BD1-942F-9409A46D5BAC}" name="Proveedor" dataDxfId="1090"/>
    <tableColumn id="7" xr3:uid="{BC3C3970-46C1-4988-91B9-F180DA4942FF}" name="Rubro" dataDxfId="1089"/>
    <tableColumn id="8" xr3:uid="{A9FC5FD1-6095-475C-8343-9C1B706D9D12}" name="Categoria" dataDxfId="1088"/>
    <tableColumn id="9" xr3:uid="{755DC1F1-81B3-4FE8-8AB2-2C9DC497A98C}" name="Marca" dataDxfId="1087"/>
    <tableColumn id="11" xr3:uid="{1FF9A0C2-99C1-4289-8681-25353C9ABC17}" name="PorKg" dataDxfId="1086"/>
    <tableColumn id="12" xr3:uid="{243C883E-A608-4545-9E8B-0BB30D721877}" name="CantidadEti" dataDxfId="1085"/>
    <tableColumn id="22" xr3:uid="{7865C86E-F540-402B-9A41-13DB753134AF}" name="Stock" dataDxfId="1084"/>
    <tableColumn id="23" xr3:uid="{F0D6D8D0-3115-4C69-A01A-3C376E625629}" name="StockReal" dataDxfId="1083"/>
    <tableColumn id="4" xr3:uid="{B825910F-94FC-4EFC-9E3F-CF41CA70693D}" name="Pedido" dataDxfId="1082"/>
    <tableColumn id="5" xr3:uid="{06C6EDA9-1ED5-4DF4-A431-DAD9D2E9B6AF}" name="Total Pedido" dataDxfId="1081">
      <calculatedColumnFormula>ARTICULOS_OSLE[[#This Row],[Costo]]*ARTICULOS_OSLE[[#This Row],[Pedido]]</calculatedColumnFormula>
    </tableColumn>
    <tableColumn id="10" xr3:uid="{5C3A7EBD-350B-4B9D-AD0B-6E4678C88A43}" name="Ingresos" dataDxfId="1080"/>
    <tableColumn id="27" xr3:uid="{33F404C7-DF20-4570-962A-8C6B78A2BB5E}" name="Salidas" dataDxfId="1079"/>
    <tableColumn id="28" xr3:uid="{9B1BF751-7AB5-4A61-B523-B7F775E83FBD}" name="AlertaVencimiento" dataDxfId="1078"/>
    <tableColumn id="29" xr3:uid="{E0E068C5-979E-499E-B120-C830C55CDD79}" name="FechaVenc" dataDxfId="1077"/>
    <tableColumn id="30" xr3:uid="{FB72529C-82F9-44E4-BB5C-94C4DF892679}" name="DiasVenc" dataDxfId="1076"/>
    <tableColumn id="31" xr3:uid="{9ED66BAE-8521-4BDA-9EB5-7829392B2F39}" name="AlertaFechaVenc" dataDxfId="1075">
      <calculatedColumnFormula>IF(AND(ARTICULOS_OSLE[[#This Row],[FechaVenc]]=0,ARTICULOS_OSLE[[#This Row],[DiasVenc]]=0),"",ARTICULOS_OSLE[[#This Row],[FechaVenc]]-ARTICULOS_OSLE[[#This Row],[DiasVenc]])</calculatedColumnFormula>
    </tableColumn>
    <tableColumn id="32" xr3:uid="{67C2BF13-EA18-4B05-A35F-23E76C1B22A5}" name="Oferta" dataDxfId="1074"/>
    <tableColumn id="33" xr3:uid="{C8F40BA1-A0B2-4FEA-91E5-E530269886A3}" name="StockOferta" dataDxfId="1073"/>
    <tableColumn id="34" xr3:uid="{C707581F-FBE3-4D26-A1F0-12B59E8BB1CA}" name="OfertaDesde" dataDxfId="1072"/>
    <tableColumn id="35" xr3:uid="{BBDA46E1-CCA3-4449-A02E-837A82C52971}" name="OfertaHasta" dataDxfId="1071"/>
    <tableColumn id="37" xr3:uid="{123452AE-59DA-498C-9CD1-3B618DF263EB}" name="Precio10" dataDxfId="1070"/>
    <tableColumn id="38" xr3:uid="{37561789-14E8-43EB-B62F-A69D0337D763}" name="Precio_fijo" dataDxfId="1069"/>
    <tableColumn id="39" xr3:uid="{60D68197-AEEB-4EAC-A3C9-21F767AB836C}" name="Anulado" dataDxfId="1068"/>
    <tableColumn id="40" xr3:uid="{D19CB37F-0630-4A08-9742-F0B4317012BA}" name="IB" dataDxfId="1067"/>
    <tableColumn id="41" xr3:uid="{E4E182BC-1B34-4E1D-86FD-FB33F1E08E59}" name="UnidadEti" dataDxfId="106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63C10A8-0FA4-41F3-B1C3-4E926D9C2BDE}" name="ARTICULOS_VENEZOLANO" displayName="ARTICULOS_VENEZOLANO" ref="A1:AQ93" totalsRowShown="0" headerRowDxfId="1065" dataDxfId="1064">
  <autoFilter ref="A1:AQ93" xr:uid="{E53924AA-58EF-4F90-9C85-271BB3E0A626}"/>
  <sortState xmlns:xlrd2="http://schemas.microsoft.com/office/spreadsheetml/2017/richdata2" ref="A2:AQ87">
    <sortCondition ref="A1:A87"/>
  </sortState>
  <tableColumns count="43">
    <tableColumn id="1" xr3:uid="{0F24F6E3-D88C-4729-A6BE-3CE90E3AB7BD}" name="Codigo" dataDxfId="1063"/>
    <tableColumn id="42" xr3:uid="{6A57AE6C-18B9-4B30-B2DC-7A944E0AA035}" name="CodigoProveedor" dataDxfId="1062"/>
    <tableColumn id="36" xr3:uid="{6F1943AA-0E6D-4074-9D1C-B2308AB0F7FB}" name="SKU" dataDxfId="1061">
      <calculatedColumnFormula>CONCATENATE(LEFT(O2,3),RIGHT(A2,8))</calculatedColumnFormula>
    </tableColumn>
    <tableColumn id="2" xr3:uid="{833B4BA6-C6F2-4743-9DC3-ABB0118BDEB3}" name="PLU" dataDxfId="1060"/>
    <tableColumn id="3" xr3:uid="{9F42356A-E262-43A2-9223-B6788A857E76}" name="Descripcion" dataDxfId="1059"/>
    <tableColumn id="18" xr3:uid="{A7D5F45C-4FF7-4F65-A6EE-FC6F7648FC9E}" name="P. Compra" dataDxfId="1058" dataCellStyle="Millares"/>
    <tableColumn id="14" xr3:uid="{8A40847E-9A83-4C9E-8B42-69D0C1FE24B5}" name="IVA" dataDxfId="1057" dataCellStyle="Porcentaje"/>
    <tableColumn id="15" xr3:uid="{DA74FFF9-0AA7-41F1-A5ED-DD1CBFE11E03}" name="ImpInt" dataDxfId="1056" dataCellStyle="Millares"/>
    <tableColumn id="20" xr3:uid="{F65C1E86-37F6-4B42-A207-861123D5F14D}" name="Flete" dataDxfId="1055" dataCellStyle="Millares"/>
    <tableColumn id="13" xr3:uid="{5BFB74FE-C002-452D-BBE6-0541E58031BA}" name="Costo" dataDxfId="1054" dataCellStyle="Millares">
      <calculatedColumnFormula>((ARTICULOS_VENEZOLANO[[#This Row],[P. Compra]]*(1+ARTICULOS_VENEZOLANO[[#This Row],[IVA]]))/ARTICULOS_VENEZOLANO[[#This Row],[UnidFact]])+ARTICULOS_VENEZOLANO[[#This Row],[Flete]]</calculatedColumnFormula>
    </tableColumn>
    <tableColumn id="46" xr3:uid="{953A8897-4C4C-4BC5-9C24-81453CF48408}" name="Util" dataDxfId="1053" dataCellStyle="Millares"/>
    <tableColumn id="16" xr3:uid="{7925EFAB-227B-4713-8F77-D022138ADE97}" name="Precio" dataDxfId="1052" dataCellStyle="Neutral">
      <calculatedColumnFormula>IF(J2&gt;=5,MROUND(J2/(1-K2/100),100),50)</calculatedColumnFormula>
    </tableColumn>
    <tableColumn id="17" xr3:uid="{457887A6-E91C-41A8-9460-6D9DF0817E2C}" name="Precio2" dataDxfId="1051" dataCellStyle="60% - Énfasis4">
      <calculatedColumnFormula>MROUND((ARTICULOS_VENEZOLANO[[#This Row],[Precio]]/0.6),50)</calculatedColumnFormula>
    </tableColumn>
    <tableColumn id="6" xr3:uid="{D9A3C988-B052-4E6D-A030-5A1DC594ADF7}" name="Proveedor" dataDxfId="1050"/>
    <tableColumn id="7" xr3:uid="{48D0AF8B-957A-40FE-A852-4738DFBB9828}" name="Rubro" dataDxfId="1049"/>
    <tableColumn id="8" xr3:uid="{7BF4C6B3-281C-40F9-AD7C-916174F5D9CA}" name="Categoria" dataDxfId="1048"/>
    <tableColumn id="9" xr3:uid="{A337697B-3414-4459-9111-3EBF0249E4BB}" name="Marca" dataDxfId="1047"/>
    <tableColumn id="11" xr3:uid="{9AB4542E-BCB3-49E1-AD06-F20FE220705D}" name="PorKg" dataDxfId="1046"/>
    <tableColumn id="12" xr3:uid="{2FB5FC11-9B42-45E8-BD8B-5474F2066AD2}" name="CantidadEti" dataDxfId="1045"/>
    <tableColumn id="21" xr3:uid="{0DC46BF7-35C3-4C15-A412-8E667CA69043}" name="ControlStk" dataDxfId="1044" dataCellStyle="Millares"/>
    <tableColumn id="25" xr3:uid="{CC52BA8E-3273-4757-B508-2C0408EAA460}" name="Minimo" dataDxfId="1043" dataCellStyle="Millares"/>
    <tableColumn id="26" xr3:uid="{2E68CE39-746E-46AD-8AB7-77FDC6F424CE}" name="Maximo" dataDxfId="1042" dataCellStyle="Millares">
      <calculatedColumnFormula>ARTICULOS_VENEZOLANO[[#This Row],[Bulto]]+ARTICULOS_VENEZOLANO[[#This Row],[Minimo]]</calculatedColumnFormula>
    </tableColumn>
    <tableColumn id="4" xr3:uid="{9DB42577-C020-495D-97DB-2F1D589AAEB2}" name="Stock" dataDxfId="1041"/>
    <tableColumn id="10" xr3:uid="{5E915E02-A113-4F1C-A3D8-3A9FA7A58834}" name="Pedido Unidad" dataDxfId="1040">
      <calculatedColumnFormula>IF(ARTICULOS_VENEZOLANO[[#This Row],[Stock]]&lt;ARTICULOS_VENEZOLANO[[#This Row],[Minimo]],ARTICULOS_VENEZOLANO[[#This Row],[Maximo]]-ARTICULOS_VENEZOLANO[[#This Row],[Stock]],0)</calculatedColumnFormula>
    </tableColumn>
    <tableColumn id="43" xr3:uid="{F44BACE0-14E6-417F-8A70-AB35C4AE23D2}" name="Pedido Bultos" dataDxfId="1039">
      <calculatedColumnFormula>MROUND(ARTICULOS_VENEZOLANO[[#This Row],[Pedido Unidad]]/ARTICULOS_VENEZOLANO[[#This Row],[Bulto]],1)</calculatedColumnFormula>
    </tableColumn>
    <tableColumn id="24" xr3:uid="{14BB8E46-118D-463A-8DE4-468C3B5F66E9}" name="Bulto" dataDxfId="1038" dataCellStyle="Millares"/>
    <tableColumn id="19" xr3:uid="{FEC134C1-FBE6-44C5-B563-F661B43EFF19}" name="UnidFact" dataDxfId="1037" dataCellStyle="Millares"/>
    <tableColumn id="22" xr3:uid="{81B18085-2E7F-4AB8-8816-039A2F459178}" name="Total Pedido" dataDxfId="1036">
      <calculatedColumnFormula>ARTICULOS_VENEZOLANO[[#This Row],[Costo]]*ARTICULOS_VENEZOLANO[[#This Row],[Bulto]]*ARTICULOS_VENEZOLANO[[#This Row],[Pedido Bultos]]</calculatedColumnFormula>
    </tableColumn>
    <tableColumn id="23" xr3:uid="{371CBA3F-5FDF-4CF9-9C5E-79EAE27AFFC8}" name="Ingresos" dataDxfId="1035"/>
    <tableColumn id="27" xr3:uid="{88D4E574-1347-4436-8D56-534864FC8D64}" name="Salidas" dataDxfId="1034"/>
    <tableColumn id="28" xr3:uid="{443EB1FB-847F-4128-B83E-DAAD6EAF0749}" name="AlertaVencimiento" dataDxfId="1033"/>
    <tableColumn id="29" xr3:uid="{957BA873-540C-4C84-B4EE-1894114D8C11}" name="FechaVenc" dataDxfId="1032"/>
    <tableColumn id="30" xr3:uid="{EBA40602-504D-460A-832D-DCC9A3661527}" name="DiasVenc" dataDxfId="1031"/>
    <tableColumn id="31" xr3:uid="{D2F49C11-08B6-4CF2-95C9-F51511A60DBC}" name="AlertaFechaVenc" dataDxfId="1030">
      <calculatedColumnFormula>IF(AND(ARTICULOS_VENEZOLANO[[#This Row],[FechaVenc]]=0,ARTICULOS_VENEZOLANO[[#This Row],[DiasVenc]]=0),"",ARTICULOS_VENEZOLANO[[#This Row],[FechaVenc]]-ARTICULOS_VENEZOLANO[[#This Row],[DiasVenc]])</calculatedColumnFormula>
    </tableColumn>
    <tableColumn id="32" xr3:uid="{E36D33F4-A53A-4FA4-B242-4B714989A2DC}" name="Oferta" dataDxfId="1029"/>
    <tableColumn id="33" xr3:uid="{703EE8F4-07B6-464D-8B1E-D135D2071039}" name="StockOferta" dataDxfId="1028"/>
    <tableColumn id="34" xr3:uid="{D2DBF2DB-2C17-45B7-BCCF-FFA081A2BF59}" name="OfertaDesde" dataDxfId="1027"/>
    <tableColumn id="35" xr3:uid="{24DB7853-A63C-470C-95EC-FDAAD7C7839F}" name="OfertaHasta" dataDxfId="1026"/>
    <tableColumn id="37" xr3:uid="{E6FD5A24-627B-49C5-BD34-2C9B1BD57732}" name="Precio10" dataDxfId="1025"/>
    <tableColumn id="38" xr3:uid="{BA29069F-FEE0-42A9-B8B9-0FE75A5DA8B6}" name="Precio_fijo" dataDxfId="1024"/>
    <tableColumn id="39" xr3:uid="{960381EF-5A88-493E-B557-68A534B52099}" name="Anulado" dataDxfId="1023"/>
    <tableColumn id="40" xr3:uid="{4DB72A20-7449-4B46-84D4-AC385CC03B66}" name="IB" dataDxfId="1022"/>
    <tableColumn id="41" xr3:uid="{1F5BB8F4-F041-48A1-9D8D-4AFC46527AAB}" name="UnidadEti" dataDxfId="10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5A5D79-E416-4677-8A96-E8C752DF4CE3}" name="ARTICULOS_HCLASVEGAS" displayName="ARTICULOS_HCLASVEGAS" ref="A1:AQ59" totalsRowShown="0" headerRowDxfId="1020" dataDxfId="1019">
  <autoFilter ref="A1:AQ59" xr:uid="{E53924AA-58EF-4F90-9C85-271BB3E0A626}"/>
  <sortState xmlns:xlrd2="http://schemas.microsoft.com/office/spreadsheetml/2017/richdata2" ref="A2:Z59">
    <sortCondition ref="U2:U59"/>
    <sortCondition ref="E2:E59"/>
  </sortState>
  <tableColumns count="43">
    <tableColumn id="1" xr3:uid="{FAB936FA-CA4C-4021-9938-5D031EB645A4}" name="Codigo" dataDxfId="1018"/>
    <tableColumn id="42" xr3:uid="{C3B37570-4DD3-430E-81FA-E43E2F7F2196}" name="CodigoProveedor" dataDxfId="1017"/>
    <tableColumn id="36" xr3:uid="{0D6E0419-2CAE-42B8-8AF9-F19AC00E3641}" name="SKU" dataDxfId="1016">
      <calculatedColumnFormula>CONCATENATE(LEFT(T2,3),RIGHT(A2,8))</calculatedColumnFormula>
    </tableColumn>
    <tableColumn id="2" xr3:uid="{0076003C-575D-40B7-9572-83DE27E1E325}" name="PLU" dataDxfId="1015"/>
    <tableColumn id="3" xr3:uid="{AD6F6CA8-DAB5-4D06-8401-A7FFA062FC41}" name="Descripcion" dataDxfId="1014"/>
    <tableColumn id="18" xr3:uid="{481F070D-2095-43F1-89D6-793D31F6CE0F}" name="P. Compra" dataDxfId="1013" dataCellStyle="Entrada"/>
    <tableColumn id="14" xr3:uid="{B51DB052-F345-4EA3-9B2F-4F8338C21F06}" name="IVA" dataDxfId="1012" dataCellStyle="Porcentaje"/>
    <tableColumn id="15" xr3:uid="{29D5550F-99D0-4063-8632-E59A8A80A649}" name="ImpInt" dataDxfId="1011" dataCellStyle="Millares"/>
    <tableColumn id="24" xr3:uid="{82DA5152-642A-4992-BA09-59A45650D42A}" name="Bulto" dataDxfId="1010" dataCellStyle="Millares"/>
    <tableColumn id="20" xr3:uid="{B044D15B-29B1-4C23-98C9-80F5686EF5D3}" name="UnidFact"/>
    <tableColumn id="19" xr3:uid="{6FA3AE8C-58E1-4DA0-98C6-E9E45CF681B3}" name="CostoFlete"/>
    <tableColumn id="13" xr3:uid="{55680915-8A3C-4ED8-A4E7-F12C0A0106B2}" name="Costo" dataDxfId="1009" dataCellStyle="Énfasis6">
      <calculatedColumnFormula>((ARTICULOS_HCLASVEGAS[[#This Row],[P. Compra]]*(1+ARTICULOS_HCLASVEGAS[[#This Row],[IVA]]))/ARTICULOS_HCLASVEGAS[[#This Row],[UnidFact]])+ARTICULOS_HCLASVEGAS[[#This Row],[CostoFlete]]</calculatedColumnFormula>
    </tableColumn>
    <tableColumn id="46" xr3:uid="{E2AA15F2-1ECC-4B32-9B89-4CD93C5B4C73}" name="Util" dataDxfId="1008" dataCellStyle="Millares"/>
    <tableColumn id="16" xr3:uid="{284F5789-450F-4EB6-A8E0-67D216449395}" name="Precio" dataDxfId="1007" dataCellStyle="Neutral">
      <calculatedColumnFormula>IF(L2&gt;=5,MROUND(L2/(1-M2/100),100),50)</calculatedColumnFormula>
    </tableColumn>
    <tableColumn id="17" xr3:uid="{BC78FB41-BB35-4BDA-9DBB-361CCF2FA41D}" name="Precio2" dataDxfId="1006" dataCellStyle="Millares">
      <calculatedColumnFormula>MROUND((ARTICULOS_HCLASVEGAS[[#This Row],[Precio]]/0.6),50)</calculatedColumnFormula>
    </tableColumn>
    <tableColumn id="21" xr3:uid="{12927613-4B25-48BB-B3F4-2600CF1C2FF0}" name="ControlStk" dataDxfId="1005" dataCellStyle="Millares"/>
    <tableColumn id="25" xr3:uid="{23D73CEE-A2EF-4A57-AB44-A44263E189F7}" name="Minimo" dataDxfId="1004" dataCellStyle="Millares"/>
    <tableColumn id="26" xr3:uid="{8407CAF1-DB9D-4C9E-A01C-8E6929783B29}" name="Maximo" dataDxfId="1003" dataCellStyle="Millares">
      <calculatedColumnFormula>ARTICULOS_HCLASVEGAS[[#This Row],[Bulto]]+ARTICULOS_HCLASVEGAS[[#This Row],[Minimo]]</calculatedColumnFormula>
    </tableColumn>
    <tableColumn id="6" xr3:uid="{40ED55F6-A4A9-4205-9C0A-1094B5213DC5}" name="Proveedor" dataDxfId="1002"/>
    <tableColumn id="7" xr3:uid="{E396AA8E-1A2F-4AB2-813D-358400461518}" name="Rubro" dataDxfId="1001"/>
    <tableColumn id="8" xr3:uid="{F17BD008-C242-43CC-BDA2-765A872F9480}" name="Categoria" dataDxfId="1000"/>
    <tableColumn id="9" xr3:uid="{854E81FE-6ECE-4476-BEF0-A65CF79E67AC}" name="Marca" dataDxfId="999"/>
    <tableColumn id="11" xr3:uid="{06D7FD65-3EA1-4A11-BFE0-0A1F575A0B44}" name="PorKg" dataDxfId="998"/>
    <tableColumn id="12" xr3:uid="{4578D258-1109-419B-83EF-B473D41FBA13}" name="CantidadEti" dataDxfId="997"/>
    <tableColumn id="30" xr3:uid="{1B55523E-C534-4211-9653-27B1F8B7519A}" name="Stock" dataDxfId="996"/>
    <tableColumn id="31" xr3:uid="{A36FF81F-31F9-4430-8885-A4EA2DCA19D9}" name="StockReal" dataDxfId="995"/>
    <tableColumn id="4" xr3:uid="{3B10320C-591F-44DE-88AE-3A28A6B6BD58}" name="Pedido" dataDxfId="994"/>
    <tableColumn id="5" xr3:uid="{F4DE6949-1147-454C-B065-342C91AF7A14}" name="Total Pedido" dataDxfId="993">
      <calculatedColumnFormula>ARTICULOS_HCLASVEGAS[[#This Row],[Costo]]*ARTICULOS_HCLASVEGAS[[#This Row],[Pedido]]</calculatedColumnFormula>
    </tableColumn>
    <tableColumn id="10" xr3:uid="{31415DB0-BEC8-4192-9BEC-D96BD40B8D45}" name="Ingresos" dataDxfId="992"/>
    <tableColumn id="22" xr3:uid="{DD2874F9-C9F4-41A6-BCAF-CFBD1F4A82F1}" name="Salidas" dataDxfId="991"/>
    <tableColumn id="23" xr3:uid="{3EC9335E-88CC-42D3-A012-E5221B9F8D60}" name="AlertaVencimiento" dataDxfId="990"/>
    <tableColumn id="27" xr3:uid="{7B2DE5D1-92B1-46BB-B85E-10247E1D950B}" name="FechaVenc" dataDxfId="989"/>
    <tableColumn id="28" xr3:uid="{E45A4555-62D8-4641-8A33-6324C553C04C}" name="DiasVenc" dataDxfId="988"/>
    <tableColumn id="29" xr3:uid="{08C46648-FFC2-46FA-8D91-6E24C363D993}" name="AlertaFechaVenc" dataDxfId="987">
      <calculatedColumnFormula>IF(AND(ARTICULOS_HCLASVEGAS[[#This Row],[FechaVenc]]=0,ARTICULOS_HCLASVEGAS[[#This Row],[DiasVenc]]=0),"",ARTICULOS_HCLASVEGAS[[#This Row],[FechaVenc]]-ARTICULOS_HCLASVEGAS[[#This Row],[DiasVenc]])</calculatedColumnFormula>
    </tableColumn>
    <tableColumn id="32" xr3:uid="{7ED6CEE6-79A8-4A75-8C53-BA7878DBEDF0}" name="Oferta" dataDxfId="986"/>
    <tableColumn id="33" xr3:uid="{7252A1A3-74A5-48D3-A40D-DABA2D364C93}" name="StockOferta" dataDxfId="985"/>
    <tableColumn id="34" xr3:uid="{9AEA6CC2-C396-4254-9416-34158FC4EA54}" name="OfertaDesde" dataDxfId="984"/>
    <tableColumn id="35" xr3:uid="{F13768C9-5BEE-441C-8449-DAE0E3D90F5A}" name="OfertaHasta" dataDxfId="983"/>
    <tableColumn id="37" xr3:uid="{E0ACD44F-97B8-4EDF-BBBB-97445AEE7AA7}" name="Precio10" dataDxfId="982"/>
    <tableColumn id="38" xr3:uid="{38B0919A-C680-437F-94FE-B40A0D8D2D8C}" name="Precio_fijo" dataDxfId="981"/>
    <tableColumn id="39" xr3:uid="{570A47E6-E6A4-4A7F-9CAF-C144AC09EB57}" name="Anulado" dataDxfId="980"/>
    <tableColumn id="40" xr3:uid="{D38FE3C0-154A-417C-8FD3-B4F33C5D2C91}" name="IB" dataDxfId="979"/>
    <tableColumn id="41" xr3:uid="{1D1A989A-6C8F-4FCB-9973-CCD4C77DFA3C}" name="UnidadEti" dataDxfId="9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41AEEC5-619C-4630-AB8B-636343D6E663}" name="ARTICULOS_SPEED" displayName="ARTICULOS_SPEED" ref="A1:AQ17" totalsRowShown="0" headerRowDxfId="977" dataDxfId="976">
  <autoFilter ref="A1:AQ17" xr:uid="{E53924AA-58EF-4F90-9C85-271BB3E0A626}"/>
  <sortState xmlns:xlrd2="http://schemas.microsoft.com/office/spreadsheetml/2017/richdata2" ref="A2:Z13">
    <sortCondition ref="S1:S13"/>
  </sortState>
  <tableColumns count="43">
    <tableColumn id="1" xr3:uid="{AF7057B8-B52F-49C4-B22A-922D14C17E58}" name="Codigo" dataDxfId="975"/>
    <tableColumn id="42" xr3:uid="{AEC29AF6-2EDF-4C0E-8A7B-E0A4AE1099CC}" name="CodigoProveedor" dataDxfId="974"/>
    <tableColumn id="36" xr3:uid="{384374C8-DA7B-4D9A-964A-6C037EDD0C7A}" name="SKU" dataDxfId="973">
      <calculatedColumnFormula>CONCATENATE(LEFT(T2,3),RIGHT(A2,8))</calculatedColumnFormula>
    </tableColumn>
    <tableColumn id="2" xr3:uid="{756235FA-AEFF-4428-8454-A0421B718712}" name="PLU" dataDxfId="972"/>
    <tableColumn id="3" xr3:uid="{CD386C09-F3C6-4056-B85F-76EE8B6BB7CE}" name="Descripcion" dataDxfId="971"/>
    <tableColumn id="18" xr3:uid="{C5435E76-A700-4E89-A601-C5500FDAED0E}" name="P. Compra" dataDxfId="970" dataCellStyle="Entrada"/>
    <tableColumn id="14" xr3:uid="{BACE4B7E-AF38-4849-81FD-819B36063B56}" name="IVA" dataDxfId="969" dataCellStyle="Porcentaje"/>
    <tableColumn id="15" xr3:uid="{D4B9DBFA-A99F-4F05-B0A6-580467ECDD89}" name="ImpInt" dataDxfId="968" dataCellStyle="Millares"/>
    <tableColumn id="24" xr3:uid="{D6098DC9-A02C-408F-AA8D-879F472048FA}" name="Bulto" dataDxfId="967" dataCellStyle="Millares"/>
    <tableColumn id="20" xr3:uid="{131CC631-4552-4581-B877-F5C817C1125A}" name="UnidFact" dataDxfId="966"/>
    <tableColumn id="19" xr3:uid="{AD523E6A-9876-4577-84DE-4591636A128C}" name="CostoFlete"/>
    <tableColumn id="13" xr3:uid="{D455A3CB-2BC9-43FC-8A02-9EAE92D1F715}" name="Costo" dataDxfId="965" dataCellStyle="Énfasis6">
      <calculatedColumnFormula>((ARTICULOS_SPEED[[#This Row],[P. Compra]]*(1+ARTICULOS_SPEED[[#This Row],[IVA]]))/ARTICULOS_SPEED[[#This Row],[UnidFact]])+ARTICULOS_SPEED[[#This Row],[CostoFlete]]</calculatedColumnFormula>
    </tableColumn>
    <tableColumn id="46" xr3:uid="{B94D4991-C4A3-4118-8E3A-98C9D8D008CA}" name="Util" dataDxfId="964" dataCellStyle="Millares"/>
    <tableColumn id="16" xr3:uid="{1CE2D0E2-AB28-4AE8-A9CC-7A6A8CA7E0DD}" name="Precio" dataDxfId="963" dataCellStyle="Neutral">
      <calculatedColumnFormula>IF(L2&gt;=5,MROUND(L2/(1-M2/100),100),100)</calculatedColumnFormula>
    </tableColumn>
    <tableColumn id="17" xr3:uid="{141F75CB-B21A-497D-9C83-D6A24772B3A3}" name="Precio2" dataDxfId="962" dataCellStyle="Millares">
      <calculatedColumnFormula>MROUND((ARTICULOS_SPEED[[#This Row],[Precio]]/0.6),10)</calculatedColumnFormula>
    </tableColumn>
    <tableColumn id="21" xr3:uid="{628D9EBF-579C-4DD4-B618-848478C3F5C7}" name="ControlStk" dataDxfId="961" dataCellStyle="Millares"/>
    <tableColumn id="25" xr3:uid="{A37AF9CF-0B9A-42F4-9E1A-A602EEA818B3}" name="Minimo" dataDxfId="960" dataCellStyle="Millares"/>
    <tableColumn id="26" xr3:uid="{0DCD07A4-E39C-483D-903C-CDC511EB65EE}" name="Maximo" dataDxfId="959" dataCellStyle="Millares">
      <calculatedColumnFormula>ARTICULOS_SPEED[[#This Row],[Bulto]]+ARTICULOS_SPEED[[#This Row],[Minimo]]</calculatedColumnFormula>
    </tableColumn>
    <tableColumn id="6" xr3:uid="{C276D70B-B87D-4D8B-AD9C-A08AED1E29F6}" name="Proveedor" dataDxfId="958"/>
    <tableColumn id="7" xr3:uid="{5A2CD5B4-CFF4-47B6-A576-A59FFA9BB94C}" name="Rubro" dataDxfId="957"/>
    <tableColumn id="8" xr3:uid="{79A1F8A3-30BA-4E6A-BC53-17D2CD5DAE87}" name="Categoria" dataDxfId="956"/>
    <tableColumn id="9" xr3:uid="{B9234413-2CC8-4F71-BC7D-AC7009BF46B1}" name="Marca" dataDxfId="955"/>
    <tableColumn id="11" xr3:uid="{83E3865B-A2FB-4E6E-94E1-0936E6FC6353}" name="PorKg" dataDxfId="954"/>
    <tableColumn id="12" xr3:uid="{9CBF315A-CBD9-46E7-8C61-2D1FA1155918}" name="CantidadEti" dataDxfId="953"/>
    <tableColumn id="23" xr3:uid="{3AE6D7BF-3A4A-4934-B88F-72F68269052D}" name="Stock" dataDxfId="952" dataCellStyle="Millares"/>
    <tableColumn id="10" xr3:uid="{5F7C38D6-24B7-47C3-982D-DEB457E6DCEC}" name="StockReal" dataDxfId="951"/>
    <tableColumn id="4" xr3:uid="{654135F1-C718-4D25-98C7-827D0D358C6D}" name="Pedido" dataDxfId="950"/>
    <tableColumn id="5" xr3:uid="{2C026FA2-77ED-40F7-87AE-09C86887480C}" name="Total Pedido" dataDxfId="949">
      <calculatedColumnFormula>ARTICULOS_SPEED[[#This Row],[Costo]]*ARTICULOS_SPEED[[#This Row],[Pedido]]</calculatedColumnFormula>
    </tableColumn>
    <tableColumn id="22" xr3:uid="{E65A76AF-A50F-4EA7-9E67-0B3E9961A1AD}" name="Ingresos" dataDxfId="948"/>
    <tableColumn id="27" xr3:uid="{A34DC9F0-74E3-443F-80F6-F1385A76CD6A}" name="Salidas" dataDxfId="947"/>
    <tableColumn id="28" xr3:uid="{59CAC5AA-0E33-4444-B7BE-891F14A2C3A8}" name="AlertaVencimiento" dataDxfId="946"/>
    <tableColumn id="29" xr3:uid="{4BD68AAF-664A-407D-A6F9-A2952B3E671E}" name="FechaVenc" dataDxfId="945"/>
    <tableColumn id="30" xr3:uid="{E5D81AA1-7DAF-4C00-B317-1F734F48E781}" name="DiasVenc" dataDxfId="944"/>
    <tableColumn id="31" xr3:uid="{0EB9FC5A-3E9B-4579-947D-0ACF902CCEE4}" name="AlertaFechaVenc" dataDxfId="943">
      <calculatedColumnFormula>IF(AND(ARTICULOS_SPEED[[#This Row],[FechaVenc]]=0,ARTICULOS_SPEED[[#This Row],[DiasVenc]]=0),"",ARTICULOS_SPEED[[#This Row],[FechaVenc]]-ARTICULOS_SPEED[[#This Row],[DiasVenc]])</calculatedColumnFormula>
    </tableColumn>
    <tableColumn id="32" xr3:uid="{AAC99EB7-E15C-4C31-99E6-37403EEEDFFC}" name="Oferta" dataDxfId="942"/>
    <tableColumn id="33" xr3:uid="{744B608B-872C-493C-91BD-ADAF3BE867A5}" name="StockOferta" dataDxfId="941"/>
    <tableColumn id="34" xr3:uid="{4DAF0D94-B8CF-40F3-A7DC-5BC5DB6C0765}" name="OfertaDesde" dataDxfId="940"/>
    <tableColumn id="35" xr3:uid="{8378C5EA-258F-4307-B3E2-78B3106880CB}" name="OfertaHasta" dataDxfId="939"/>
    <tableColumn id="37" xr3:uid="{A287D678-D4F5-4397-8DEF-1E890E4E89D8}" name="Precio10" dataDxfId="938"/>
    <tableColumn id="38" xr3:uid="{7E374159-C83A-4732-9A75-0E0037C03645}" name="Precio_fijo" dataDxfId="937"/>
    <tableColumn id="39" xr3:uid="{49E58667-8E4F-4E73-A4B6-D0A3E0FF112B}" name="Anulado" dataDxfId="936"/>
    <tableColumn id="40" xr3:uid="{790CBC33-D009-46BD-BBA0-F8734E2CFAAA}" name="IB" dataDxfId="935"/>
    <tableColumn id="41" xr3:uid="{62286AC2-1FC0-4A8F-990A-B07739E12428}" name="UnidadEti" dataDxfId="9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55CBDA8-30FC-43F2-AE20-AB88770F2C7A}" name="ARTICULOS_AGUANORT" displayName="ARTICULOS_AGUANORT" ref="A1:AQ60" totalsRowShown="0" headerRowDxfId="933" dataDxfId="932">
  <autoFilter ref="A1:AQ60" xr:uid="{E53924AA-58EF-4F90-9C85-271BB3E0A626}"/>
  <sortState xmlns:xlrd2="http://schemas.microsoft.com/office/spreadsheetml/2017/richdata2" ref="A2:X58">
    <sortCondition ref="T2:T58"/>
    <sortCondition ref="E2:E58"/>
  </sortState>
  <tableColumns count="43">
    <tableColumn id="1" xr3:uid="{E89F7704-5EBA-427B-A288-9A35E3B61DC9}" name="Codigo" dataDxfId="931"/>
    <tableColumn id="42" xr3:uid="{DBDFC515-0063-4BF1-9F70-85E466DDB114}" name="CodigoProveedor" dataDxfId="930"/>
    <tableColumn id="36" xr3:uid="{F54460E4-7648-4675-89C0-DB6B5EF0B6D0}" name="SKU" dataDxfId="929">
      <calculatedColumnFormula>CONCATENATE(LEFT(T2,3),RIGHT(A2,8))</calculatedColumnFormula>
    </tableColumn>
    <tableColumn id="2" xr3:uid="{A085AE5C-8ADB-4A42-BD04-B923940E93CA}" name="PLU" dataDxfId="928"/>
    <tableColumn id="3" xr3:uid="{259C1480-BF6A-4093-92AF-0E92D3A13C23}" name="Descripcion" dataDxfId="927"/>
    <tableColumn id="18" xr3:uid="{C14173FC-BD57-4D48-8BEC-3422751B890C}" name="P. Compra" dataDxfId="926" dataCellStyle="Entrada"/>
    <tableColumn id="14" xr3:uid="{1B3B42F2-E965-40F2-86E4-BE57DFB7EA82}" name="IVA" dataDxfId="925" dataCellStyle="Porcentaje"/>
    <tableColumn id="15" xr3:uid="{E981975F-F258-4452-BE8D-5A27531A3B3B}" name="ImpInt" dataDxfId="924" dataCellStyle="Millares"/>
    <tableColumn id="24" xr3:uid="{29161A60-324F-4B99-8D7C-29A086D71E90}" name="Bulto" dataDxfId="923" dataCellStyle="Millares"/>
    <tableColumn id="20" xr3:uid="{0A870A07-A9D3-436F-8CA3-ECF53ED5F575}" name="UnidFact"/>
    <tableColumn id="19" xr3:uid="{CF29B379-88CD-4DD3-B602-B06C29AC9AEC}" name="CostoFlete"/>
    <tableColumn id="13" xr3:uid="{A98EC4B6-AAF4-4584-9947-028E9CD532C2}" name="Costo" dataDxfId="922" dataCellStyle="Énfasis6">
      <calculatedColumnFormula>((ARTICULOS_AGUANORT[[#This Row],[P. Compra]]*(1+ARTICULOS_AGUANORT[[#This Row],[IVA]]))/ARTICULOS_AGUANORT[[#This Row],[UnidFact]])+ARTICULOS_AGUANORT[[#This Row],[CostoFlete]]</calculatedColumnFormula>
    </tableColumn>
    <tableColumn id="46" xr3:uid="{D814A539-14E7-47A3-8022-4C8873174221}" name="Util" dataDxfId="921" dataCellStyle="Millares"/>
    <tableColumn id="16" xr3:uid="{2885AB2D-0455-47ED-9AEC-B19168946309}" name="Precio" dataDxfId="920" dataCellStyle="Neutral">
      <calculatedColumnFormula>IF(L2&gt;=5,MROUND(L2/(1-M2/100),100),100)</calculatedColumnFormula>
    </tableColumn>
    <tableColumn id="17" xr3:uid="{6CB7C97B-8D30-4000-B37D-42709664F605}" name="Precio2" dataDxfId="919" dataCellStyle="Millares">
      <calculatedColumnFormula>MROUND((ARTICULOS_AGUANORT[[#This Row],[Precio]]/0.6),10)</calculatedColumnFormula>
    </tableColumn>
    <tableColumn id="21" xr3:uid="{95EDFFCB-CF3D-4827-A385-428F57AE9D56}" name="ControlStk" dataDxfId="918" dataCellStyle="Millares"/>
    <tableColumn id="25" xr3:uid="{853C942B-D6CD-4F8F-9131-738E64DBC70D}" name="Minimo" dataDxfId="917" dataCellStyle="Millares"/>
    <tableColumn id="26" xr3:uid="{E4931995-AB3A-4901-BA18-A1D8CB0800D0}" name="Maximo" dataDxfId="916" dataCellStyle="Millares">
      <calculatedColumnFormula>ARTICULOS_AGUANORT[[#This Row],[Bulto]]+ARTICULOS_AGUANORT[[#This Row],[Minimo]]</calculatedColumnFormula>
    </tableColumn>
    <tableColumn id="6" xr3:uid="{918BE9C3-A63D-4E50-A974-7C3E30560AA8}" name="Proveedor" dataDxfId="915"/>
    <tableColumn id="7" xr3:uid="{A26C425C-7A49-4479-B73E-1AE38C688765}" name="Rubro" dataDxfId="914"/>
    <tableColumn id="8" xr3:uid="{DF910CE0-17CD-43CF-9ED2-2B4A367A0C7E}" name="Categoria" dataDxfId="913"/>
    <tableColumn id="9" xr3:uid="{FCDBD770-E8C9-43E1-BEC0-E651C4308B6E}" name="Marca" dataDxfId="912"/>
    <tableColumn id="11" xr3:uid="{6E485EAD-5C97-4A3E-84B3-49BD3AA37510}" name="PorKg" dataDxfId="911"/>
    <tableColumn id="12" xr3:uid="{F9CD2D51-1710-4C3D-A917-00ACF2F0A493}" name="CantidadEti" dataDxfId="910"/>
    <tableColumn id="22" xr3:uid="{2D35DF69-2C23-4018-BD67-43F3615E7790}" name="Stock" dataDxfId="909"/>
    <tableColumn id="23" xr3:uid="{80F9ED4F-EF66-432C-91EA-F216974975AC}" name="StockReal" dataDxfId="908"/>
    <tableColumn id="4" xr3:uid="{D3B7FC38-1E37-465E-AC21-B667FAF00A35}" name="Pedido" dataDxfId="907"/>
    <tableColumn id="5" xr3:uid="{F14BBFBD-EED3-44DA-BED8-78FDB8C16943}" name="Total Pedido" dataDxfId="906">
      <calculatedColumnFormula>ARTICULOS_AGUANORT[[#This Row],[Costo]]*ARTICULOS_AGUANORT[[#This Row],[Pedido]]</calculatedColumnFormula>
    </tableColumn>
    <tableColumn id="10" xr3:uid="{761FBE67-F2AA-40A5-A99F-C55CD5953F40}" name="Ingresos" dataDxfId="905"/>
    <tableColumn id="27" xr3:uid="{4741FA8D-8321-4D66-B356-4EDA7A1D4D0C}" name="Salidas" dataDxfId="904"/>
    <tableColumn id="28" xr3:uid="{193990E6-9665-4423-8CAD-1BBF0F257DC2}" name="AlertaVencimiento" dataDxfId="903"/>
    <tableColumn id="29" xr3:uid="{A7A0D89D-BF00-4685-84FD-E2FFF92E6FF3}" name="FechaVenc" dataDxfId="902"/>
    <tableColumn id="30" xr3:uid="{F3A3B23D-E3BC-4606-9216-7E47F83A1809}" name="DiasVenc" dataDxfId="901"/>
    <tableColumn id="31" xr3:uid="{D48AF97B-948A-4D35-BCA0-C57CC8C86879}" name="AlertaFechaVenc" dataDxfId="900">
      <calculatedColumnFormula>IF(AND(ARTICULOS_AGUANORT[[#This Row],[FechaVenc]]=0,ARTICULOS_AGUANORT[[#This Row],[DiasVenc]]=0),"",ARTICULOS_AGUANORT[[#This Row],[FechaVenc]]-ARTICULOS_AGUANORT[[#This Row],[DiasVenc]])</calculatedColumnFormula>
    </tableColumn>
    <tableColumn id="32" xr3:uid="{D6A2797B-C509-4C04-A9D0-B402536FE9F7}" name="Oferta" dataDxfId="899"/>
    <tableColumn id="33" xr3:uid="{210DDF11-B09B-40F4-80C4-AF6EFED5B6CB}" name="StockOferta" dataDxfId="898"/>
    <tableColumn id="34" xr3:uid="{FA7DFD79-6C56-49A3-8A41-93DFA05A8ED4}" name="OfertaDesde" dataDxfId="897"/>
    <tableColumn id="35" xr3:uid="{8A72F02F-F454-4B9E-99F2-0C73D4814F44}" name="OfertaHasta" dataDxfId="896"/>
    <tableColumn id="37" xr3:uid="{C0791231-453D-4650-8BB0-3606874B7411}" name="Precio10" dataDxfId="895"/>
    <tableColumn id="38" xr3:uid="{7AC4E194-822D-4BD1-9F73-D17C30B3C31C}" name="Precio_fijo" dataDxfId="894"/>
    <tableColumn id="39" xr3:uid="{168B420A-E3EF-483E-BD0B-5A7A86A38D43}" name="Anulado" dataDxfId="893"/>
    <tableColumn id="40" xr3:uid="{666B50BE-36D6-4460-A6BC-2CE56B5E86D7}" name="IB" dataDxfId="892"/>
    <tableColumn id="41" xr3:uid="{FEE7D5CF-33A6-4279-BB91-41A4C4D98E35}" name="UnidadEti" dataDxfId="8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D514-9DF9-4427-9F57-078F2D4E46B5}">
  <dimension ref="A1:C9429"/>
  <sheetViews>
    <sheetView showRuler="0" topLeftCell="A3013" zoomScaleNormal="100" workbookViewId="0">
      <selection activeCell="A3041" sqref="A3041"/>
    </sheetView>
  </sheetViews>
  <sheetFormatPr baseColWidth="10" defaultColWidth="11.42578125" defaultRowHeight="15" x14ac:dyDescent="0.25"/>
  <cols>
    <col min="1" max="1" width="10.85546875" style="49" customWidth="1"/>
    <col min="2" max="2" width="102.5703125" style="48" customWidth="1"/>
    <col min="3" max="3" width="15.28515625" style="70" customWidth="1"/>
    <col min="4" max="256" width="9.140625" style="48" customWidth="1"/>
    <col min="257" max="257" width="10.5703125" style="48" customWidth="1"/>
    <col min="258" max="258" width="102.5703125" style="48" customWidth="1"/>
    <col min="259" max="259" width="15.28515625" style="48" customWidth="1"/>
    <col min="260" max="512" width="9.140625" style="48" customWidth="1"/>
    <col min="513" max="513" width="10.5703125" style="48" customWidth="1"/>
    <col min="514" max="514" width="102.5703125" style="48" customWidth="1"/>
    <col min="515" max="515" width="15.28515625" style="48" customWidth="1"/>
    <col min="516" max="768" width="9.140625" style="48" customWidth="1"/>
    <col min="769" max="769" width="10.5703125" style="48" customWidth="1"/>
    <col min="770" max="770" width="102.5703125" style="48" customWidth="1"/>
    <col min="771" max="771" width="15.28515625" style="48" customWidth="1"/>
    <col min="772" max="1024" width="9.140625" style="48" customWidth="1"/>
    <col min="1025" max="1025" width="10.5703125" style="48" customWidth="1"/>
    <col min="1026" max="1026" width="102.5703125" style="48" customWidth="1"/>
    <col min="1027" max="1027" width="15.28515625" style="48" customWidth="1"/>
    <col min="1028" max="1280" width="9.140625" style="48" customWidth="1"/>
    <col min="1281" max="1281" width="10.5703125" style="48" customWidth="1"/>
    <col min="1282" max="1282" width="102.5703125" style="48" customWidth="1"/>
    <col min="1283" max="1283" width="15.28515625" style="48" customWidth="1"/>
    <col min="1284" max="1536" width="9.140625" style="48" customWidth="1"/>
    <col min="1537" max="1537" width="10.5703125" style="48" customWidth="1"/>
    <col min="1538" max="1538" width="102.5703125" style="48" customWidth="1"/>
    <col min="1539" max="1539" width="15.28515625" style="48" customWidth="1"/>
    <col min="1540" max="1792" width="9.140625" style="48" customWidth="1"/>
    <col min="1793" max="1793" width="10.5703125" style="48" customWidth="1"/>
    <col min="1794" max="1794" width="102.5703125" style="48" customWidth="1"/>
    <col min="1795" max="1795" width="15.28515625" style="48" customWidth="1"/>
    <col min="1796" max="2048" width="9.140625" style="48" customWidth="1"/>
    <col min="2049" max="2049" width="10.5703125" style="48" customWidth="1"/>
    <col min="2050" max="2050" width="102.5703125" style="48" customWidth="1"/>
    <col min="2051" max="2051" width="15.28515625" style="48" customWidth="1"/>
    <col min="2052" max="2304" width="9.140625" style="48" customWidth="1"/>
    <col min="2305" max="2305" width="10.5703125" style="48" customWidth="1"/>
    <col min="2306" max="2306" width="102.5703125" style="48" customWidth="1"/>
    <col min="2307" max="2307" width="15.28515625" style="48" customWidth="1"/>
    <col min="2308" max="2560" width="9.140625" style="48" customWidth="1"/>
    <col min="2561" max="2561" width="10.5703125" style="48" customWidth="1"/>
    <col min="2562" max="2562" width="102.5703125" style="48" customWidth="1"/>
    <col min="2563" max="2563" width="15.28515625" style="48" customWidth="1"/>
    <col min="2564" max="2816" width="9.140625" style="48" customWidth="1"/>
    <col min="2817" max="2817" width="10.5703125" style="48" customWidth="1"/>
    <col min="2818" max="2818" width="102.5703125" style="48" customWidth="1"/>
    <col min="2819" max="2819" width="15.28515625" style="48" customWidth="1"/>
    <col min="2820" max="3072" width="9.140625" style="48" customWidth="1"/>
    <col min="3073" max="3073" width="10.5703125" style="48" customWidth="1"/>
    <col min="3074" max="3074" width="102.5703125" style="48" customWidth="1"/>
    <col min="3075" max="3075" width="15.28515625" style="48" customWidth="1"/>
    <col min="3076" max="3328" width="9.140625" style="48" customWidth="1"/>
    <col min="3329" max="3329" width="10.5703125" style="48" customWidth="1"/>
    <col min="3330" max="3330" width="102.5703125" style="48" customWidth="1"/>
    <col min="3331" max="3331" width="15.28515625" style="48" customWidth="1"/>
    <col min="3332" max="3584" width="9.140625" style="48" customWidth="1"/>
    <col min="3585" max="3585" width="10.5703125" style="48" customWidth="1"/>
    <col min="3586" max="3586" width="102.5703125" style="48" customWidth="1"/>
    <col min="3587" max="3587" width="15.28515625" style="48" customWidth="1"/>
    <col min="3588" max="3840" width="9.140625" style="48" customWidth="1"/>
    <col min="3841" max="3841" width="10.5703125" style="48" customWidth="1"/>
    <col min="3842" max="3842" width="102.5703125" style="48" customWidth="1"/>
    <col min="3843" max="3843" width="15.28515625" style="48" customWidth="1"/>
    <col min="3844" max="4096" width="9.140625" style="48" customWidth="1"/>
    <col min="4097" max="4097" width="10.5703125" style="48" customWidth="1"/>
    <col min="4098" max="4098" width="102.5703125" style="48" customWidth="1"/>
    <col min="4099" max="4099" width="15.28515625" style="48" customWidth="1"/>
    <col min="4100" max="4352" width="9.140625" style="48" customWidth="1"/>
    <col min="4353" max="4353" width="10.5703125" style="48" customWidth="1"/>
    <col min="4354" max="4354" width="102.5703125" style="48" customWidth="1"/>
    <col min="4355" max="4355" width="15.28515625" style="48" customWidth="1"/>
    <col min="4356" max="4608" width="9.140625" style="48" customWidth="1"/>
    <col min="4609" max="4609" width="10.5703125" style="48" customWidth="1"/>
    <col min="4610" max="4610" width="102.5703125" style="48" customWidth="1"/>
    <col min="4611" max="4611" width="15.28515625" style="48" customWidth="1"/>
    <col min="4612" max="4864" width="9.140625" style="48" customWidth="1"/>
    <col min="4865" max="4865" width="10.5703125" style="48" customWidth="1"/>
    <col min="4866" max="4866" width="102.5703125" style="48" customWidth="1"/>
    <col min="4867" max="4867" width="15.28515625" style="48" customWidth="1"/>
    <col min="4868" max="5120" width="9.140625" style="48" customWidth="1"/>
    <col min="5121" max="5121" width="10.5703125" style="48" customWidth="1"/>
    <col min="5122" max="5122" width="102.5703125" style="48" customWidth="1"/>
    <col min="5123" max="5123" width="15.28515625" style="48" customWidth="1"/>
    <col min="5124" max="5376" width="9.140625" style="48" customWidth="1"/>
    <col min="5377" max="5377" width="10.5703125" style="48" customWidth="1"/>
    <col min="5378" max="5378" width="102.5703125" style="48" customWidth="1"/>
    <col min="5379" max="5379" width="15.28515625" style="48" customWidth="1"/>
    <col min="5380" max="5632" width="9.140625" style="48" customWidth="1"/>
    <col min="5633" max="5633" width="10.5703125" style="48" customWidth="1"/>
    <col min="5634" max="5634" width="102.5703125" style="48" customWidth="1"/>
    <col min="5635" max="5635" width="15.28515625" style="48" customWidth="1"/>
    <col min="5636" max="5888" width="9.140625" style="48" customWidth="1"/>
    <col min="5889" max="5889" width="10.5703125" style="48" customWidth="1"/>
    <col min="5890" max="5890" width="102.5703125" style="48" customWidth="1"/>
    <col min="5891" max="5891" width="15.28515625" style="48" customWidth="1"/>
    <col min="5892" max="6144" width="9.140625" style="48" customWidth="1"/>
    <col min="6145" max="6145" width="10.5703125" style="48" customWidth="1"/>
    <col min="6146" max="6146" width="102.5703125" style="48" customWidth="1"/>
    <col min="6147" max="6147" width="15.28515625" style="48" customWidth="1"/>
    <col min="6148" max="6400" width="9.140625" style="48" customWidth="1"/>
    <col min="6401" max="6401" width="10.5703125" style="48" customWidth="1"/>
    <col min="6402" max="6402" width="102.5703125" style="48" customWidth="1"/>
    <col min="6403" max="6403" width="15.28515625" style="48" customWidth="1"/>
    <col min="6404" max="6656" width="9.140625" style="48" customWidth="1"/>
    <col min="6657" max="6657" width="10.5703125" style="48" customWidth="1"/>
    <col min="6658" max="6658" width="102.5703125" style="48" customWidth="1"/>
    <col min="6659" max="6659" width="15.28515625" style="48" customWidth="1"/>
    <col min="6660" max="6912" width="9.140625" style="48" customWidth="1"/>
    <col min="6913" max="6913" width="10.5703125" style="48" customWidth="1"/>
    <col min="6914" max="6914" width="102.5703125" style="48" customWidth="1"/>
    <col min="6915" max="6915" width="15.28515625" style="48" customWidth="1"/>
    <col min="6916" max="7168" width="9.140625" style="48" customWidth="1"/>
    <col min="7169" max="7169" width="10.5703125" style="48" customWidth="1"/>
    <col min="7170" max="7170" width="102.5703125" style="48" customWidth="1"/>
    <col min="7171" max="7171" width="15.28515625" style="48" customWidth="1"/>
    <col min="7172" max="7424" width="9.140625" style="48" customWidth="1"/>
    <col min="7425" max="7425" width="10.5703125" style="48" customWidth="1"/>
    <col min="7426" max="7426" width="102.5703125" style="48" customWidth="1"/>
    <col min="7427" max="7427" width="15.28515625" style="48" customWidth="1"/>
    <col min="7428" max="7680" width="9.140625" style="48" customWidth="1"/>
    <col min="7681" max="7681" width="10.5703125" style="48" customWidth="1"/>
    <col min="7682" max="7682" width="102.5703125" style="48" customWidth="1"/>
    <col min="7683" max="7683" width="15.28515625" style="48" customWidth="1"/>
    <col min="7684" max="7936" width="9.140625" style="48" customWidth="1"/>
    <col min="7937" max="7937" width="10.5703125" style="48" customWidth="1"/>
    <col min="7938" max="7938" width="102.5703125" style="48" customWidth="1"/>
    <col min="7939" max="7939" width="15.28515625" style="48" customWidth="1"/>
    <col min="7940" max="8192" width="9.140625" style="48" customWidth="1"/>
    <col min="8193" max="8193" width="10.5703125" style="48" customWidth="1"/>
    <col min="8194" max="8194" width="102.5703125" style="48" customWidth="1"/>
    <col min="8195" max="8195" width="15.28515625" style="48" customWidth="1"/>
    <col min="8196" max="8448" width="9.140625" style="48" customWidth="1"/>
    <col min="8449" max="8449" width="10.5703125" style="48" customWidth="1"/>
    <col min="8450" max="8450" width="102.5703125" style="48" customWidth="1"/>
    <col min="8451" max="8451" width="15.28515625" style="48" customWidth="1"/>
    <col min="8452" max="8704" width="9.140625" style="48" customWidth="1"/>
    <col min="8705" max="8705" width="10.5703125" style="48" customWidth="1"/>
    <col min="8706" max="8706" width="102.5703125" style="48" customWidth="1"/>
    <col min="8707" max="8707" width="15.28515625" style="48" customWidth="1"/>
    <col min="8708" max="8960" width="9.140625" style="48" customWidth="1"/>
    <col min="8961" max="8961" width="10.5703125" style="48" customWidth="1"/>
    <col min="8962" max="8962" width="102.5703125" style="48" customWidth="1"/>
    <col min="8963" max="8963" width="15.28515625" style="48" customWidth="1"/>
    <col min="8964" max="9216" width="9.140625" style="48" customWidth="1"/>
    <col min="9217" max="9217" width="10.5703125" style="48" customWidth="1"/>
    <col min="9218" max="9218" width="102.5703125" style="48" customWidth="1"/>
    <col min="9219" max="9219" width="15.28515625" style="48" customWidth="1"/>
    <col min="9220" max="9472" width="9.140625" style="48" customWidth="1"/>
    <col min="9473" max="9473" width="10.5703125" style="48" customWidth="1"/>
    <col min="9474" max="9474" width="102.5703125" style="48" customWidth="1"/>
    <col min="9475" max="9475" width="15.28515625" style="48" customWidth="1"/>
    <col min="9476" max="9728" width="9.140625" style="48" customWidth="1"/>
    <col min="9729" max="9729" width="10.5703125" style="48" customWidth="1"/>
    <col min="9730" max="9730" width="102.5703125" style="48" customWidth="1"/>
    <col min="9731" max="9731" width="15.28515625" style="48" customWidth="1"/>
    <col min="9732" max="9984" width="9.140625" style="48" customWidth="1"/>
    <col min="9985" max="9985" width="10.5703125" style="48" customWidth="1"/>
    <col min="9986" max="9986" width="102.5703125" style="48" customWidth="1"/>
    <col min="9987" max="9987" width="15.28515625" style="48" customWidth="1"/>
    <col min="9988" max="10240" width="9.140625" style="48" customWidth="1"/>
    <col min="10241" max="10241" width="10.5703125" style="48" customWidth="1"/>
    <col min="10242" max="10242" width="102.5703125" style="48" customWidth="1"/>
    <col min="10243" max="10243" width="15.28515625" style="48" customWidth="1"/>
    <col min="10244" max="10496" width="9.140625" style="48" customWidth="1"/>
    <col min="10497" max="10497" width="10.5703125" style="48" customWidth="1"/>
    <col min="10498" max="10498" width="102.5703125" style="48" customWidth="1"/>
    <col min="10499" max="10499" width="15.28515625" style="48" customWidth="1"/>
    <col min="10500" max="10752" width="9.140625" style="48" customWidth="1"/>
    <col min="10753" max="10753" width="10.5703125" style="48" customWidth="1"/>
    <col min="10754" max="10754" width="102.5703125" style="48" customWidth="1"/>
    <col min="10755" max="10755" width="15.28515625" style="48" customWidth="1"/>
    <col min="10756" max="11008" width="9.140625" style="48" customWidth="1"/>
    <col min="11009" max="11009" width="10.5703125" style="48" customWidth="1"/>
    <col min="11010" max="11010" width="102.5703125" style="48" customWidth="1"/>
    <col min="11011" max="11011" width="15.28515625" style="48" customWidth="1"/>
    <col min="11012" max="11264" width="9.140625" style="48" customWidth="1"/>
    <col min="11265" max="11265" width="10.5703125" style="48" customWidth="1"/>
    <col min="11266" max="11266" width="102.5703125" style="48" customWidth="1"/>
    <col min="11267" max="11267" width="15.28515625" style="48" customWidth="1"/>
    <col min="11268" max="11520" width="9.140625" style="48" customWidth="1"/>
    <col min="11521" max="11521" width="10.5703125" style="48" customWidth="1"/>
    <col min="11522" max="11522" width="102.5703125" style="48" customWidth="1"/>
    <col min="11523" max="11523" width="15.28515625" style="48" customWidth="1"/>
    <col min="11524" max="11776" width="9.140625" style="48" customWidth="1"/>
    <col min="11777" max="11777" width="10.5703125" style="48" customWidth="1"/>
    <col min="11778" max="11778" width="102.5703125" style="48" customWidth="1"/>
    <col min="11779" max="11779" width="15.28515625" style="48" customWidth="1"/>
    <col min="11780" max="12032" width="9.140625" style="48" customWidth="1"/>
    <col min="12033" max="12033" width="10.5703125" style="48" customWidth="1"/>
    <col min="12034" max="12034" width="102.5703125" style="48" customWidth="1"/>
    <col min="12035" max="12035" width="15.28515625" style="48" customWidth="1"/>
    <col min="12036" max="12288" width="9.140625" style="48" customWidth="1"/>
    <col min="12289" max="12289" width="10.5703125" style="48" customWidth="1"/>
    <col min="12290" max="12290" width="102.5703125" style="48" customWidth="1"/>
    <col min="12291" max="12291" width="15.28515625" style="48" customWidth="1"/>
    <col min="12292" max="12544" width="9.140625" style="48" customWidth="1"/>
    <col min="12545" max="12545" width="10.5703125" style="48" customWidth="1"/>
    <col min="12546" max="12546" width="102.5703125" style="48" customWidth="1"/>
    <col min="12547" max="12547" width="15.28515625" style="48" customWidth="1"/>
    <col min="12548" max="12800" width="9.140625" style="48" customWidth="1"/>
    <col min="12801" max="12801" width="10.5703125" style="48" customWidth="1"/>
    <col min="12802" max="12802" width="102.5703125" style="48" customWidth="1"/>
    <col min="12803" max="12803" width="15.28515625" style="48" customWidth="1"/>
    <col min="12804" max="13056" width="9.140625" style="48" customWidth="1"/>
    <col min="13057" max="13057" width="10.5703125" style="48" customWidth="1"/>
    <col min="13058" max="13058" width="102.5703125" style="48" customWidth="1"/>
    <col min="13059" max="13059" width="15.28515625" style="48" customWidth="1"/>
    <col min="13060" max="13312" width="9.140625" style="48" customWidth="1"/>
    <col min="13313" max="13313" width="10.5703125" style="48" customWidth="1"/>
    <col min="13314" max="13314" width="102.5703125" style="48" customWidth="1"/>
    <col min="13315" max="13315" width="15.28515625" style="48" customWidth="1"/>
    <col min="13316" max="13568" width="9.140625" style="48" customWidth="1"/>
    <col min="13569" max="13569" width="10.5703125" style="48" customWidth="1"/>
    <col min="13570" max="13570" width="102.5703125" style="48" customWidth="1"/>
    <col min="13571" max="13571" width="15.28515625" style="48" customWidth="1"/>
    <col min="13572" max="13824" width="9.140625" style="48" customWidth="1"/>
    <col min="13825" max="13825" width="10.5703125" style="48" customWidth="1"/>
    <col min="13826" max="13826" width="102.5703125" style="48" customWidth="1"/>
    <col min="13827" max="13827" width="15.28515625" style="48" customWidth="1"/>
    <col min="13828" max="14080" width="9.140625" style="48" customWidth="1"/>
    <col min="14081" max="14081" width="10.5703125" style="48" customWidth="1"/>
    <col min="14082" max="14082" width="102.5703125" style="48" customWidth="1"/>
    <col min="14083" max="14083" width="15.28515625" style="48" customWidth="1"/>
    <col min="14084" max="14336" width="9.140625" style="48" customWidth="1"/>
    <col min="14337" max="14337" width="10.5703125" style="48" customWidth="1"/>
    <col min="14338" max="14338" width="102.5703125" style="48" customWidth="1"/>
    <col min="14339" max="14339" width="15.28515625" style="48" customWidth="1"/>
    <col min="14340" max="14592" width="9.140625" style="48" customWidth="1"/>
    <col min="14593" max="14593" width="10.5703125" style="48" customWidth="1"/>
    <col min="14594" max="14594" width="102.5703125" style="48" customWidth="1"/>
    <col min="14595" max="14595" width="15.28515625" style="48" customWidth="1"/>
    <col min="14596" max="14848" width="9.140625" style="48" customWidth="1"/>
    <col min="14849" max="14849" width="10.5703125" style="48" customWidth="1"/>
    <col min="14850" max="14850" width="102.5703125" style="48" customWidth="1"/>
    <col min="14851" max="14851" width="15.28515625" style="48" customWidth="1"/>
    <col min="14852" max="15104" width="9.140625" style="48" customWidth="1"/>
    <col min="15105" max="15105" width="10.5703125" style="48" customWidth="1"/>
    <col min="15106" max="15106" width="102.5703125" style="48" customWidth="1"/>
    <col min="15107" max="15107" width="15.28515625" style="48" customWidth="1"/>
    <col min="15108" max="15360" width="9.140625" style="48" customWidth="1"/>
    <col min="15361" max="15361" width="10.5703125" style="48" customWidth="1"/>
    <col min="15362" max="15362" width="102.5703125" style="48" customWidth="1"/>
    <col min="15363" max="15363" width="15.28515625" style="48" customWidth="1"/>
    <col min="15364" max="15616" width="9.140625" style="48" customWidth="1"/>
    <col min="15617" max="15617" width="10.5703125" style="48" customWidth="1"/>
    <col min="15618" max="15618" width="102.5703125" style="48" customWidth="1"/>
    <col min="15619" max="15619" width="15.28515625" style="48" customWidth="1"/>
    <col min="15620" max="15872" width="9.140625" style="48" customWidth="1"/>
    <col min="15873" max="15873" width="10.5703125" style="48" customWidth="1"/>
    <col min="15874" max="15874" width="102.5703125" style="48" customWidth="1"/>
    <col min="15875" max="15875" width="15.28515625" style="48" customWidth="1"/>
    <col min="15876" max="16128" width="9.140625" style="48" customWidth="1"/>
    <col min="16129" max="16129" width="10.5703125" style="48" customWidth="1"/>
    <col min="16130" max="16130" width="102.5703125" style="48" customWidth="1"/>
    <col min="16131" max="16131" width="15.28515625" style="48" customWidth="1"/>
    <col min="16132" max="16384" width="9.140625" style="48" customWidth="1"/>
  </cols>
  <sheetData>
    <row r="1" spans="1:3" x14ac:dyDescent="0.25">
      <c r="A1" s="116" t="s">
        <v>107</v>
      </c>
      <c r="B1" s="116" t="s">
        <v>108</v>
      </c>
      <c r="C1" s="116" t="s">
        <v>109</v>
      </c>
    </row>
    <row r="2" spans="1:3" x14ac:dyDescent="0.25">
      <c r="A2" s="144" t="s">
        <v>110</v>
      </c>
      <c r="B2" s="145"/>
      <c r="C2" s="145"/>
    </row>
    <row r="3" spans="1:3" x14ac:dyDescent="0.25">
      <c r="A3" s="115">
        <v>1173022</v>
      </c>
      <c r="B3" s="115" t="s">
        <v>111</v>
      </c>
      <c r="C3" s="117">
        <v>2109.25</v>
      </c>
    </row>
    <row r="4" spans="1:3" x14ac:dyDescent="0.25">
      <c r="A4" s="115">
        <v>1173063</v>
      </c>
      <c r="B4" s="115" t="s">
        <v>112</v>
      </c>
      <c r="C4" s="117">
        <v>2109.25</v>
      </c>
    </row>
    <row r="5" spans="1:3" x14ac:dyDescent="0.25">
      <c r="A5" s="115">
        <v>1173038</v>
      </c>
      <c r="B5" s="115" t="s">
        <v>113</v>
      </c>
      <c r="C5" s="117">
        <v>2109.25</v>
      </c>
    </row>
    <row r="6" spans="1:3" x14ac:dyDescent="0.25">
      <c r="A6" s="115">
        <v>1173082</v>
      </c>
      <c r="B6" s="115" t="s">
        <v>114</v>
      </c>
      <c r="C6" s="117">
        <v>2109.25</v>
      </c>
    </row>
    <row r="7" spans="1:3" x14ac:dyDescent="0.25">
      <c r="A7" s="115">
        <v>1172507</v>
      </c>
      <c r="B7" s="115" t="s">
        <v>115</v>
      </c>
      <c r="C7" s="117">
        <v>7021.86</v>
      </c>
    </row>
    <row r="8" spans="1:3" x14ac:dyDescent="0.25">
      <c r="A8" s="115">
        <v>1173512</v>
      </c>
      <c r="B8" s="115" t="s">
        <v>116</v>
      </c>
      <c r="C8" s="117">
        <v>3755.49</v>
      </c>
    </row>
    <row r="9" spans="1:3" x14ac:dyDescent="0.25">
      <c r="A9" s="115">
        <v>1171317</v>
      </c>
      <c r="B9" s="115" t="s">
        <v>12227</v>
      </c>
      <c r="C9" s="117">
        <v>5831.38</v>
      </c>
    </row>
    <row r="10" spans="1:3" x14ac:dyDescent="0.25">
      <c r="A10" s="115">
        <v>1171312</v>
      </c>
      <c r="B10" s="115" t="s">
        <v>117</v>
      </c>
      <c r="C10" s="117">
        <v>6414.45</v>
      </c>
    </row>
    <row r="11" spans="1:3" x14ac:dyDescent="0.25">
      <c r="A11" s="115">
        <v>1171305</v>
      </c>
      <c r="B11" s="115" t="s">
        <v>118</v>
      </c>
      <c r="C11" s="117">
        <v>6414.45</v>
      </c>
    </row>
    <row r="12" spans="1:3" x14ac:dyDescent="0.25">
      <c r="A12" s="115">
        <v>1173650</v>
      </c>
      <c r="B12" s="115" t="s">
        <v>12228</v>
      </c>
      <c r="C12" s="117">
        <v>1870.77</v>
      </c>
    </row>
    <row r="13" spans="1:3" x14ac:dyDescent="0.25">
      <c r="A13" s="115">
        <v>1172505</v>
      </c>
      <c r="B13" s="115" t="s">
        <v>119</v>
      </c>
      <c r="C13" s="117">
        <v>7021.86</v>
      </c>
    </row>
    <row r="14" spans="1:3" x14ac:dyDescent="0.25">
      <c r="A14" s="115">
        <v>1171107</v>
      </c>
      <c r="B14" s="115" t="s">
        <v>120</v>
      </c>
      <c r="C14" s="117">
        <v>1558.11</v>
      </c>
    </row>
    <row r="15" spans="1:3" x14ac:dyDescent="0.25">
      <c r="A15" s="115">
        <v>1171106</v>
      </c>
      <c r="B15" s="115" t="s">
        <v>121</v>
      </c>
      <c r="C15" s="117">
        <v>1558.11</v>
      </c>
    </row>
    <row r="16" spans="1:3" x14ac:dyDescent="0.25">
      <c r="A16" s="115">
        <v>1171104</v>
      </c>
      <c r="B16" s="115" t="s">
        <v>122</v>
      </c>
      <c r="C16" s="117">
        <v>1558.11</v>
      </c>
    </row>
    <row r="17" spans="1:3" x14ac:dyDescent="0.25">
      <c r="A17" s="115">
        <v>1171105</v>
      </c>
      <c r="B17" s="115" t="s">
        <v>123</v>
      </c>
      <c r="C17" s="117">
        <v>1558.11</v>
      </c>
    </row>
    <row r="18" spans="1:3" x14ac:dyDescent="0.25">
      <c r="A18" s="115">
        <v>1171505</v>
      </c>
      <c r="B18" s="115" t="s">
        <v>124</v>
      </c>
      <c r="C18" s="117">
        <v>3561.89</v>
      </c>
    </row>
    <row r="19" spans="1:3" x14ac:dyDescent="0.25">
      <c r="A19" s="115">
        <v>1171670</v>
      </c>
      <c r="B19" s="115" t="s">
        <v>125</v>
      </c>
      <c r="C19" s="117">
        <v>1377.21</v>
      </c>
    </row>
    <row r="20" spans="1:3" x14ac:dyDescent="0.25">
      <c r="A20" s="115">
        <v>1171671</v>
      </c>
      <c r="B20" s="115" t="s">
        <v>126</v>
      </c>
      <c r="C20" s="117">
        <v>1377.21</v>
      </c>
    </row>
    <row r="21" spans="1:3" x14ac:dyDescent="0.25">
      <c r="A21" s="115">
        <v>1170938</v>
      </c>
      <c r="B21" s="115" t="s">
        <v>127</v>
      </c>
      <c r="C21" s="117">
        <v>229.43</v>
      </c>
    </row>
    <row r="22" spans="1:3" x14ac:dyDescent="0.25">
      <c r="A22" s="115">
        <v>1170902</v>
      </c>
      <c r="B22" s="115" t="s">
        <v>12229</v>
      </c>
      <c r="C22" s="117">
        <v>229.43</v>
      </c>
    </row>
    <row r="23" spans="1:3" x14ac:dyDescent="0.25">
      <c r="A23" s="115">
        <v>1170900</v>
      </c>
      <c r="B23" s="115" t="s">
        <v>128</v>
      </c>
      <c r="C23" s="117">
        <v>229.43</v>
      </c>
    </row>
    <row r="24" spans="1:3" x14ac:dyDescent="0.25">
      <c r="A24" s="144" t="s">
        <v>129</v>
      </c>
      <c r="B24" s="145"/>
      <c r="C24" s="145"/>
    </row>
    <row r="25" spans="1:3" x14ac:dyDescent="0.25">
      <c r="A25" s="115">
        <v>1226130</v>
      </c>
      <c r="B25" s="115" t="s">
        <v>130</v>
      </c>
      <c r="C25" s="117">
        <v>102.89</v>
      </c>
    </row>
    <row r="26" spans="1:3" x14ac:dyDescent="0.25">
      <c r="A26" s="115">
        <v>1341481</v>
      </c>
      <c r="B26" s="115" t="s">
        <v>131</v>
      </c>
      <c r="C26" s="117">
        <v>702.43</v>
      </c>
    </row>
    <row r="27" spans="1:3" x14ac:dyDescent="0.25">
      <c r="A27" s="144" t="s">
        <v>132</v>
      </c>
      <c r="B27" s="145"/>
      <c r="C27" s="145"/>
    </row>
    <row r="28" spans="1:3" x14ac:dyDescent="0.25">
      <c r="A28" s="115">
        <v>1209263</v>
      </c>
      <c r="B28" s="115" t="s">
        <v>133</v>
      </c>
      <c r="C28" s="117">
        <v>5703.11</v>
      </c>
    </row>
    <row r="29" spans="1:3" x14ac:dyDescent="0.25">
      <c r="A29" s="115">
        <v>1209215</v>
      </c>
      <c r="B29" s="115" t="s">
        <v>134</v>
      </c>
      <c r="C29" s="117">
        <v>5703.11</v>
      </c>
    </row>
    <row r="30" spans="1:3" x14ac:dyDescent="0.25">
      <c r="A30" s="115">
        <v>1202188</v>
      </c>
      <c r="B30" s="115" t="s">
        <v>135</v>
      </c>
      <c r="C30" s="117">
        <v>8691.18</v>
      </c>
    </row>
    <row r="31" spans="1:3" x14ac:dyDescent="0.25">
      <c r="A31" s="115">
        <v>1202159</v>
      </c>
      <c r="B31" s="115" t="s">
        <v>136</v>
      </c>
      <c r="C31" s="117">
        <v>8691.18</v>
      </c>
    </row>
    <row r="32" spans="1:3" x14ac:dyDescent="0.25">
      <c r="A32" s="115">
        <v>1202166</v>
      </c>
      <c r="B32" s="115" t="s">
        <v>137</v>
      </c>
      <c r="C32" s="117">
        <v>8691.18</v>
      </c>
    </row>
    <row r="33" spans="1:3" x14ac:dyDescent="0.25">
      <c r="A33" s="115">
        <v>1202198</v>
      </c>
      <c r="B33" s="115" t="s">
        <v>138</v>
      </c>
      <c r="C33" s="117">
        <v>8691.18</v>
      </c>
    </row>
    <row r="34" spans="1:3" x14ac:dyDescent="0.25">
      <c r="A34" s="115">
        <v>1202115</v>
      </c>
      <c r="B34" s="115" t="s">
        <v>139</v>
      </c>
      <c r="C34" s="117">
        <v>8691.18</v>
      </c>
    </row>
    <row r="35" spans="1:3" x14ac:dyDescent="0.25">
      <c r="A35" s="115">
        <v>1202172</v>
      </c>
      <c r="B35" s="115" t="s">
        <v>140</v>
      </c>
      <c r="C35" s="117">
        <v>8691.18</v>
      </c>
    </row>
    <row r="36" spans="1:3" x14ac:dyDescent="0.25">
      <c r="A36" s="115">
        <v>1209131</v>
      </c>
      <c r="B36" s="115" t="s">
        <v>141</v>
      </c>
      <c r="C36" s="117">
        <v>13539.15</v>
      </c>
    </row>
    <row r="37" spans="1:3" x14ac:dyDescent="0.25">
      <c r="A37" s="115">
        <v>1209101</v>
      </c>
      <c r="B37" s="115" t="s">
        <v>142</v>
      </c>
      <c r="C37" s="117">
        <v>3138.42</v>
      </c>
    </row>
    <row r="38" spans="1:3" x14ac:dyDescent="0.25">
      <c r="A38" s="115">
        <v>1209121</v>
      </c>
      <c r="B38" s="115" t="s">
        <v>143</v>
      </c>
      <c r="C38" s="117">
        <v>9351.6299999999992</v>
      </c>
    </row>
    <row r="39" spans="1:3" x14ac:dyDescent="0.25">
      <c r="A39" s="115">
        <v>1209102</v>
      </c>
      <c r="B39" s="115" t="s">
        <v>144</v>
      </c>
      <c r="C39" s="117">
        <v>3138.42</v>
      </c>
    </row>
    <row r="40" spans="1:3" x14ac:dyDescent="0.25">
      <c r="A40" s="115">
        <v>1209143</v>
      </c>
      <c r="B40" s="115" t="s">
        <v>11879</v>
      </c>
      <c r="C40" s="117">
        <v>7102.51</v>
      </c>
    </row>
    <row r="41" spans="1:3" x14ac:dyDescent="0.25">
      <c r="A41" s="115">
        <v>1209112</v>
      </c>
      <c r="B41" s="115" t="s">
        <v>11880</v>
      </c>
      <c r="C41" s="117">
        <v>2130.75</v>
      </c>
    </row>
    <row r="42" spans="1:3" x14ac:dyDescent="0.25">
      <c r="A42" s="115">
        <v>1209110</v>
      </c>
      <c r="B42" s="115" t="s">
        <v>145</v>
      </c>
      <c r="C42" s="117">
        <v>3138.42</v>
      </c>
    </row>
    <row r="43" spans="1:3" x14ac:dyDescent="0.25">
      <c r="A43" s="115">
        <v>1209114</v>
      </c>
      <c r="B43" s="115" t="s">
        <v>12230</v>
      </c>
      <c r="C43" s="117">
        <v>2130.75</v>
      </c>
    </row>
    <row r="44" spans="1:3" x14ac:dyDescent="0.25">
      <c r="A44" s="115">
        <v>1209111</v>
      </c>
      <c r="B44" s="115" t="s">
        <v>146</v>
      </c>
      <c r="C44" s="117">
        <v>2130.75</v>
      </c>
    </row>
    <row r="45" spans="1:3" x14ac:dyDescent="0.25">
      <c r="A45" s="115">
        <v>1209142</v>
      </c>
      <c r="B45" s="115" t="s">
        <v>147</v>
      </c>
      <c r="C45" s="117">
        <v>7102.51</v>
      </c>
    </row>
    <row r="46" spans="1:3" x14ac:dyDescent="0.25">
      <c r="A46" s="115">
        <v>1209113</v>
      </c>
      <c r="B46" s="115" t="s">
        <v>12231</v>
      </c>
      <c r="C46" s="117">
        <v>2130.75</v>
      </c>
    </row>
    <row r="47" spans="1:3" x14ac:dyDescent="0.25">
      <c r="A47" s="115">
        <v>1209103</v>
      </c>
      <c r="B47" s="115" t="s">
        <v>148</v>
      </c>
      <c r="C47" s="117">
        <v>3138.42</v>
      </c>
    </row>
    <row r="48" spans="1:3" x14ac:dyDescent="0.25">
      <c r="A48" s="115">
        <v>1209109</v>
      </c>
      <c r="B48" s="115" t="s">
        <v>149</v>
      </c>
      <c r="C48" s="117">
        <v>3138.42</v>
      </c>
    </row>
    <row r="49" spans="1:3" x14ac:dyDescent="0.25">
      <c r="A49" s="115">
        <v>1209123</v>
      </c>
      <c r="B49" s="115" t="s">
        <v>150</v>
      </c>
      <c r="C49" s="117">
        <v>9351.6299999999992</v>
      </c>
    </row>
    <row r="50" spans="1:3" x14ac:dyDescent="0.25">
      <c r="A50" s="115">
        <v>1209104</v>
      </c>
      <c r="B50" s="115" t="s">
        <v>151</v>
      </c>
      <c r="C50" s="117">
        <v>3138.42</v>
      </c>
    </row>
    <row r="51" spans="1:3" x14ac:dyDescent="0.25">
      <c r="A51" s="115">
        <v>1209124</v>
      </c>
      <c r="B51" s="115" t="s">
        <v>152</v>
      </c>
      <c r="C51" s="117">
        <v>9351.6299999999992</v>
      </c>
    </row>
    <row r="52" spans="1:3" x14ac:dyDescent="0.25">
      <c r="A52" s="115">
        <v>1209106</v>
      </c>
      <c r="B52" s="115" t="s">
        <v>153</v>
      </c>
      <c r="C52" s="117">
        <v>3138.42</v>
      </c>
    </row>
    <row r="53" spans="1:3" x14ac:dyDescent="0.25">
      <c r="A53" s="115">
        <v>1209125</v>
      </c>
      <c r="B53" s="115" t="s">
        <v>154</v>
      </c>
      <c r="C53" s="117">
        <v>9351.6299999999992</v>
      </c>
    </row>
    <row r="54" spans="1:3" x14ac:dyDescent="0.25">
      <c r="A54" s="115">
        <v>1209108</v>
      </c>
      <c r="B54" s="115" t="s">
        <v>155</v>
      </c>
      <c r="C54" s="117">
        <v>3138.42</v>
      </c>
    </row>
    <row r="55" spans="1:3" x14ac:dyDescent="0.25">
      <c r="A55" s="115">
        <v>1209122</v>
      </c>
      <c r="B55" s="115" t="s">
        <v>156</v>
      </c>
      <c r="C55" s="117">
        <v>9351.6299999999992</v>
      </c>
    </row>
    <row r="56" spans="1:3" x14ac:dyDescent="0.25">
      <c r="A56" s="115">
        <v>1209105</v>
      </c>
      <c r="B56" s="115" t="s">
        <v>157</v>
      </c>
      <c r="C56" s="117">
        <v>3138.42</v>
      </c>
    </row>
    <row r="57" spans="1:3" x14ac:dyDescent="0.25">
      <c r="A57" s="115">
        <v>1209107</v>
      </c>
      <c r="B57" s="115" t="s">
        <v>158</v>
      </c>
      <c r="C57" s="117">
        <v>3138.42</v>
      </c>
    </row>
    <row r="58" spans="1:3" x14ac:dyDescent="0.25">
      <c r="A58" s="115">
        <v>1209141</v>
      </c>
      <c r="B58" s="115" t="s">
        <v>159</v>
      </c>
      <c r="C58" s="117">
        <v>7102.51</v>
      </c>
    </row>
    <row r="59" spans="1:3" x14ac:dyDescent="0.25">
      <c r="A59" s="115">
        <v>1208593</v>
      </c>
      <c r="B59" s="115" t="s">
        <v>160</v>
      </c>
      <c r="C59" s="117">
        <v>3306.88</v>
      </c>
    </row>
    <row r="60" spans="1:3" x14ac:dyDescent="0.25">
      <c r="A60" s="115">
        <v>1202177</v>
      </c>
      <c r="B60" s="115" t="s">
        <v>161</v>
      </c>
      <c r="C60" s="117">
        <v>8691.18</v>
      </c>
    </row>
    <row r="61" spans="1:3" x14ac:dyDescent="0.25">
      <c r="A61" s="115">
        <v>1203540</v>
      </c>
      <c r="B61" s="115" t="s">
        <v>12232</v>
      </c>
      <c r="C61" s="117">
        <v>3954.79</v>
      </c>
    </row>
    <row r="62" spans="1:3" x14ac:dyDescent="0.25">
      <c r="A62" s="115">
        <v>1203532</v>
      </c>
      <c r="B62" s="115" t="s">
        <v>162</v>
      </c>
      <c r="C62" s="117">
        <v>2086.6999999999998</v>
      </c>
    </row>
    <row r="63" spans="1:3" x14ac:dyDescent="0.25">
      <c r="A63" s="115">
        <v>1207263</v>
      </c>
      <c r="B63" s="115" t="s">
        <v>163</v>
      </c>
      <c r="C63" s="117">
        <v>47.26</v>
      </c>
    </row>
    <row r="64" spans="1:3" x14ac:dyDescent="0.25">
      <c r="A64" s="115">
        <v>1207283</v>
      </c>
      <c r="B64" s="115" t="s">
        <v>164</v>
      </c>
      <c r="C64" s="117">
        <v>47.26</v>
      </c>
    </row>
    <row r="65" spans="1:3" x14ac:dyDescent="0.25">
      <c r="A65" s="115">
        <v>1205522</v>
      </c>
      <c r="B65" s="115" t="s">
        <v>165</v>
      </c>
      <c r="C65" s="117">
        <v>1987.08</v>
      </c>
    </row>
    <row r="66" spans="1:3" x14ac:dyDescent="0.25">
      <c r="A66" s="115">
        <v>1205563</v>
      </c>
      <c r="B66" s="115" t="s">
        <v>166</v>
      </c>
      <c r="C66" s="117">
        <v>1987.08</v>
      </c>
    </row>
    <row r="67" spans="1:3" x14ac:dyDescent="0.25">
      <c r="A67" s="115">
        <v>1205583</v>
      </c>
      <c r="B67" s="115" t="s">
        <v>167</v>
      </c>
      <c r="C67" s="117">
        <v>1987.08</v>
      </c>
    </row>
    <row r="68" spans="1:3" x14ac:dyDescent="0.25">
      <c r="A68" s="115">
        <v>1205588</v>
      </c>
      <c r="B68" s="115" t="s">
        <v>168</v>
      </c>
      <c r="C68" s="117">
        <v>1987.08</v>
      </c>
    </row>
    <row r="69" spans="1:3" x14ac:dyDescent="0.25">
      <c r="A69" s="115">
        <v>1200538</v>
      </c>
      <c r="B69" s="115" t="s">
        <v>169</v>
      </c>
      <c r="C69" s="117">
        <v>2279.67</v>
      </c>
    </row>
    <row r="70" spans="1:3" x14ac:dyDescent="0.25">
      <c r="A70" s="115">
        <v>1200584</v>
      </c>
      <c r="B70" s="115" t="s">
        <v>170</v>
      </c>
      <c r="C70" s="117">
        <v>2051.6999999999998</v>
      </c>
    </row>
    <row r="71" spans="1:3" x14ac:dyDescent="0.25">
      <c r="A71" s="115">
        <v>1200550</v>
      </c>
      <c r="B71" s="115" t="s">
        <v>171</v>
      </c>
      <c r="C71" s="117">
        <v>4519.25</v>
      </c>
    </row>
    <row r="72" spans="1:3" x14ac:dyDescent="0.25">
      <c r="A72" s="115">
        <v>1200583</v>
      </c>
      <c r="B72" s="115" t="s">
        <v>172</v>
      </c>
      <c r="C72" s="117">
        <v>2279.67</v>
      </c>
    </row>
    <row r="73" spans="1:3" x14ac:dyDescent="0.25">
      <c r="A73" s="115">
        <v>1200018</v>
      </c>
      <c r="B73" s="115" t="s">
        <v>173</v>
      </c>
      <c r="C73" s="117">
        <v>949.25</v>
      </c>
    </row>
    <row r="74" spans="1:3" x14ac:dyDescent="0.25">
      <c r="A74" s="115">
        <v>1208594</v>
      </c>
      <c r="B74" s="115" t="s">
        <v>174</v>
      </c>
      <c r="C74" s="117">
        <v>2393.71</v>
      </c>
    </row>
    <row r="75" spans="1:3" x14ac:dyDescent="0.25">
      <c r="A75" s="115">
        <v>1207101</v>
      </c>
      <c r="B75" s="115" t="s">
        <v>175</v>
      </c>
      <c r="C75" s="117">
        <v>10.36</v>
      </c>
    </row>
    <row r="76" spans="1:3" x14ac:dyDescent="0.25">
      <c r="A76" s="115">
        <v>1207102</v>
      </c>
      <c r="B76" s="115" t="s">
        <v>176</v>
      </c>
      <c r="C76" s="117">
        <v>65.989999999999995</v>
      </c>
    </row>
    <row r="77" spans="1:3" x14ac:dyDescent="0.25">
      <c r="A77" s="115">
        <v>1200437</v>
      </c>
      <c r="B77" s="115" t="s">
        <v>177</v>
      </c>
      <c r="C77" s="117">
        <v>2194.89</v>
      </c>
    </row>
    <row r="78" spans="1:3" x14ac:dyDescent="0.25">
      <c r="A78" s="115">
        <v>1200463</v>
      </c>
      <c r="B78" s="115" t="s">
        <v>178</v>
      </c>
      <c r="C78" s="117">
        <v>2194.89</v>
      </c>
    </row>
    <row r="79" spans="1:3" x14ac:dyDescent="0.25">
      <c r="A79" s="115">
        <v>1202022</v>
      </c>
      <c r="B79" s="115" t="s">
        <v>11881</v>
      </c>
      <c r="C79" s="117">
        <v>43.81</v>
      </c>
    </row>
    <row r="80" spans="1:3" x14ac:dyDescent="0.25">
      <c r="A80" s="115">
        <v>1202037</v>
      </c>
      <c r="B80" s="115" t="s">
        <v>11882</v>
      </c>
      <c r="C80" s="117">
        <v>43.81</v>
      </c>
    </row>
    <row r="81" spans="1:3" x14ac:dyDescent="0.25">
      <c r="A81" s="115">
        <v>1202054</v>
      </c>
      <c r="B81" s="115" t="s">
        <v>12233</v>
      </c>
      <c r="C81" s="117">
        <v>43.81</v>
      </c>
    </row>
    <row r="82" spans="1:3" x14ac:dyDescent="0.25">
      <c r="A82" s="115">
        <v>1202063</v>
      </c>
      <c r="B82" s="115" t="s">
        <v>11883</v>
      </c>
      <c r="C82" s="117">
        <v>43.81</v>
      </c>
    </row>
    <row r="83" spans="1:3" x14ac:dyDescent="0.25">
      <c r="A83" s="115">
        <v>1207863</v>
      </c>
      <c r="B83" s="115" t="s">
        <v>179</v>
      </c>
      <c r="C83" s="117">
        <v>1144.8499999999999</v>
      </c>
    </row>
    <row r="84" spans="1:3" x14ac:dyDescent="0.25">
      <c r="A84" s="115">
        <v>1207837</v>
      </c>
      <c r="B84" s="115" t="s">
        <v>180</v>
      </c>
      <c r="C84" s="117">
        <v>1144.8499999999999</v>
      </c>
    </row>
    <row r="85" spans="1:3" x14ac:dyDescent="0.25">
      <c r="A85" s="115">
        <v>1207868</v>
      </c>
      <c r="B85" s="115" t="s">
        <v>181</v>
      </c>
      <c r="C85" s="117">
        <v>1144.8499999999999</v>
      </c>
    </row>
    <row r="86" spans="1:3" x14ac:dyDescent="0.25">
      <c r="A86" s="115">
        <v>1207878</v>
      </c>
      <c r="B86" s="115" t="s">
        <v>182</v>
      </c>
      <c r="C86" s="117">
        <v>1144.8499999999999</v>
      </c>
    </row>
    <row r="87" spans="1:3" x14ac:dyDescent="0.25">
      <c r="A87" s="115">
        <v>1207737</v>
      </c>
      <c r="B87" s="115" t="s">
        <v>183</v>
      </c>
      <c r="C87" s="117">
        <v>7440.25</v>
      </c>
    </row>
    <row r="88" spans="1:3" x14ac:dyDescent="0.25">
      <c r="A88" s="115">
        <v>1207768</v>
      </c>
      <c r="B88" s="115" t="s">
        <v>184</v>
      </c>
      <c r="C88" s="117">
        <v>496.02</v>
      </c>
    </row>
    <row r="89" spans="1:3" x14ac:dyDescent="0.25">
      <c r="A89" s="115">
        <v>1207763</v>
      </c>
      <c r="B89" s="115" t="s">
        <v>185</v>
      </c>
      <c r="C89" s="117">
        <v>496.02</v>
      </c>
    </row>
    <row r="90" spans="1:3" x14ac:dyDescent="0.25">
      <c r="A90" s="115">
        <v>1207778</v>
      </c>
      <c r="B90" s="115" t="s">
        <v>186</v>
      </c>
      <c r="C90" s="117">
        <v>496.02</v>
      </c>
    </row>
    <row r="91" spans="1:3" x14ac:dyDescent="0.25">
      <c r="A91" s="115">
        <v>1203038</v>
      </c>
      <c r="B91" s="115" t="s">
        <v>187</v>
      </c>
      <c r="C91" s="117">
        <v>72.73</v>
      </c>
    </row>
    <row r="92" spans="1:3" x14ac:dyDescent="0.25">
      <c r="A92" s="115">
        <v>1203063</v>
      </c>
      <c r="B92" s="115" t="s">
        <v>188</v>
      </c>
      <c r="C92" s="117">
        <v>72.73</v>
      </c>
    </row>
    <row r="93" spans="1:3" x14ac:dyDescent="0.25">
      <c r="A93" s="115">
        <v>1203037</v>
      </c>
      <c r="B93" s="115" t="s">
        <v>189</v>
      </c>
      <c r="C93" s="117">
        <v>72.73</v>
      </c>
    </row>
    <row r="94" spans="1:3" x14ac:dyDescent="0.25">
      <c r="A94" s="115">
        <v>1203088</v>
      </c>
      <c r="B94" s="115" t="s">
        <v>190</v>
      </c>
      <c r="C94" s="117">
        <v>72.73</v>
      </c>
    </row>
    <row r="95" spans="1:3" x14ac:dyDescent="0.25">
      <c r="A95" s="115">
        <v>1206900</v>
      </c>
      <c r="B95" s="115" t="s">
        <v>191</v>
      </c>
      <c r="C95" s="117">
        <v>11349.51</v>
      </c>
    </row>
    <row r="96" spans="1:3" x14ac:dyDescent="0.25">
      <c r="A96" s="115">
        <v>1206983</v>
      </c>
      <c r="B96" s="115" t="s">
        <v>192</v>
      </c>
      <c r="C96" s="117">
        <v>11349.51</v>
      </c>
    </row>
    <row r="97" spans="1:3" x14ac:dyDescent="0.25">
      <c r="A97" s="115">
        <v>1208338</v>
      </c>
      <c r="B97" s="115" t="s">
        <v>193</v>
      </c>
      <c r="C97" s="117">
        <v>2289.17</v>
      </c>
    </row>
    <row r="98" spans="1:3" x14ac:dyDescent="0.25">
      <c r="A98" s="115">
        <v>1208363</v>
      </c>
      <c r="B98" s="115" t="s">
        <v>194</v>
      </c>
      <c r="C98" s="117">
        <v>2289.17</v>
      </c>
    </row>
    <row r="99" spans="1:3" x14ac:dyDescent="0.25">
      <c r="A99" s="115">
        <v>1208383</v>
      </c>
      <c r="B99" s="115" t="s">
        <v>195</v>
      </c>
      <c r="C99" s="117">
        <v>2289.17</v>
      </c>
    </row>
    <row r="100" spans="1:3" x14ac:dyDescent="0.25">
      <c r="A100" s="115">
        <v>1209322</v>
      </c>
      <c r="B100" s="115" t="s">
        <v>196</v>
      </c>
      <c r="C100" s="117">
        <v>2158.7800000000002</v>
      </c>
    </row>
    <row r="101" spans="1:3" x14ac:dyDescent="0.25">
      <c r="A101" s="115">
        <v>1209370</v>
      </c>
      <c r="B101" s="115" t="s">
        <v>197</v>
      </c>
      <c r="C101" s="117">
        <v>2158.56</v>
      </c>
    </row>
    <row r="102" spans="1:3" x14ac:dyDescent="0.25">
      <c r="A102" s="115">
        <v>1209338</v>
      </c>
      <c r="B102" s="115" t="s">
        <v>198</v>
      </c>
      <c r="C102" s="117">
        <v>2158.7800000000002</v>
      </c>
    </row>
    <row r="103" spans="1:3" x14ac:dyDescent="0.25">
      <c r="A103" s="115">
        <v>1209363</v>
      </c>
      <c r="B103" s="115" t="s">
        <v>199</v>
      </c>
      <c r="C103" s="117">
        <v>43.18</v>
      </c>
    </row>
    <row r="104" spans="1:3" x14ac:dyDescent="0.25">
      <c r="A104" s="115">
        <v>1209399</v>
      </c>
      <c r="B104" s="115" t="s">
        <v>200</v>
      </c>
      <c r="C104" s="117">
        <v>2158.7800000000002</v>
      </c>
    </row>
    <row r="105" spans="1:3" x14ac:dyDescent="0.25">
      <c r="A105" s="115">
        <v>1209622</v>
      </c>
      <c r="B105" s="115" t="s">
        <v>201</v>
      </c>
      <c r="C105" s="117">
        <v>2101.96</v>
      </c>
    </row>
    <row r="106" spans="1:3" x14ac:dyDescent="0.25">
      <c r="A106" s="115">
        <v>1209638</v>
      </c>
      <c r="B106" s="115" t="s">
        <v>202</v>
      </c>
      <c r="C106" s="117">
        <v>2101.96</v>
      </c>
    </row>
    <row r="107" spans="1:3" x14ac:dyDescent="0.25">
      <c r="A107" s="115">
        <v>1209663</v>
      </c>
      <c r="B107" s="115" t="s">
        <v>203</v>
      </c>
      <c r="C107" s="117">
        <v>2101.96</v>
      </c>
    </row>
    <row r="108" spans="1:3" x14ac:dyDescent="0.25">
      <c r="A108" s="115">
        <v>1209683</v>
      </c>
      <c r="B108" s="115" t="s">
        <v>204</v>
      </c>
      <c r="C108" s="117">
        <v>2101.96</v>
      </c>
    </row>
    <row r="109" spans="1:3" x14ac:dyDescent="0.25">
      <c r="A109" s="115">
        <v>1201037</v>
      </c>
      <c r="B109" s="115" t="s">
        <v>205</v>
      </c>
      <c r="C109" s="117">
        <v>267.36</v>
      </c>
    </row>
    <row r="110" spans="1:3" x14ac:dyDescent="0.25">
      <c r="A110" s="115">
        <v>1201063</v>
      </c>
      <c r="B110" s="115" t="s">
        <v>206</v>
      </c>
      <c r="C110" s="117">
        <v>267.36</v>
      </c>
    </row>
    <row r="111" spans="1:3" x14ac:dyDescent="0.25">
      <c r="A111" s="115">
        <v>1203518</v>
      </c>
      <c r="B111" s="115" t="s">
        <v>207</v>
      </c>
      <c r="C111" s="117">
        <v>8331.24</v>
      </c>
    </row>
    <row r="112" spans="1:3" x14ac:dyDescent="0.25">
      <c r="A112" s="115">
        <v>1203500</v>
      </c>
      <c r="B112" s="115" t="s">
        <v>208</v>
      </c>
      <c r="C112" s="117">
        <v>665.08</v>
      </c>
    </row>
    <row r="113" spans="1:3" x14ac:dyDescent="0.25">
      <c r="A113" s="115">
        <v>1203580</v>
      </c>
      <c r="B113" s="115" t="s">
        <v>12234</v>
      </c>
      <c r="C113" s="117">
        <v>2289.17</v>
      </c>
    </row>
    <row r="114" spans="1:3" x14ac:dyDescent="0.25">
      <c r="A114" s="115">
        <v>1203541</v>
      </c>
      <c r="B114" s="115" t="s">
        <v>12235</v>
      </c>
      <c r="C114" s="117">
        <v>2782.26</v>
      </c>
    </row>
    <row r="115" spans="1:3" x14ac:dyDescent="0.25">
      <c r="A115" s="115">
        <v>1201740</v>
      </c>
      <c r="B115" s="115" t="s">
        <v>209</v>
      </c>
      <c r="C115" s="117">
        <v>7045.79</v>
      </c>
    </row>
    <row r="116" spans="1:3" x14ac:dyDescent="0.25">
      <c r="A116" s="115">
        <v>1201778</v>
      </c>
      <c r="B116" s="115" t="s">
        <v>210</v>
      </c>
      <c r="C116" s="117">
        <v>440.36</v>
      </c>
    </row>
    <row r="117" spans="1:3" x14ac:dyDescent="0.25">
      <c r="A117" s="115">
        <v>1201766</v>
      </c>
      <c r="B117" s="115" t="s">
        <v>211</v>
      </c>
      <c r="C117" s="117">
        <v>440.36</v>
      </c>
    </row>
    <row r="118" spans="1:3" x14ac:dyDescent="0.25">
      <c r="A118" s="115">
        <v>1201768</v>
      </c>
      <c r="B118" s="115" t="s">
        <v>212</v>
      </c>
      <c r="C118" s="117">
        <v>440.36</v>
      </c>
    </row>
    <row r="119" spans="1:3" x14ac:dyDescent="0.25">
      <c r="A119" s="115">
        <v>1201772</v>
      </c>
      <c r="B119" s="115" t="s">
        <v>12236</v>
      </c>
      <c r="C119" s="117">
        <v>440.36</v>
      </c>
    </row>
    <row r="120" spans="1:3" x14ac:dyDescent="0.25">
      <c r="A120" s="115">
        <v>1201738</v>
      </c>
      <c r="B120" s="115" t="s">
        <v>213</v>
      </c>
      <c r="C120" s="117">
        <v>440.36</v>
      </c>
    </row>
    <row r="121" spans="1:3" x14ac:dyDescent="0.25">
      <c r="A121" s="115">
        <v>1201700</v>
      </c>
      <c r="B121" s="115" t="s">
        <v>214</v>
      </c>
      <c r="C121" s="117">
        <v>440.36</v>
      </c>
    </row>
    <row r="122" spans="1:3" x14ac:dyDescent="0.25">
      <c r="A122" s="115">
        <v>1201762</v>
      </c>
      <c r="B122" s="115" t="s">
        <v>215</v>
      </c>
      <c r="C122" s="117">
        <v>440.36</v>
      </c>
    </row>
    <row r="123" spans="1:3" x14ac:dyDescent="0.25">
      <c r="A123" s="115">
        <v>1204572</v>
      </c>
      <c r="B123" s="115" t="s">
        <v>216</v>
      </c>
      <c r="C123" s="117">
        <v>4130.8900000000003</v>
      </c>
    </row>
    <row r="124" spans="1:3" x14ac:dyDescent="0.25">
      <c r="A124" s="115">
        <v>1201300</v>
      </c>
      <c r="B124" s="115" t="s">
        <v>12237</v>
      </c>
      <c r="C124" s="117">
        <v>206.54</v>
      </c>
    </row>
    <row r="125" spans="1:3" x14ac:dyDescent="0.25">
      <c r="A125" s="115">
        <v>1201337</v>
      </c>
      <c r="B125" s="115" t="s">
        <v>217</v>
      </c>
      <c r="C125" s="117">
        <v>206.54</v>
      </c>
    </row>
    <row r="126" spans="1:3" x14ac:dyDescent="0.25">
      <c r="A126" s="115">
        <v>1201363</v>
      </c>
      <c r="B126" s="115" t="s">
        <v>218</v>
      </c>
      <c r="C126" s="117">
        <v>206.54</v>
      </c>
    </row>
    <row r="127" spans="1:3" x14ac:dyDescent="0.25">
      <c r="A127" s="115">
        <v>1201378</v>
      </c>
      <c r="B127" s="115" t="s">
        <v>219</v>
      </c>
      <c r="C127" s="117">
        <v>206.54</v>
      </c>
    </row>
    <row r="128" spans="1:3" x14ac:dyDescent="0.25">
      <c r="A128" s="115">
        <v>1206910</v>
      </c>
      <c r="B128" s="115" t="s">
        <v>220</v>
      </c>
      <c r="C128" s="117">
        <v>13367.99</v>
      </c>
    </row>
    <row r="129" spans="1:3" x14ac:dyDescent="0.25">
      <c r="A129" s="115">
        <v>1209191</v>
      </c>
      <c r="B129" s="115" t="s">
        <v>221</v>
      </c>
      <c r="C129" s="117">
        <v>6599.41</v>
      </c>
    </row>
    <row r="130" spans="1:3" x14ac:dyDescent="0.25">
      <c r="A130" s="115">
        <v>1209193</v>
      </c>
      <c r="B130" s="115" t="s">
        <v>222</v>
      </c>
      <c r="C130" s="117">
        <v>13983.06</v>
      </c>
    </row>
    <row r="131" spans="1:3" x14ac:dyDescent="0.25">
      <c r="A131" s="115">
        <v>1409803</v>
      </c>
      <c r="B131" s="115" t="s">
        <v>12238</v>
      </c>
      <c r="C131" s="117">
        <v>1479.69</v>
      </c>
    </row>
    <row r="132" spans="1:3" x14ac:dyDescent="0.25">
      <c r="A132" s="115">
        <v>1209192</v>
      </c>
      <c r="B132" s="115" t="s">
        <v>223</v>
      </c>
      <c r="C132" s="117">
        <v>8966.91</v>
      </c>
    </row>
    <row r="133" spans="1:3" x14ac:dyDescent="0.25">
      <c r="A133" s="144" t="s">
        <v>224</v>
      </c>
      <c r="B133" s="145"/>
      <c r="C133" s="145"/>
    </row>
    <row r="134" spans="1:3" x14ac:dyDescent="0.25">
      <c r="A134" s="115">
        <v>1249913</v>
      </c>
      <c r="B134" s="115" t="s">
        <v>225</v>
      </c>
      <c r="C134" s="117">
        <v>3320.47</v>
      </c>
    </row>
    <row r="135" spans="1:3" x14ac:dyDescent="0.25">
      <c r="A135" s="115">
        <v>1249904</v>
      </c>
      <c r="B135" s="115" t="s">
        <v>226</v>
      </c>
      <c r="C135" s="117">
        <v>6086.63</v>
      </c>
    </row>
    <row r="136" spans="1:3" x14ac:dyDescent="0.25">
      <c r="A136" s="115">
        <v>1249935</v>
      </c>
      <c r="B136" s="115" t="s">
        <v>227</v>
      </c>
      <c r="C136" s="117">
        <v>6086.63</v>
      </c>
    </row>
    <row r="137" spans="1:3" x14ac:dyDescent="0.25">
      <c r="A137" s="115">
        <v>1245560</v>
      </c>
      <c r="B137" s="115" t="s">
        <v>228</v>
      </c>
      <c r="C137" s="117">
        <v>7383.02</v>
      </c>
    </row>
    <row r="138" spans="1:3" x14ac:dyDescent="0.25">
      <c r="A138" s="115">
        <v>1240217</v>
      </c>
      <c r="B138" s="115" t="s">
        <v>229</v>
      </c>
      <c r="C138" s="117">
        <v>1715.58</v>
      </c>
    </row>
    <row r="139" spans="1:3" x14ac:dyDescent="0.25">
      <c r="A139" s="115">
        <v>1240218</v>
      </c>
      <c r="B139" s="115" t="s">
        <v>230</v>
      </c>
      <c r="C139" s="117">
        <v>1086.76</v>
      </c>
    </row>
    <row r="140" spans="1:3" x14ac:dyDescent="0.25">
      <c r="A140" s="115">
        <v>1240216</v>
      </c>
      <c r="B140" s="115" t="s">
        <v>231</v>
      </c>
      <c r="C140" s="117">
        <v>5186.57</v>
      </c>
    </row>
    <row r="141" spans="1:3" x14ac:dyDescent="0.25">
      <c r="A141" s="115">
        <v>1166601</v>
      </c>
      <c r="B141" s="115" t="s">
        <v>232</v>
      </c>
      <c r="C141" s="117">
        <v>286.74</v>
      </c>
    </row>
    <row r="142" spans="1:3" x14ac:dyDescent="0.25">
      <c r="A142" s="115">
        <v>1240219</v>
      </c>
      <c r="B142" s="115" t="s">
        <v>233</v>
      </c>
      <c r="C142" s="117">
        <v>2276.16</v>
      </c>
    </row>
    <row r="143" spans="1:3" x14ac:dyDescent="0.25">
      <c r="A143" s="115">
        <v>1240610</v>
      </c>
      <c r="B143" s="115" t="s">
        <v>234</v>
      </c>
      <c r="C143" s="117">
        <v>14729.95</v>
      </c>
    </row>
    <row r="144" spans="1:3" x14ac:dyDescent="0.25">
      <c r="A144" s="115">
        <v>1240605</v>
      </c>
      <c r="B144" s="115" t="s">
        <v>11478</v>
      </c>
      <c r="C144" s="117">
        <v>1227.5</v>
      </c>
    </row>
    <row r="145" spans="1:3" x14ac:dyDescent="0.25">
      <c r="A145" s="115">
        <v>1240620</v>
      </c>
      <c r="B145" s="115" t="s">
        <v>235</v>
      </c>
      <c r="C145" s="117">
        <v>14729.95</v>
      </c>
    </row>
    <row r="146" spans="1:3" x14ac:dyDescent="0.25">
      <c r="A146" s="115">
        <v>1240600</v>
      </c>
      <c r="B146" s="115" t="s">
        <v>236</v>
      </c>
      <c r="C146" s="117">
        <v>14729.95</v>
      </c>
    </row>
    <row r="147" spans="1:3" x14ac:dyDescent="0.25">
      <c r="A147" s="115">
        <v>1240601</v>
      </c>
      <c r="B147" s="115" t="s">
        <v>11479</v>
      </c>
      <c r="C147" s="117">
        <v>1227.5</v>
      </c>
    </row>
    <row r="148" spans="1:3" x14ac:dyDescent="0.25">
      <c r="A148" s="115">
        <v>1240604</v>
      </c>
      <c r="B148" s="115" t="s">
        <v>11480</v>
      </c>
      <c r="C148" s="117">
        <v>1227.5</v>
      </c>
    </row>
    <row r="149" spans="1:3" x14ac:dyDescent="0.25">
      <c r="A149" s="144" t="s">
        <v>237</v>
      </c>
      <c r="B149" s="145"/>
      <c r="C149" s="145"/>
    </row>
    <row r="150" spans="1:3" x14ac:dyDescent="0.25">
      <c r="A150" s="115">
        <v>1400777</v>
      </c>
      <c r="B150" s="115" t="s">
        <v>238</v>
      </c>
      <c r="C150" s="117">
        <v>144.31</v>
      </c>
    </row>
    <row r="151" spans="1:3" x14ac:dyDescent="0.25">
      <c r="A151" s="115">
        <v>1400763</v>
      </c>
      <c r="B151" s="115" t="s">
        <v>239</v>
      </c>
      <c r="C151" s="117">
        <v>1731.74</v>
      </c>
    </row>
    <row r="152" spans="1:3" x14ac:dyDescent="0.25">
      <c r="A152" s="115">
        <v>1400776</v>
      </c>
      <c r="B152" s="115" t="s">
        <v>240</v>
      </c>
      <c r="C152" s="117">
        <v>1731.74</v>
      </c>
    </row>
    <row r="153" spans="1:3" x14ac:dyDescent="0.25">
      <c r="A153" s="115">
        <v>1406400</v>
      </c>
      <c r="B153" s="115" t="s">
        <v>11884</v>
      </c>
      <c r="C153" s="117">
        <v>746.88</v>
      </c>
    </row>
    <row r="154" spans="1:3" x14ac:dyDescent="0.25">
      <c r="A154" s="115">
        <v>1409802</v>
      </c>
      <c r="B154" s="115" t="s">
        <v>241</v>
      </c>
      <c r="C154" s="117">
        <v>2065.65</v>
      </c>
    </row>
    <row r="155" spans="1:3" x14ac:dyDescent="0.25">
      <c r="A155" s="115">
        <v>1409801</v>
      </c>
      <c r="B155" s="115" t="s">
        <v>242</v>
      </c>
      <c r="C155" s="117">
        <v>2065.65</v>
      </c>
    </row>
    <row r="156" spans="1:3" x14ac:dyDescent="0.25">
      <c r="A156" s="115">
        <v>1406100</v>
      </c>
      <c r="B156" s="115" t="s">
        <v>243</v>
      </c>
      <c r="C156" s="117">
        <v>245.98</v>
      </c>
    </row>
    <row r="157" spans="1:3" x14ac:dyDescent="0.25">
      <c r="A157" s="115">
        <v>1406102</v>
      </c>
      <c r="B157" s="115" t="s">
        <v>244</v>
      </c>
      <c r="C157" s="117">
        <v>245.98</v>
      </c>
    </row>
    <row r="158" spans="1:3" x14ac:dyDescent="0.25">
      <c r="A158" s="115">
        <v>1406101</v>
      </c>
      <c r="B158" s="115" t="s">
        <v>245</v>
      </c>
      <c r="C158" s="117">
        <v>245.98</v>
      </c>
    </row>
    <row r="159" spans="1:3" x14ac:dyDescent="0.25">
      <c r="A159" s="115">
        <v>1406166</v>
      </c>
      <c r="B159" s="115" t="s">
        <v>246</v>
      </c>
      <c r="C159" s="117">
        <v>245.98</v>
      </c>
    </row>
    <row r="160" spans="1:3" x14ac:dyDescent="0.25">
      <c r="A160" s="115">
        <v>1406169</v>
      </c>
      <c r="B160" s="115" t="s">
        <v>247</v>
      </c>
      <c r="C160" s="117">
        <v>245.98</v>
      </c>
    </row>
    <row r="161" spans="1:3" x14ac:dyDescent="0.25">
      <c r="A161" s="115">
        <v>1406172</v>
      </c>
      <c r="B161" s="115" t="s">
        <v>248</v>
      </c>
      <c r="C161" s="117">
        <v>245.98</v>
      </c>
    </row>
    <row r="162" spans="1:3" x14ac:dyDescent="0.25">
      <c r="A162" s="115">
        <v>1406183</v>
      </c>
      <c r="B162" s="115" t="s">
        <v>249</v>
      </c>
      <c r="C162" s="117">
        <v>245.98</v>
      </c>
    </row>
    <row r="163" spans="1:3" x14ac:dyDescent="0.25">
      <c r="A163" s="115">
        <v>1406188</v>
      </c>
      <c r="B163" s="115" t="s">
        <v>250</v>
      </c>
      <c r="C163" s="117">
        <v>245.98</v>
      </c>
    </row>
    <row r="164" spans="1:3" x14ac:dyDescent="0.25">
      <c r="A164" s="115">
        <v>1405900</v>
      </c>
      <c r="B164" s="115" t="s">
        <v>251</v>
      </c>
      <c r="C164" s="117">
        <v>1440.63</v>
      </c>
    </row>
    <row r="165" spans="1:3" x14ac:dyDescent="0.25">
      <c r="A165" s="115">
        <v>1404027</v>
      </c>
      <c r="B165" s="115" t="s">
        <v>252</v>
      </c>
      <c r="C165" s="117">
        <v>183.91</v>
      </c>
    </row>
    <row r="166" spans="1:3" x14ac:dyDescent="0.25">
      <c r="A166" s="115">
        <v>1404041</v>
      </c>
      <c r="B166" s="115" t="s">
        <v>253</v>
      </c>
      <c r="C166" s="117">
        <v>2206.91</v>
      </c>
    </row>
    <row r="167" spans="1:3" x14ac:dyDescent="0.25">
      <c r="A167" s="115">
        <v>1404042</v>
      </c>
      <c r="B167" s="115" t="s">
        <v>254</v>
      </c>
      <c r="C167" s="117">
        <v>2206.91</v>
      </c>
    </row>
    <row r="168" spans="1:3" x14ac:dyDescent="0.25">
      <c r="A168" s="115">
        <v>1404054</v>
      </c>
      <c r="B168" s="115" t="s">
        <v>255</v>
      </c>
      <c r="C168" s="117">
        <v>183.91</v>
      </c>
    </row>
    <row r="169" spans="1:3" x14ac:dyDescent="0.25">
      <c r="A169" s="115">
        <v>1404063</v>
      </c>
      <c r="B169" s="115" t="s">
        <v>256</v>
      </c>
      <c r="C169" s="117">
        <v>183.91</v>
      </c>
    </row>
    <row r="170" spans="1:3" x14ac:dyDescent="0.25">
      <c r="A170" s="115">
        <v>1404068</v>
      </c>
      <c r="B170" s="115" t="s">
        <v>257</v>
      </c>
      <c r="C170" s="117">
        <v>183.91</v>
      </c>
    </row>
    <row r="171" spans="1:3" x14ac:dyDescent="0.25">
      <c r="A171" s="115">
        <v>1404062</v>
      </c>
      <c r="B171" s="115" t="s">
        <v>258</v>
      </c>
      <c r="C171" s="117">
        <v>183.91</v>
      </c>
    </row>
    <row r="172" spans="1:3" x14ac:dyDescent="0.25">
      <c r="A172" s="115">
        <v>1404078</v>
      </c>
      <c r="B172" s="115" t="s">
        <v>259</v>
      </c>
      <c r="C172" s="117">
        <v>216.59</v>
      </c>
    </row>
    <row r="173" spans="1:3" x14ac:dyDescent="0.25">
      <c r="A173" s="115">
        <v>1406238</v>
      </c>
      <c r="B173" s="115" t="s">
        <v>260</v>
      </c>
      <c r="C173" s="117">
        <v>1667.35</v>
      </c>
    </row>
    <row r="174" spans="1:3" x14ac:dyDescent="0.25">
      <c r="A174" s="115">
        <v>1406037</v>
      </c>
      <c r="B174" s="115" t="s">
        <v>262</v>
      </c>
      <c r="C174" s="117">
        <v>3334.7</v>
      </c>
    </row>
    <row r="175" spans="1:3" x14ac:dyDescent="0.25">
      <c r="A175" s="115">
        <v>1406237</v>
      </c>
      <c r="B175" s="115" t="s">
        <v>261</v>
      </c>
      <c r="C175" s="117">
        <v>1667.35</v>
      </c>
    </row>
    <row r="176" spans="1:3" x14ac:dyDescent="0.25">
      <c r="A176" s="115">
        <v>1406232</v>
      </c>
      <c r="B176" s="115" t="s">
        <v>263</v>
      </c>
      <c r="C176" s="117">
        <v>1667.35</v>
      </c>
    </row>
    <row r="177" spans="1:3" x14ac:dyDescent="0.25">
      <c r="A177" s="115">
        <v>1406202</v>
      </c>
      <c r="B177" s="115" t="s">
        <v>264</v>
      </c>
      <c r="C177" s="117">
        <v>1667.35</v>
      </c>
    </row>
    <row r="178" spans="1:3" x14ac:dyDescent="0.25">
      <c r="A178" s="115">
        <v>1406208</v>
      </c>
      <c r="B178" s="115" t="s">
        <v>265</v>
      </c>
      <c r="C178" s="117">
        <v>1667.35</v>
      </c>
    </row>
    <row r="179" spans="1:3" x14ac:dyDescent="0.25">
      <c r="A179" s="115">
        <v>1406263</v>
      </c>
      <c r="B179" s="115" t="s">
        <v>266</v>
      </c>
      <c r="C179" s="117">
        <v>1667.35</v>
      </c>
    </row>
    <row r="180" spans="1:3" x14ac:dyDescent="0.25">
      <c r="A180" s="115">
        <v>1406000</v>
      </c>
      <c r="B180" s="115" t="s">
        <v>267</v>
      </c>
      <c r="C180" s="117">
        <v>3334.7</v>
      </c>
    </row>
    <row r="181" spans="1:3" x14ac:dyDescent="0.25">
      <c r="A181" s="115">
        <v>1406203</v>
      </c>
      <c r="B181" s="115" t="s">
        <v>268</v>
      </c>
      <c r="C181" s="117">
        <v>1667.35</v>
      </c>
    </row>
    <row r="182" spans="1:3" x14ac:dyDescent="0.25">
      <c r="A182" s="115">
        <v>1406201</v>
      </c>
      <c r="B182" s="115" t="s">
        <v>269</v>
      </c>
      <c r="C182" s="117">
        <v>1667.35</v>
      </c>
    </row>
    <row r="183" spans="1:3" x14ac:dyDescent="0.25">
      <c r="A183" s="115">
        <v>1403200</v>
      </c>
      <c r="B183" s="115" t="s">
        <v>270</v>
      </c>
      <c r="C183" s="117">
        <v>123.21</v>
      </c>
    </row>
    <row r="184" spans="1:3" x14ac:dyDescent="0.25">
      <c r="A184" s="115">
        <v>1402077</v>
      </c>
      <c r="B184" s="115" t="s">
        <v>271</v>
      </c>
      <c r="C184" s="117">
        <v>586.03</v>
      </c>
    </row>
    <row r="185" spans="1:3" x14ac:dyDescent="0.25">
      <c r="A185" s="115">
        <v>1402063</v>
      </c>
      <c r="B185" s="115" t="s">
        <v>272</v>
      </c>
      <c r="C185" s="117">
        <v>586.03</v>
      </c>
    </row>
    <row r="186" spans="1:3" x14ac:dyDescent="0.25">
      <c r="A186" s="115">
        <v>1403363</v>
      </c>
      <c r="B186" s="115" t="s">
        <v>273</v>
      </c>
      <c r="C186" s="117">
        <v>5927.45</v>
      </c>
    </row>
    <row r="187" spans="1:3" x14ac:dyDescent="0.25">
      <c r="A187" s="115">
        <v>1402238</v>
      </c>
      <c r="B187" s="115" t="s">
        <v>274</v>
      </c>
      <c r="C187" s="117">
        <v>493.95</v>
      </c>
    </row>
    <row r="188" spans="1:3" x14ac:dyDescent="0.25">
      <c r="A188" s="115">
        <v>1402262</v>
      </c>
      <c r="B188" s="115" t="s">
        <v>275</v>
      </c>
      <c r="C188" s="117">
        <v>493.95</v>
      </c>
    </row>
    <row r="189" spans="1:3" x14ac:dyDescent="0.25">
      <c r="A189" s="115">
        <v>1401777</v>
      </c>
      <c r="B189" s="115" t="s">
        <v>276</v>
      </c>
      <c r="C189" s="117">
        <v>494.37</v>
      </c>
    </row>
    <row r="190" spans="1:3" x14ac:dyDescent="0.25">
      <c r="A190" s="115">
        <v>1401763</v>
      </c>
      <c r="B190" s="115" t="s">
        <v>277</v>
      </c>
      <c r="C190" s="117">
        <v>493.95</v>
      </c>
    </row>
    <row r="191" spans="1:3" x14ac:dyDescent="0.25">
      <c r="A191" s="115">
        <v>1401768</v>
      </c>
      <c r="B191" s="115" t="s">
        <v>278</v>
      </c>
      <c r="C191" s="117">
        <v>494.37</v>
      </c>
    </row>
    <row r="192" spans="1:3" x14ac:dyDescent="0.25">
      <c r="A192" s="115">
        <v>1403545</v>
      </c>
      <c r="B192" s="115" t="s">
        <v>279</v>
      </c>
      <c r="C192" s="117">
        <v>493.95</v>
      </c>
    </row>
    <row r="193" spans="1:3" x14ac:dyDescent="0.25">
      <c r="A193" s="115">
        <v>1403563</v>
      </c>
      <c r="B193" s="115" t="s">
        <v>280</v>
      </c>
      <c r="C193" s="117">
        <v>493.95</v>
      </c>
    </row>
    <row r="194" spans="1:3" x14ac:dyDescent="0.25">
      <c r="A194" s="115">
        <v>1403572</v>
      </c>
      <c r="B194" s="115" t="s">
        <v>11481</v>
      </c>
      <c r="C194" s="117">
        <v>5932.49</v>
      </c>
    </row>
    <row r="195" spans="1:3" x14ac:dyDescent="0.25">
      <c r="A195" s="115">
        <v>1401778</v>
      </c>
      <c r="B195" s="115" t="s">
        <v>281</v>
      </c>
      <c r="C195" s="117">
        <v>494.37</v>
      </c>
    </row>
    <row r="196" spans="1:3" x14ac:dyDescent="0.25">
      <c r="A196" s="115">
        <v>1403400</v>
      </c>
      <c r="B196" s="115" t="s">
        <v>282</v>
      </c>
      <c r="C196" s="117">
        <v>193.31</v>
      </c>
    </row>
    <row r="197" spans="1:3" x14ac:dyDescent="0.25">
      <c r="A197" s="115">
        <v>1402603</v>
      </c>
      <c r="B197" s="115" t="s">
        <v>283</v>
      </c>
      <c r="C197" s="117">
        <v>1380.93</v>
      </c>
    </row>
    <row r="198" spans="1:3" x14ac:dyDescent="0.25">
      <c r="A198" s="115">
        <v>1402621</v>
      </c>
      <c r="B198" s="115" t="s">
        <v>284</v>
      </c>
      <c r="C198" s="117">
        <v>1885.08</v>
      </c>
    </row>
    <row r="199" spans="1:3" x14ac:dyDescent="0.25">
      <c r="A199" s="115">
        <v>1402611</v>
      </c>
      <c r="B199" s="115" t="s">
        <v>285</v>
      </c>
      <c r="C199" s="117">
        <v>1885.08</v>
      </c>
    </row>
    <row r="200" spans="1:3" x14ac:dyDescent="0.25">
      <c r="A200" s="115">
        <v>1402631</v>
      </c>
      <c r="B200" s="115" t="s">
        <v>286</v>
      </c>
      <c r="C200" s="117">
        <v>1885.08</v>
      </c>
    </row>
    <row r="201" spans="1:3" x14ac:dyDescent="0.25">
      <c r="A201" s="115">
        <v>1402641</v>
      </c>
      <c r="B201" s="115" t="s">
        <v>287</v>
      </c>
      <c r="C201" s="117">
        <v>1885.08</v>
      </c>
    </row>
    <row r="202" spans="1:3" x14ac:dyDescent="0.25">
      <c r="A202" s="115">
        <v>1402610</v>
      </c>
      <c r="B202" s="115" t="s">
        <v>288</v>
      </c>
      <c r="C202" s="117">
        <v>1885.08</v>
      </c>
    </row>
    <row r="203" spans="1:3" x14ac:dyDescent="0.25">
      <c r="A203" s="115">
        <v>1402651</v>
      </c>
      <c r="B203" s="115" t="s">
        <v>289</v>
      </c>
      <c r="C203" s="117">
        <v>1885.08</v>
      </c>
    </row>
    <row r="204" spans="1:3" x14ac:dyDescent="0.25">
      <c r="A204" s="115">
        <v>1407100</v>
      </c>
      <c r="B204" s="115" t="s">
        <v>11482</v>
      </c>
      <c r="C204" s="117">
        <v>5196.3999999999996</v>
      </c>
    </row>
    <row r="205" spans="1:3" x14ac:dyDescent="0.25">
      <c r="A205" s="115">
        <v>1400638</v>
      </c>
      <c r="B205" s="115" t="s">
        <v>290</v>
      </c>
      <c r="C205" s="117">
        <v>1157.94</v>
      </c>
    </row>
    <row r="206" spans="1:3" x14ac:dyDescent="0.25">
      <c r="A206" s="115">
        <v>1400637</v>
      </c>
      <c r="B206" s="115" t="s">
        <v>291</v>
      </c>
      <c r="C206" s="117">
        <v>1157.94</v>
      </c>
    </row>
    <row r="207" spans="1:3" x14ac:dyDescent="0.25">
      <c r="A207" s="115">
        <v>1400632</v>
      </c>
      <c r="B207" s="115" t="s">
        <v>292</v>
      </c>
      <c r="C207" s="117">
        <v>1157.94</v>
      </c>
    </row>
    <row r="208" spans="1:3" x14ac:dyDescent="0.25">
      <c r="A208" s="115">
        <v>1400665</v>
      </c>
      <c r="B208" s="115" t="s">
        <v>293</v>
      </c>
      <c r="C208" s="117">
        <v>1157.94</v>
      </c>
    </row>
    <row r="209" spans="1:3" x14ac:dyDescent="0.25">
      <c r="A209" s="115">
        <v>1400683</v>
      </c>
      <c r="B209" s="115" t="s">
        <v>294</v>
      </c>
      <c r="C209" s="117">
        <v>1157.94</v>
      </c>
    </row>
    <row r="210" spans="1:3" x14ac:dyDescent="0.25">
      <c r="A210" s="115">
        <v>1402600</v>
      </c>
      <c r="B210" s="115" t="s">
        <v>295</v>
      </c>
      <c r="C210" s="117">
        <v>1994.68</v>
      </c>
    </row>
    <row r="211" spans="1:3" x14ac:dyDescent="0.25">
      <c r="A211" s="115">
        <v>1402699</v>
      </c>
      <c r="B211" s="115" t="s">
        <v>296</v>
      </c>
      <c r="C211" s="117">
        <v>1380.93</v>
      </c>
    </row>
    <row r="212" spans="1:3" x14ac:dyDescent="0.25">
      <c r="A212" s="115">
        <v>1402602</v>
      </c>
      <c r="B212" s="115" t="s">
        <v>297</v>
      </c>
      <c r="C212" s="117">
        <v>1380.93</v>
      </c>
    </row>
    <row r="213" spans="1:3" x14ac:dyDescent="0.25">
      <c r="A213" s="115">
        <v>1401477</v>
      </c>
      <c r="B213" s="115" t="s">
        <v>298</v>
      </c>
      <c r="C213" s="117">
        <v>398.38</v>
      </c>
    </row>
    <row r="214" spans="1:3" x14ac:dyDescent="0.25">
      <c r="A214" s="115">
        <v>1401469</v>
      </c>
      <c r="B214" s="115" t="s">
        <v>299</v>
      </c>
      <c r="C214" s="117">
        <v>398.38</v>
      </c>
    </row>
    <row r="215" spans="1:3" x14ac:dyDescent="0.25">
      <c r="A215" s="115">
        <v>1401462</v>
      </c>
      <c r="B215" s="115" t="s">
        <v>300</v>
      </c>
      <c r="C215" s="117">
        <v>398.38</v>
      </c>
    </row>
    <row r="216" spans="1:3" x14ac:dyDescent="0.25">
      <c r="A216" s="115">
        <v>1402438</v>
      </c>
      <c r="B216" s="115" t="s">
        <v>301</v>
      </c>
      <c r="C216" s="117">
        <v>365.48</v>
      </c>
    </row>
    <row r="217" spans="1:3" x14ac:dyDescent="0.25">
      <c r="A217" s="115">
        <v>1401177</v>
      </c>
      <c r="B217" s="115" t="s">
        <v>12239</v>
      </c>
      <c r="C217" s="117">
        <v>398.38</v>
      </c>
    </row>
    <row r="218" spans="1:3" x14ac:dyDescent="0.25">
      <c r="A218" s="115">
        <v>1401139</v>
      </c>
      <c r="B218" s="115" t="s">
        <v>302</v>
      </c>
      <c r="C218" s="117">
        <v>398.38</v>
      </c>
    </row>
    <row r="219" spans="1:3" x14ac:dyDescent="0.25">
      <c r="A219" s="115">
        <v>1401168</v>
      </c>
      <c r="B219" s="115" t="s">
        <v>303</v>
      </c>
      <c r="C219" s="117">
        <v>398.38</v>
      </c>
    </row>
    <row r="220" spans="1:3" x14ac:dyDescent="0.25">
      <c r="A220" s="115">
        <v>1401178</v>
      </c>
      <c r="B220" s="115" t="s">
        <v>304</v>
      </c>
      <c r="C220" s="117">
        <v>398.38</v>
      </c>
    </row>
    <row r="221" spans="1:3" x14ac:dyDescent="0.25">
      <c r="A221" s="115">
        <v>1400183</v>
      </c>
      <c r="B221" s="115" t="s">
        <v>305</v>
      </c>
      <c r="C221" s="117">
        <v>1432.14</v>
      </c>
    </row>
    <row r="222" spans="1:3" x14ac:dyDescent="0.25">
      <c r="A222" s="115">
        <v>1400182</v>
      </c>
      <c r="B222" s="115" t="s">
        <v>306</v>
      </c>
      <c r="C222" s="117">
        <v>1432.14</v>
      </c>
    </row>
    <row r="223" spans="1:3" x14ac:dyDescent="0.25">
      <c r="A223" s="115">
        <v>1400211</v>
      </c>
      <c r="B223" s="115" t="s">
        <v>307</v>
      </c>
      <c r="C223" s="117">
        <v>1228.1500000000001</v>
      </c>
    </row>
    <row r="224" spans="1:3" x14ac:dyDescent="0.25">
      <c r="A224" s="115">
        <v>1400212</v>
      </c>
      <c r="B224" s="115" t="s">
        <v>308</v>
      </c>
      <c r="C224" s="117">
        <v>1228.1500000000001</v>
      </c>
    </row>
    <row r="225" spans="1:3" x14ac:dyDescent="0.25">
      <c r="A225" s="115">
        <v>1402554</v>
      </c>
      <c r="B225" s="115" t="s">
        <v>309</v>
      </c>
      <c r="C225" s="117">
        <v>333.11</v>
      </c>
    </row>
    <row r="226" spans="1:3" x14ac:dyDescent="0.25">
      <c r="A226" s="115">
        <v>1401024</v>
      </c>
      <c r="B226" s="115" t="s">
        <v>310</v>
      </c>
      <c r="C226" s="117">
        <v>398.38</v>
      </c>
    </row>
    <row r="227" spans="1:3" x14ac:dyDescent="0.25">
      <c r="A227" s="115">
        <v>1401077</v>
      </c>
      <c r="B227" s="115" t="s">
        <v>311</v>
      </c>
      <c r="C227" s="117">
        <v>297.47000000000003</v>
      </c>
    </row>
    <row r="228" spans="1:3" x14ac:dyDescent="0.25">
      <c r="A228" s="115">
        <v>1401064</v>
      </c>
      <c r="B228" s="115" t="s">
        <v>312</v>
      </c>
      <c r="C228" s="117">
        <v>297.47000000000003</v>
      </c>
    </row>
    <row r="229" spans="1:3" x14ac:dyDescent="0.25">
      <c r="A229" s="115">
        <v>1401063</v>
      </c>
      <c r="B229" s="115" t="s">
        <v>313</v>
      </c>
      <c r="C229" s="117">
        <v>297.47000000000003</v>
      </c>
    </row>
    <row r="230" spans="1:3" x14ac:dyDescent="0.25">
      <c r="A230" s="115">
        <v>1401068</v>
      </c>
      <c r="B230" s="115" t="s">
        <v>314</v>
      </c>
      <c r="C230" s="117">
        <v>297.47000000000003</v>
      </c>
    </row>
    <row r="231" spans="1:3" x14ac:dyDescent="0.25">
      <c r="A231" s="115">
        <v>1401078</v>
      </c>
      <c r="B231" s="115" t="s">
        <v>315</v>
      </c>
      <c r="C231" s="117">
        <v>297.47000000000003</v>
      </c>
    </row>
    <row r="232" spans="1:3" x14ac:dyDescent="0.25">
      <c r="A232" s="115">
        <v>1400922</v>
      </c>
      <c r="B232" s="115" t="s">
        <v>316</v>
      </c>
      <c r="C232" s="117">
        <v>234.63</v>
      </c>
    </row>
    <row r="233" spans="1:3" x14ac:dyDescent="0.25">
      <c r="A233" s="115">
        <v>1400935</v>
      </c>
      <c r="B233" s="115" t="s">
        <v>317</v>
      </c>
      <c r="C233" s="117">
        <v>234.63</v>
      </c>
    </row>
    <row r="234" spans="1:3" x14ac:dyDescent="0.25">
      <c r="A234" s="115">
        <v>1400983</v>
      </c>
      <c r="B234" s="115" t="s">
        <v>318</v>
      </c>
      <c r="C234" s="117">
        <v>234.63</v>
      </c>
    </row>
    <row r="235" spans="1:3" x14ac:dyDescent="0.25">
      <c r="A235" s="115">
        <v>1402177</v>
      </c>
      <c r="B235" s="115" t="s">
        <v>319</v>
      </c>
      <c r="C235" s="117">
        <v>234.63</v>
      </c>
    </row>
    <row r="236" spans="1:3" x14ac:dyDescent="0.25">
      <c r="A236" s="115">
        <v>1402135</v>
      </c>
      <c r="B236" s="115" t="s">
        <v>320</v>
      </c>
      <c r="C236" s="117">
        <v>234.63</v>
      </c>
    </row>
    <row r="237" spans="1:3" x14ac:dyDescent="0.25">
      <c r="A237" s="115">
        <v>1402137</v>
      </c>
      <c r="B237" s="115" t="s">
        <v>321</v>
      </c>
      <c r="C237" s="117">
        <v>234.63</v>
      </c>
    </row>
    <row r="238" spans="1:3" x14ac:dyDescent="0.25">
      <c r="A238" s="115">
        <v>1402163</v>
      </c>
      <c r="B238" s="115" t="s">
        <v>322</v>
      </c>
      <c r="C238" s="117">
        <v>234.63</v>
      </c>
    </row>
    <row r="239" spans="1:3" x14ac:dyDescent="0.25">
      <c r="A239" s="115">
        <v>1402172</v>
      </c>
      <c r="B239" s="115" t="s">
        <v>323</v>
      </c>
      <c r="C239" s="117">
        <v>2815.51</v>
      </c>
    </row>
    <row r="240" spans="1:3" x14ac:dyDescent="0.25">
      <c r="A240" s="115">
        <v>1401506</v>
      </c>
      <c r="B240" s="115" t="s">
        <v>324</v>
      </c>
      <c r="C240" s="117">
        <v>1714.9</v>
      </c>
    </row>
    <row r="241" spans="1:3" x14ac:dyDescent="0.25">
      <c r="A241" s="115">
        <v>1403838</v>
      </c>
      <c r="B241" s="115" t="s">
        <v>325</v>
      </c>
      <c r="C241" s="117">
        <v>463.96</v>
      </c>
    </row>
    <row r="242" spans="1:3" x14ac:dyDescent="0.25">
      <c r="A242" s="115">
        <v>1403868</v>
      </c>
      <c r="B242" s="115" t="s">
        <v>326</v>
      </c>
      <c r="C242" s="117">
        <v>463.96</v>
      </c>
    </row>
    <row r="243" spans="1:3" x14ac:dyDescent="0.25">
      <c r="A243" s="115">
        <v>1403862</v>
      </c>
      <c r="B243" s="115" t="s">
        <v>327</v>
      </c>
      <c r="C243" s="117">
        <v>463.96</v>
      </c>
    </row>
    <row r="244" spans="1:3" x14ac:dyDescent="0.25">
      <c r="A244" s="115">
        <v>1403883</v>
      </c>
      <c r="B244" s="115" t="s">
        <v>328</v>
      </c>
      <c r="C244" s="117">
        <v>463.96</v>
      </c>
    </row>
    <row r="245" spans="1:3" x14ac:dyDescent="0.25">
      <c r="A245" s="115">
        <v>1405344</v>
      </c>
      <c r="B245" s="115" t="s">
        <v>329</v>
      </c>
      <c r="C245" s="117">
        <v>532.47</v>
      </c>
    </row>
    <row r="246" spans="1:3" x14ac:dyDescent="0.25">
      <c r="A246" s="115">
        <v>1405318</v>
      </c>
      <c r="B246" s="115" t="s">
        <v>11483</v>
      </c>
      <c r="C246" s="117">
        <v>6389.61</v>
      </c>
    </row>
    <row r="247" spans="1:3" x14ac:dyDescent="0.25">
      <c r="A247" s="115">
        <v>1405301</v>
      </c>
      <c r="B247" s="115" t="s">
        <v>330</v>
      </c>
      <c r="C247" s="117">
        <v>6389.61</v>
      </c>
    </row>
    <row r="248" spans="1:3" x14ac:dyDescent="0.25">
      <c r="A248" s="115">
        <v>1405363</v>
      </c>
      <c r="B248" s="115" t="s">
        <v>331</v>
      </c>
      <c r="C248" s="117">
        <v>532.47</v>
      </c>
    </row>
    <row r="249" spans="1:3" x14ac:dyDescent="0.25">
      <c r="A249" s="115">
        <v>1405337</v>
      </c>
      <c r="B249" s="115" t="s">
        <v>332</v>
      </c>
      <c r="C249" s="117">
        <v>532.47</v>
      </c>
    </row>
    <row r="250" spans="1:3" x14ac:dyDescent="0.25">
      <c r="A250" s="115">
        <v>1405362</v>
      </c>
      <c r="B250" s="115" t="s">
        <v>333</v>
      </c>
      <c r="C250" s="117">
        <v>532.47</v>
      </c>
    </row>
    <row r="251" spans="1:3" x14ac:dyDescent="0.25">
      <c r="A251" s="115">
        <v>1401507</v>
      </c>
      <c r="B251" s="115" t="s">
        <v>334</v>
      </c>
      <c r="C251" s="117">
        <v>13997.52</v>
      </c>
    </row>
    <row r="252" spans="1:3" x14ac:dyDescent="0.25">
      <c r="A252" s="115">
        <v>1408000</v>
      </c>
      <c r="B252" s="115" t="s">
        <v>335</v>
      </c>
      <c r="C252" s="117">
        <v>1238.67</v>
      </c>
    </row>
    <row r="253" spans="1:3" x14ac:dyDescent="0.25">
      <c r="A253" s="115">
        <v>1402900</v>
      </c>
      <c r="B253" s="115" t="s">
        <v>336</v>
      </c>
      <c r="C253" s="117">
        <v>193.05</v>
      </c>
    </row>
    <row r="254" spans="1:3" x14ac:dyDescent="0.25">
      <c r="A254" s="144" t="s">
        <v>337</v>
      </c>
      <c r="B254" s="145"/>
      <c r="C254" s="145"/>
    </row>
    <row r="255" spans="1:3" x14ac:dyDescent="0.25">
      <c r="A255" s="115">
        <v>1266200</v>
      </c>
      <c r="B255" s="115" t="s">
        <v>338</v>
      </c>
      <c r="C255" s="117">
        <v>199.76</v>
      </c>
    </row>
    <row r="256" spans="1:3" x14ac:dyDescent="0.25">
      <c r="A256" s="115">
        <v>1261830</v>
      </c>
      <c r="B256" s="115" t="s">
        <v>11885</v>
      </c>
      <c r="C256" s="117">
        <v>320.13</v>
      </c>
    </row>
    <row r="257" spans="1:3" x14ac:dyDescent="0.25">
      <c r="A257" s="115">
        <v>1261835</v>
      </c>
      <c r="B257" s="115" t="s">
        <v>11886</v>
      </c>
      <c r="C257" s="117">
        <v>320.13</v>
      </c>
    </row>
    <row r="258" spans="1:3" x14ac:dyDescent="0.25">
      <c r="A258" s="115">
        <v>1369728</v>
      </c>
      <c r="B258" s="115" t="s">
        <v>339</v>
      </c>
      <c r="C258" s="117">
        <v>4624.03</v>
      </c>
    </row>
    <row r="259" spans="1:3" x14ac:dyDescent="0.25">
      <c r="A259" s="115">
        <v>1369528</v>
      </c>
      <c r="B259" s="115" t="s">
        <v>340</v>
      </c>
      <c r="C259" s="117">
        <v>5117.26</v>
      </c>
    </row>
    <row r="260" spans="1:3" x14ac:dyDescent="0.25">
      <c r="A260" s="115">
        <v>1369754</v>
      </c>
      <c r="B260" s="115" t="s">
        <v>341</v>
      </c>
      <c r="C260" s="117">
        <v>4624.03</v>
      </c>
    </row>
    <row r="261" spans="1:3" x14ac:dyDescent="0.25">
      <c r="A261" s="115">
        <v>1369554</v>
      </c>
      <c r="B261" s="115" t="s">
        <v>342</v>
      </c>
      <c r="C261" s="117">
        <v>5117.26</v>
      </c>
    </row>
    <row r="262" spans="1:3" x14ac:dyDescent="0.25">
      <c r="A262" s="115">
        <v>1369765</v>
      </c>
      <c r="B262" s="115" t="s">
        <v>343</v>
      </c>
      <c r="C262" s="117">
        <v>4624.03</v>
      </c>
    </row>
    <row r="263" spans="1:3" x14ac:dyDescent="0.25">
      <c r="A263" s="115">
        <v>1369565</v>
      </c>
      <c r="B263" s="115" t="s">
        <v>344</v>
      </c>
      <c r="C263" s="117">
        <v>5117.26</v>
      </c>
    </row>
    <row r="264" spans="1:3" x14ac:dyDescent="0.25">
      <c r="A264" s="115">
        <v>1368324</v>
      </c>
      <c r="B264" s="115" t="s">
        <v>345</v>
      </c>
      <c r="C264" s="117">
        <v>48.78</v>
      </c>
    </row>
    <row r="265" spans="1:3" x14ac:dyDescent="0.25">
      <c r="A265" s="115">
        <v>1368325</v>
      </c>
      <c r="B265" s="115" t="s">
        <v>346</v>
      </c>
      <c r="C265" s="117">
        <v>48.78</v>
      </c>
    </row>
    <row r="266" spans="1:3" x14ac:dyDescent="0.25">
      <c r="A266" s="115">
        <v>1368335</v>
      </c>
      <c r="B266" s="115" t="s">
        <v>347</v>
      </c>
      <c r="C266" s="117">
        <v>48.78</v>
      </c>
    </row>
    <row r="267" spans="1:3" x14ac:dyDescent="0.25">
      <c r="A267" s="115">
        <v>1368338</v>
      </c>
      <c r="B267" s="115" t="s">
        <v>348</v>
      </c>
      <c r="C267" s="117">
        <v>48.78</v>
      </c>
    </row>
    <row r="268" spans="1:3" x14ac:dyDescent="0.25">
      <c r="A268" s="115">
        <v>1368354</v>
      </c>
      <c r="B268" s="115" t="s">
        <v>349</v>
      </c>
      <c r="C268" s="117">
        <v>48.78</v>
      </c>
    </row>
    <row r="269" spans="1:3" x14ac:dyDescent="0.25">
      <c r="A269" s="115">
        <v>1368367</v>
      </c>
      <c r="B269" s="115" t="s">
        <v>350</v>
      </c>
      <c r="C269" s="117">
        <v>48.78</v>
      </c>
    </row>
    <row r="270" spans="1:3" x14ac:dyDescent="0.25">
      <c r="A270" s="115">
        <v>1368368</v>
      </c>
      <c r="B270" s="115" t="s">
        <v>351</v>
      </c>
      <c r="C270" s="117">
        <v>48.78</v>
      </c>
    </row>
    <row r="271" spans="1:3" x14ac:dyDescent="0.25">
      <c r="A271" s="115">
        <v>1368001</v>
      </c>
      <c r="B271" s="115" t="s">
        <v>12240</v>
      </c>
      <c r="C271" s="117">
        <v>7528.3</v>
      </c>
    </row>
    <row r="272" spans="1:3" x14ac:dyDescent="0.25">
      <c r="A272" s="115">
        <v>1369828</v>
      </c>
      <c r="B272" s="115" t="s">
        <v>352</v>
      </c>
      <c r="C272" s="117">
        <v>5004.3599999999997</v>
      </c>
    </row>
    <row r="273" spans="1:3" x14ac:dyDescent="0.25">
      <c r="A273" s="115">
        <v>1369822</v>
      </c>
      <c r="B273" s="115" t="s">
        <v>353</v>
      </c>
      <c r="C273" s="117">
        <v>5719.25</v>
      </c>
    </row>
    <row r="274" spans="1:3" x14ac:dyDescent="0.25">
      <c r="A274" s="115">
        <v>1369800</v>
      </c>
      <c r="B274" s="115" t="s">
        <v>354</v>
      </c>
      <c r="C274" s="117">
        <v>5719.25</v>
      </c>
    </row>
    <row r="275" spans="1:3" x14ac:dyDescent="0.25">
      <c r="A275" s="115">
        <v>1369835</v>
      </c>
      <c r="B275" s="115" t="s">
        <v>355</v>
      </c>
      <c r="C275" s="117">
        <v>5004.3599999999997</v>
      </c>
    </row>
    <row r="276" spans="1:3" x14ac:dyDescent="0.25">
      <c r="A276" s="115">
        <v>1369838</v>
      </c>
      <c r="B276" s="115" t="s">
        <v>356</v>
      </c>
      <c r="C276" s="117">
        <v>5004.3599999999997</v>
      </c>
    </row>
    <row r="277" spans="1:3" x14ac:dyDescent="0.25">
      <c r="A277" s="115">
        <v>1369854</v>
      </c>
      <c r="B277" s="115" t="s">
        <v>357</v>
      </c>
      <c r="C277" s="117">
        <v>5004.3599999999997</v>
      </c>
    </row>
    <row r="278" spans="1:3" x14ac:dyDescent="0.25">
      <c r="A278" s="115">
        <v>1369865</v>
      </c>
      <c r="B278" s="115" t="s">
        <v>358</v>
      </c>
      <c r="C278" s="117">
        <v>5004.3599999999997</v>
      </c>
    </row>
    <row r="279" spans="1:3" x14ac:dyDescent="0.25">
      <c r="A279" s="115">
        <v>1369858</v>
      </c>
      <c r="B279" s="115" t="s">
        <v>359</v>
      </c>
      <c r="C279" s="117">
        <v>5719.25</v>
      </c>
    </row>
    <row r="280" spans="1:3" x14ac:dyDescent="0.25">
      <c r="A280" s="115">
        <v>1266001</v>
      </c>
      <c r="B280" s="115" t="s">
        <v>360</v>
      </c>
      <c r="C280" s="117">
        <v>349.42</v>
      </c>
    </row>
    <row r="281" spans="1:3" x14ac:dyDescent="0.25">
      <c r="A281" s="115">
        <v>1360082</v>
      </c>
      <c r="B281" s="115" t="s">
        <v>361</v>
      </c>
      <c r="C281" s="117">
        <v>1106.17</v>
      </c>
    </row>
    <row r="282" spans="1:3" x14ac:dyDescent="0.25">
      <c r="A282" s="115">
        <v>1360363</v>
      </c>
      <c r="B282" s="115" t="s">
        <v>362</v>
      </c>
      <c r="C282" s="117">
        <v>268.33999999999997</v>
      </c>
    </row>
    <row r="283" spans="1:3" x14ac:dyDescent="0.25">
      <c r="A283" s="115">
        <v>1369325</v>
      </c>
      <c r="B283" s="115" t="s">
        <v>363</v>
      </c>
      <c r="C283" s="117">
        <v>326.68</v>
      </c>
    </row>
    <row r="284" spans="1:3" x14ac:dyDescent="0.25">
      <c r="A284" s="115">
        <v>1369300</v>
      </c>
      <c r="B284" s="115" t="s">
        <v>364</v>
      </c>
      <c r="C284" s="117">
        <v>326.68</v>
      </c>
    </row>
    <row r="285" spans="1:3" x14ac:dyDescent="0.25">
      <c r="A285" s="115">
        <v>1369100</v>
      </c>
      <c r="B285" s="115" t="s">
        <v>365</v>
      </c>
      <c r="C285" s="117">
        <v>326.68</v>
      </c>
    </row>
    <row r="286" spans="1:3" x14ac:dyDescent="0.25">
      <c r="A286" s="115">
        <v>1369338</v>
      </c>
      <c r="B286" s="115" t="s">
        <v>12241</v>
      </c>
      <c r="C286" s="117">
        <v>1771.84</v>
      </c>
    </row>
    <row r="287" spans="1:3" x14ac:dyDescent="0.25">
      <c r="A287" s="115">
        <v>1369201</v>
      </c>
      <c r="B287" s="115" t="s">
        <v>11887</v>
      </c>
      <c r="C287" s="117">
        <v>326.68</v>
      </c>
    </row>
    <row r="288" spans="1:3" x14ac:dyDescent="0.25">
      <c r="A288" s="115">
        <v>1369200</v>
      </c>
      <c r="B288" s="115" t="s">
        <v>366</v>
      </c>
      <c r="C288" s="117">
        <v>326.68</v>
      </c>
    </row>
    <row r="289" spans="1:3" x14ac:dyDescent="0.25">
      <c r="A289" s="115">
        <v>1360620</v>
      </c>
      <c r="B289" s="115" t="s">
        <v>367</v>
      </c>
      <c r="C289" s="117">
        <v>1770.57</v>
      </c>
    </row>
    <row r="290" spans="1:3" x14ac:dyDescent="0.25">
      <c r="A290" s="115">
        <v>1369425</v>
      </c>
      <c r="B290" s="115" t="s">
        <v>368</v>
      </c>
      <c r="C290" s="117">
        <v>327.02</v>
      </c>
    </row>
    <row r="291" spans="1:3" x14ac:dyDescent="0.25">
      <c r="A291" s="115">
        <v>1360492</v>
      </c>
      <c r="B291" s="115" t="s">
        <v>369</v>
      </c>
      <c r="C291" s="117">
        <v>89.25</v>
      </c>
    </row>
    <row r="292" spans="1:3" x14ac:dyDescent="0.25">
      <c r="A292" s="115">
        <v>1368753</v>
      </c>
      <c r="B292" s="115" t="s">
        <v>370</v>
      </c>
      <c r="C292" s="117">
        <v>176.24</v>
      </c>
    </row>
    <row r="293" spans="1:3" x14ac:dyDescent="0.25">
      <c r="A293" s="115">
        <v>1368738</v>
      </c>
      <c r="B293" s="115" t="s">
        <v>371</v>
      </c>
      <c r="C293" s="117">
        <v>176.24</v>
      </c>
    </row>
    <row r="294" spans="1:3" x14ac:dyDescent="0.25">
      <c r="A294" s="115">
        <v>1368674</v>
      </c>
      <c r="B294" s="115" t="s">
        <v>372</v>
      </c>
      <c r="C294" s="117">
        <v>149.80000000000001</v>
      </c>
    </row>
    <row r="295" spans="1:3" x14ac:dyDescent="0.25">
      <c r="A295" s="115">
        <v>1368782</v>
      </c>
      <c r="B295" s="115" t="s">
        <v>373</v>
      </c>
      <c r="C295" s="117">
        <v>176.24</v>
      </c>
    </row>
    <row r="296" spans="1:3" x14ac:dyDescent="0.25">
      <c r="A296" s="115">
        <v>1361025</v>
      </c>
      <c r="B296" s="115" t="s">
        <v>374</v>
      </c>
      <c r="C296" s="117">
        <v>444.24</v>
      </c>
    </row>
    <row r="297" spans="1:3" x14ac:dyDescent="0.25">
      <c r="A297" s="115">
        <v>1361063</v>
      </c>
      <c r="B297" s="115" t="s">
        <v>375</v>
      </c>
      <c r="C297" s="117">
        <v>444.24</v>
      </c>
    </row>
    <row r="298" spans="1:3" x14ac:dyDescent="0.25">
      <c r="A298" s="115">
        <v>1363563</v>
      </c>
      <c r="B298" s="115" t="s">
        <v>376</v>
      </c>
      <c r="C298" s="117">
        <v>663.15</v>
      </c>
    </row>
    <row r="299" spans="1:3" x14ac:dyDescent="0.25">
      <c r="A299" s="115">
        <v>1367625</v>
      </c>
      <c r="B299" s="115" t="s">
        <v>377</v>
      </c>
      <c r="C299" s="117">
        <v>127.81</v>
      </c>
    </row>
    <row r="300" spans="1:3" x14ac:dyDescent="0.25">
      <c r="A300" s="115">
        <v>1360463</v>
      </c>
      <c r="B300" s="115" t="s">
        <v>378</v>
      </c>
      <c r="C300" s="117">
        <v>47.29</v>
      </c>
    </row>
    <row r="301" spans="1:3" x14ac:dyDescent="0.25">
      <c r="A301" s="115">
        <v>1360425</v>
      </c>
      <c r="B301" s="115" t="s">
        <v>379</v>
      </c>
      <c r="C301" s="117">
        <v>47.29</v>
      </c>
    </row>
    <row r="302" spans="1:3" x14ac:dyDescent="0.25">
      <c r="A302" s="115">
        <v>1364435</v>
      </c>
      <c r="B302" s="115" t="s">
        <v>380</v>
      </c>
      <c r="C302" s="117">
        <v>3905.39</v>
      </c>
    </row>
    <row r="303" spans="1:3" x14ac:dyDescent="0.25">
      <c r="A303" s="115">
        <v>1361800</v>
      </c>
      <c r="B303" s="115" t="s">
        <v>381</v>
      </c>
      <c r="C303" s="117">
        <v>109.42</v>
      </c>
    </row>
    <row r="304" spans="1:3" x14ac:dyDescent="0.25">
      <c r="A304" s="115">
        <v>1368536</v>
      </c>
      <c r="B304" s="115" t="s">
        <v>382</v>
      </c>
      <c r="C304" s="117">
        <v>210.4</v>
      </c>
    </row>
    <row r="305" spans="1:3" x14ac:dyDescent="0.25">
      <c r="A305" s="115">
        <v>1368524</v>
      </c>
      <c r="B305" s="115" t="s">
        <v>383</v>
      </c>
      <c r="C305" s="117">
        <v>392.46</v>
      </c>
    </row>
    <row r="306" spans="1:3" x14ac:dyDescent="0.25">
      <c r="A306" s="115">
        <v>1368535</v>
      </c>
      <c r="B306" s="115" t="s">
        <v>384</v>
      </c>
      <c r="C306" s="117">
        <v>392.46</v>
      </c>
    </row>
    <row r="307" spans="1:3" x14ac:dyDescent="0.25">
      <c r="A307" s="115">
        <v>1368538</v>
      </c>
      <c r="B307" s="115" t="s">
        <v>385</v>
      </c>
      <c r="C307" s="117">
        <v>392.46</v>
      </c>
    </row>
    <row r="308" spans="1:3" x14ac:dyDescent="0.25">
      <c r="A308" s="115">
        <v>1368554</v>
      </c>
      <c r="B308" s="115" t="s">
        <v>386</v>
      </c>
      <c r="C308" s="117">
        <v>392.46</v>
      </c>
    </row>
    <row r="309" spans="1:3" x14ac:dyDescent="0.25">
      <c r="A309" s="115">
        <v>1368537</v>
      </c>
      <c r="B309" s="115" t="s">
        <v>387</v>
      </c>
      <c r="C309" s="117">
        <v>392.4</v>
      </c>
    </row>
    <row r="310" spans="1:3" x14ac:dyDescent="0.25">
      <c r="A310" s="115">
        <v>1368599</v>
      </c>
      <c r="B310" s="115" t="s">
        <v>388</v>
      </c>
      <c r="C310" s="117">
        <v>392.46</v>
      </c>
    </row>
    <row r="311" spans="1:3" x14ac:dyDescent="0.25">
      <c r="A311" s="115">
        <v>1368582</v>
      </c>
      <c r="B311" s="115" t="s">
        <v>389</v>
      </c>
      <c r="C311" s="117">
        <v>392.46</v>
      </c>
    </row>
    <row r="312" spans="1:3" x14ac:dyDescent="0.25">
      <c r="A312" s="115">
        <v>1368424</v>
      </c>
      <c r="B312" s="115" t="s">
        <v>390</v>
      </c>
      <c r="C312" s="117">
        <v>210.4</v>
      </c>
    </row>
    <row r="313" spans="1:3" x14ac:dyDescent="0.25">
      <c r="A313" s="115">
        <v>1368435</v>
      </c>
      <c r="B313" s="115" t="s">
        <v>11484</v>
      </c>
      <c r="C313" s="117">
        <v>210.37</v>
      </c>
    </row>
    <row r="314" spans="1:3" x14ac:dyDescent="0.25">
      <c r="A314" s="115">
        <v>1368438</v>
      </c>
      <c r="B314" s="115" t="s">
        <v>391</v>
      </c>
      <c r="C314" s="117">
        <v>210.4</v>
      </c>
    </row>
    <row r="315" spans="1:3" x14ac:dyDescent="0.25">
      <c r="A315" s="115">
        <v>1368454</v>
      </c>
      <c r="B315" s="115" t="s">
        <v>392</v>
      </c>
      <c r="C315" s="117">
        <v>210.4</v>
      </c>
    </row>
    <row r="316" spans="1:3" x14ac:dyDescent="0.25">
      <c r="A316" s="115">
        <v>1368499</v>
      </c>
      <c r="B316" s="115" t="s">
        <v>393</v>
      </c>
      <c r="C316" s="117">
        <v>210.4</v>
      </c>
    </row>
    <row r="317" spans="1:3" x14ac:dyDescent="0.25">
      <c r="A317" s="115">
        <v>1368482</v>
      </c>
      <c r="B317" s="115" t="s">
        <v>394</v>
      </c>
      <c r="C317" s="117">
        <v>210.4</v>
      </c>
    </row>
    <row r="318" spans="1:3" x14ac:dyDescent="0.25">
      <c r="A318" s="115">
        <v>1368100</v>
      </c>
      <c r="B318" s="115" t="s">
        <v>12242</v>
      </c>
      <c r="C318" s="117">
        <v>156.84</v>
      </c>
    </row>
    <row r="319" spans="1:3" x14ac:dyDescent="0.25">
      <c r="A319" s="115">
        <v>1360581</v>
      </c>
      <c r="B319" s="115" t="s">
        <v>395</v>
      </c>
      <c r="C319" s="117">
        <v>27.83</v>
      </c>
    </row>
    <row r="320" spans="1:3" x14ac:dyDescent="0.25">
      <c r="A320" s="115">
        <v>1360924</v>
      </c>
      <c r="B320" s="115" t="s">
        <v>396</v>
      </c>
      <c r="C320" s="117">
        <v>408.23</v>
      </c>
    </row>
    <row r="321" spans="1:3" x14ac:dyDescent="0.25">
      <c r="A321" s="115">
        <v>1360980</v>
      </c>
      <c r="B321" s="115" t="s">
        <v>397</v>
      </c>
      <c r="C321" s="117">
        <v>408.23</v>
      </c>
    </row>
    <row r="322" spans="1:3" x14ac:dyDescent="0.25">
      <c r="A322" s="115">
        <v>1360820</v>
      </c>
      <c r="B322" s="115" t="s">
        <v>398</v>
      </c>
      <c r="C322" s="117">
        <v>507.14</v>
      </c>
    </row>
    <row r="323" spans="1:3" x14ac:dyDescent="0.25">
      <c r="A323" s="115">
        <v>1360882</v>
      </c>
      <c r="B323" s="115" t="s">
        <v>399</v>
      </c>
      <c r="C323" s="117">
        <v>31.9</v>
      </c>
    </row>
    <row r="324" spans="1:3" x14ac:dyDescent="0.25">
      <c r="A324" s="115">
        <v>1364581</v>
      </c>
      <c r="B324" s="115" t="s">
        <v>12243</v>
      </c>
      <c r="C324" s="117">
        <v>856.5</v>
      </c>
    </row>
    <row r="325" spans="1:3" x14ac:dyDescent="0.25">
      <c r="A325" s="115">
        <v>1364582</v>
      </c>
      <c r="B325" s="115" t="s">
        <v>12244</v>
      </c>
      <c r="C325" s="117">
        <v>856.5</v>
      </c>
    </row>
    <row r="326" spans="1:3" x14ac:dyDescent="0.25">
      <c r="A326" s="115">
        <v>1361563</v>
      </c>
      <c r="B326" s="115" t="s">
        <v>400</v>
      </c>
      <c r="C326" s="117">
        <v>865.8</v>
      </c>
    </row>
    <row r="327" spans="1:3" x14ac:dyDescent="0.25">
      <c r="A327" s="115">
        <v>1361925</v>
      </c>
      <c r="B327" s="115" t="s">
        <v>401</v>
      </c>
      <c r="C327" s="117">
        <v>306.32</v>
      </c>
    </row>
    <row r="328" spans="1:3" x14ac:dyDescent="0.25">
      <c r="A328" s="115">
        <v>1361922</v>
      </c>
      <c r="B328" s="115" t="s">
        <v>402</v>
      </c>
      <c r="C328" s="117">
        <v>383.75</v>
      </c>
    </row>
    <row r="329" spans="1:3" x14ac:dyDescent="0.25">
      <c r="A329" s="115">
        <v>1361924</v>
      </c>
      <c r="B329" s="115" t="s">
        <v>403</v>
      </c>
      <c r="C329" s="117">
        <v>306.32</v>
      </c>
    </row>
    <row r="330" spans="1:3" x14ac:dyDescent="0.25">
      <c r="A330" s="115">
        <v>1362363</v>
      </c>
      <c r="B330" s="115" t="s">
        <v>404</v>
      </c>
      <c r="C330" s="117">
        <v>573.03</v>
      </c>
    </row>
    <row r="331" spans="1:3" x14ac:dyDescent="0.25">
      <c r="A331" s="115">
        <v>1362338</v>
      </c>
      <c r="B331" s="115" t="s">
        <v>12245</v>
      </c>
      <c r="C331" s="117">
        <v>573.03</v>
      </c>
    </row>
    <row r="332" spans="1:3" x14ac:dyDescent="0.25">
      <c r="A332" s="115">
        <v>1362500</v>
      </c>
      <c r="B332" s="115" t="s">
        <v>405</v>
      </c>
      <c r="C332" s="117">
        <v>1350.11</v>
      </c>
    </row>
    <row r="333" spans="1:3" x14ac:dyDescent="0.25">
      <c r="A333" s="115">
        <v>1362300</v>
      </c>
      <c r="B333" s="115" t="s">
        <v>406</v>
      </c>
      <c r="C333" s="117">
        <v>425.17</v>
      </c>
    </row>
    <row r="334" spans="1:3" x14ac:dyDescent="0.25">
      <c r="A334" s="115">
        <v>1362400</v>
      </c>
      <c r="B334" s="115" t="s">
        <v>407</v>
      </c>
      <c r="C334" s="117">
        <v>648.04</v>
      </c>
    </row>
    <row r="335" spans="1:3" x14ac:dyDescent="0.25">
      <c r="A335" s="115">
        <v>1362622</v>
      </c>
      <c r="B335" s="115" t="s">
        <v>408</v>
      </c>
      <c r="C335" s="117">
        <v>444.27</v>
      </c>
    </row>
    <row r="336" spans="1:3" x14ac:dyDescent="0.25">
      <c r="A336" s="115">
        <v>1362624</v>
      </c>
      <c r="B336" s="115" t="s">
        <v>409</v>
      </c>
      <c r="C336" s="117">
        <v>444.27</v>
      </c>
    </row>
    <row r="337" spans="1:3" x14ac:dyDescent="0.25">
      <c r="A337" s="115">
        <v>1362638</v>
      </c>
      <c r="B337" s="115" t="s">
        <v>410</v>
      </c>
      <c r="C337" s="117">
        <v>444.27</v>
      </c>
    </row>
    <row r="338" spans="1:3" x14ac:dyDescent="0.25">
      <c r="A338" s="115">
        <v>1362654</v>
      </c>
      <c r="B338" s="115" t="s">
        <v>411</v>
      </c>
      <c r="C338" s="117">
        <v>444.27</v>
      </c>
    </row>
    <row r="339" spans="1:3" x14ac:dyDescent="0.25">
      <c r="A339" s="115">
        <v>1362682</v>
      </c>
      <c r="B339" s="115" t="s">
        <v>412</v>
      </c>
      <c r="C339" s="117">
        <v>444.27</v>
      </c>
    </row>
    <row r="340" spans="1:3" x14ac:dyDescent="0.25">
      <c r="A340" s="115">
        <v>1369660</v>
      </c>
      <c r="B340" s="115" t="s">
        <v>413</v>
      </c>
      <c r="C340" s="117">
        <v>583.49</v>
      </c>
    </row>
    <row r="341" spans="1:3" x14ac:dyDescent="0.25">
      <c r="A341" s="115">
        <v>1268725</v>
      </c>
      <c r="B341" s="115" t="s">
        <v>414</v>
      </c>
      <c r="C341" s="117">
        <v>318.49</v>
      </c>
    </row>
    <row r="342" spans="1:3" x14ac:dyDescent="0.25">
      <c r="A342" s="115">
        <v>1268763</v>
      </c>
      <c r="B342" s="115" t="s">
        <v>415</v>
      </c>
      <c r="C342" s="117">
        <v>318.49</v>
      </c>
    </row>
    <row r="343" spans="1:3" x14ac:dyDescent="0.25">
      <c r="A343" s="115">
        <v>1268663</v>
      </c>
      <c r="B343" s="115" t="s">
        <v>416</v>
      </c>
      <c r="C343" s="117">
        <v>326.47000000000003</v>
      </c>
    </row>
    <row r="344" spans="1:3" x14ac:dyDescent="0.25">
      <c r="A344" s="115">
        <v>1361263</v>
      </c>
      <c r="B344" s="115" t="s">
        <v>417</v>
      </c>
      <c r="C344" s="117">
        <v>7737.88</v>
      </c>
    </row>
    <row r="345" spans="1:3" x14ac:dyDescent="0.25">
      <c r="A345" s="115">
        <v>1361215</v>
      </c>
      <c r="B345" s="115" t="s">
        <v>418</v>
      </c>
      <c r="C345" s="117">
        <v>2602.7800000000002</v>
      </c>
    </row>
    <row r="346" spans="1:3" x14ac:dyDescent="0.25">
      <c r="A346" s="115">
        <v>1361210</v>
      </c>
      <c r="B346" s="115" t="s">
        <v>419</v>
      </c>
      <c r="C346" s="117">
        <v>7737.88</v>
      </c>
    </row>
    <row r="347" spans="1:3" x14ac:dyDescent="0.25">
      <c r="A347" s="115">
        <v>1361200</v>
      </c>
      <c r="B347" s="115" t="s">
        <v>420</v>
      </c>
      <c r="C347" s="117">
        <v>137.31</v>
      </c>
    </row>
    <row r="348" spans="1:3" x14ac:dyDescent="0.25">
      <c r="A348" s="115">
        <v>1367900</v>
      </c>
      <c r="B348" s="115" t="s">
        <v>421</v>
      </c>
      <c r="C348" s="117">
        <v>4061.39</v>
      </c>
    </row>
    <row r="349" spans="1:3" x14ac:dyDescent="0.25">
      <c r="A349" s="115">
        <v>1361300</v>
      </c>
      <c r="B349" s="115" t="s">
        <v>422</v>
      </c>
      <c r="C349" s="117">
        <v>4690.03</v>
      </c>
    </row>
    <row r="350" spans="1:3" x14ac:dyDescent="0.25">
      <c r="A350" s="115">
        <v>1362700</v>
      </c>
      <c r="B350" s="115" t="s">
        <v>423</v>
      </c>
      <c r="C350" s="117">
        <v>4278.67</v>
      </c>
    </row>
    <row r="351" spans="1:3" x14ac:dyDescent="0.25">
      <c r="A351" s="115">
        <v>1367800</v>
      </c>
      <c r="B351" s="115" t="s">
        <v>424</v>
      </c>
      <c r="C351" s="117">
        <v>121.52</v>
      </c>
    </row>
    <row r="352" spans="1:3" x14ac:dyDescent="0.25">
      <c r="A352" s="144" t="s">
        <v>425</v>
      </c>
      <c r="B352" s="145"/>
      <c r="C352" s="145"/>
    </row>
    <row r="353" spans="1:3" x14ac:dyDescent="0.25">
      <c r="A353" s="115">
        <v>1160218</v>
      </c>
      <c r="B353" s="115" t="s">
        <v>426</v>
      </c>
      <c r="C353" s="117">
        <v>2068.85</v>
      </c>
    </row>
    <row r="354" spans="1:3" x14ac:dyDescent="0.25">
      <c r="A354" s="115">
        <v>1160217</v>
      </c>
      <c r="B354" s="115" t="s">
        <v>427</v>
      </c>
      <c r="C354" s="117">
        <v>1861.96</v>
      </c>
    </row>
    <row r="355" spans="1:3" x14ac:dyDescent="0.25">
      <c r="A355" s="115">
        <v>1160230</v>
      </c>
      <c r="B355" s="115" t="s">
        <v>428</v>
      </c>
      <c r="C355" s="117">
        <v>1861.96</v>
      </c>
    </row>
    <row r="356" spans="1:3" x14ac:dyDescent="0.25">
      <c r="A356" s="115">
        <v>1160219</v>
      </c>
      <c r="B356" s="115" t="s">
        <v>429</v>
      </c>
      <c r="C356" s="117">
        <v>1861.96</v>
      </c>
    </row>
    <row r="357" spans="1:3" x14ac:dyDescent="0.25">
      <c r="A357" s="115">
        <v>1164439</v>
      </c>
      <c r="B357" s="115" t="s">
        <v>430</v>
      </c>
      <c r="C357" s="117">
        <v>3815.44</v>
      </c>
    </row>
    <row r="358" spans="1:3" x14ac:dyDescent="0.25">
      <c r="A358" s="115">
        <v>1165400</v>
      </c>
      <c r="B358" s="115" t="s">
        <v>431</v>
      </c>
      <c r="C358" s="117">
        <v>9891.7199999999993</v>
      </c>
    </row>
    <row r="359" spans="1:3" x14ac:dyDescent="0.25">
      <c r="A359" s="115">
        <v>1164977</v>
      </c>
      <c r="B359" s="115" t="s">
        <v>432</v>
      </c>
      <c r="C359" s="117">
        <v>1440.5</v>
      </c>
    </row>
    <row r="360" spans="1:3" x14ac:dyDescent="0.25">
      <c r="A360" s="115">
        <v>1165009</v>
      </c>
      <c r="B360" s="115" t="s">
        <v>433</v>
      </c>
      <c r="C360" s="117">
        <v>5216.47</v>
      </c>
    </row>
    <row r="361" spans="1:3" x14ac:dyDescent="0.25">
      <c r="A361" s="115">
        <v>1165077</v>
      </c>
      <c r="B361" s="115" t="s">
        <v>434</v>
      </c>
      <c r="C361" s="117">
        <v>5216.47</v>
      </c>
    </row>
    <row r="362" spans="1:3" x14ac:dyDescent="0.25">
      <c r="A362" s="115">
        <v>1165038</v>
      </c>
      <c r="B362" s="115" t="s">
        <v>435</v>
      </c>
      <c r="C362" s="117">
        <v>5216.47</v>
      </c>
    </row>
    <row r="363" spans="1:3" x14ac:dyDescent="0.25">
      <c r="A363" s="115">
        <v>1165063</v>
      </c>
      <c r="B363" s="115" t="s">
        <v>436</v>
      </c>
      <c r="C363" s="117">
        <v>5216.47</v>
      </c>
    </row>
    <row r="364" spans="1:3" x14ac:dyDescent="0.25">
      <c r="A364" s="115">
        <v>1165076</v>
      </c>
      <c r="B364" s="115" t="s">
        <v>437</v>
      </c>
      <c r="C364" s="117">
        <v>5216.47</v>
      </c>
    </row>
    <row r="365" spans="1:3" x14ac:dyDescent="0.25">
      <c r="A365" s="115">
        <v>1162615</v>
      </c>
      <c r="B365" s="115" t="s">
        <v>438</v>
      </c>
      <c r="C365" s="117">
        <v>1015.41</v>
      </c>
    </row>
    <row r="366" spans="1:3" x14ac:dyDescent="0.25">
      <c r="A366" s="115">
        <v>1162600</v>
      </c>
      <c r="B366" s="115" t="s">
        <v>439</v>
      </c>
      <c r="C366" s="117">
        <v>2346.58</v>
      </c>
    </row>
    <row r="367" spans="1:3" x14ac:dyDescent="0.25">
      <c r="A367" s="115">
        <v>1166025</v>
      </c>
      <c r="B367" s="115" t="s">
        <v>440</v>
      </c>
      <c r="C367" s="117">
        <v>2130.4299999999998</v>
      </c>
    </row>
    <row r="368" spans="1:3" x14ac:dyDescent="0.25">
      <c r="A368" s="115">
        <v>1161615</v>
      </c>
      <c r="B368" s="115" t="s">
        <v>441</v>
      </c>
      <c r="C368" s="117">
        <v>1001.03</v>
      </c>
    </row>
    <row r="369" spans="1:3" x14ac:dyDescent="0.25">
      <c r="A369" s="115">
        <v>1161600</v>
      </c>
      <c r="B369" s="115" t="s">
        <v>442</v>
      </c>
      <c r="C369" s="117">
        <v>4566.8</v>
      </c>
    </row>
    <row r="370" spans="1:3" x14ac:dyDescent="0.25">
      <c r="A370" s="115">
        <v>1162500</v>
      </c>
      <c r="B370" s="115" t="s">
        <v>443</v>
      </c>
      <c r="C370" s="117">
        <v>2279.15</v>
      </c>
    </row>
    <row r="371" spans="1:3" x14ac:dyDescent="0.25">
      <c r="A371" s="115">
        <v>1161607</v>
      </c>
      <c r="B371" s="115" t="s">
        <v>444</v>
      </c>
      <c r="C371" s="117">
        <v>1228.83</v>
      </c>
    </row>
    <row r="372" spans="1:3" x14ac:dyDescent="0.25">
      <c r="A372" s="115">
        <v>1166077</v>
      </c>
      <c r="B372" s="115" t="s">
        <v>445</v>
      </c>
      <c r="C372" s="117">
        <v>5267.99</v>
      </c>
    </row>
    <row r="373" spans="1:3" x14ac:dyDescent="0.25">
      <c r="A373" s="115">
        <v>1166115</v>
      </c>
      <c r="B373" s="115" t="s">
        <v>446</v>
      </c>
      <c r="C373" s="117">
        <v>1015.41</v>
      </c>
    </row>
    <row r="374" spans="1:3" x14ac:dyDescent="0.25">
      <c r="A374" s="115">
        <v>1162415</v>
      </c>
      <c r="B374" s="115" t="s">
        <v>447</v>
      </c>
      <c r="C374" s="117">
        <v>1015.41</v>
      </c>
    </row>
    <row r="375" spans="1:3" x14ac:dyDescent="0.25">
      <c r="A375" s="115">
        <v>1162400</v>
      </c>
      <c r="B375" s="115" t="s">
        <v>448</v>
      </c>
      <c r="C375" s="117">
        <v>4566.8</v>
      </c>
    </row>
    <row r="376" spans="1:3" x14ac:dyDescent="0.25">
      <c r="A376" s="115">
        <v>1167524</v>
      </c>
      <c r="B376" s="115" t="s">
        <v>449</v>
      </c>
      <c r="C376" s="117">
        <v>1783.81</v>
      </c>
    </row>
    <row r="377" spans="1:3" x14ac:dyDescent="0.25">
      <c r="A377" s="115">
        <v>1169900</v>
      </c>
      <c r="B377" s="115" t="s">
        <v>450</v>
      </c>
      <c r="C377" s="117">
        <v>7138.7</v>
      </c>
    </row>
    <row r="378" spans="1:3" x14ac:dyDescent="0.25">
      <c r="A378" s="115">
        <v>1162025</v>
      </c>
      <c r="B378" s="115" t="s">
        <v>451</v>
      </c>
      <c r="C378" s="117">
        <v>469.17</v>
      </c>
    </row>
    <row r="379" spans="1:3" x14ac:dyDescent="0.25">
      <c r="A379" s="115">
        <v>1166930</v>
      </c>
      <c r="B379" s="115" t="s">
        <v>452</v>
      </c>
      <c r="C379" s="117">
        <v>1271.81</v>
      </c>
    </row>
    <row r="380" spans="1:3" x14ac:dyDescent="0.25">
      <c r="A380" s="115">
        <v>1165100</v>
      </c>
      <c r="B380" s="115" t="s">
        <v>453</v>
      </c>
      <c r="C380" s="117">
        <v>109.61</v>
      </c>
    </row>
    <row r="381" spans="1:3" x14ac:dyDescent="0.25">
      <c r="A381" s="115">
        <v>1163569</v>
      </c>
      <c r="B381" s="115" t="s">
        <v>454</v>
      </c>
      <c r="C381" s="117">
        <v>5480.16</v>
      </c>
    </row>
    <row r="382" spans="1:3" x14ac:dyDescent="0.25">
      <c r="A382" s="115">
        <v>1163536</v>
      </c>
      <c r="B382" s="115" t="s">
        <v>455</v>
      </c>
      <c r="C382" s="117">
        <v>5480.16</v>
      </c>
    </row>
    <row r="383" spans="1:3" x14ac:dyDescent="0.25">
      <c r="A383" s="115">
        <v>1163515</v>
      </c>
      <c r="B383" s="115" t="s">
        <v>456</v>
      </c>
      <c r="C383" s="117">
        <v>1207.6400000000001</v>
      </c>
    </row>
    <row r="384" spans="1:3" x14ac:dyDescent="0.25">
      <c r="A384" s="115">
        <v>1163555</v>
      </c>
      <c r="B384" s="115" t="s">
        <v>457</v>
      </c>
      <c r="C384" s="117">
        <v>1207.6400000000001</v>
      </c>
    </row>
    <row r="385" spans="1:3" x14ac:dyDescent="0.25">
      <c r="A385" s="115">
        <v>1163573</v>
      </c>
      <c r="B385" s="115" t="s">
        <v>458</v>
      </c>
      <c r="C385" s="117">
        <v>3880.68</v>
      </c>
    </row>
    <row r="386" spans="1:3" x14ac:dyDescent="0.25">
      <c r="A386" s="115">
        <v>1163527</v>
      </c>
      <c r="B386" s="115" t="s">
        <v>459</v>
      </c>
      <c r="C386" s="117">
        <v>33.74</v>
      </c>
    </row>
    <row r="387" spans="1:3" x14ac:dyDescent="0.25">
      <c r="A387" s="115">
        <v>1163500</v>
      </c>
      <c r="B387" s="115" t="s">
        <v>460</v>
      </c>
      <c r="C387" s="117">
        <v>5218.4399999999996</v>
      </c>
    </row>
    <row r="388" spans="1:3" x14ac:dyDescent="0.25">
      <c r="A388" s="115">
        <v>1163525</v>
      </c>
      <c r="B388" s="115" t="s">
        <v>461</v>
      </c>
      <c r="C388" s="117">
        <v>5218.4399999999996</v>
      </c>
    </row>
    <row r="389" spans="1:3" x14ac:dyDescent="0.25">
      <c r="A389" s="115">
        <v>1163523</v>
      </c>
      <c r="B389" s="115" t="s">
        <v>462</v>
      </c>
      <c r="C389" s="117">
        <v>5218.4399999999996</v>
      </c>
    </row>
    <row r="390" spans="1:3" x14ac:dyDescent="0.25">
      <c r="A390" s="115">
        <v>1163524</v>
      </c>
      <c r="B390" s="115" t="s">
        <v>463</v>
      </c>
      <c r="C390" s="117">
        <v>5218.4399999999996</v>
      </c>
    </row>
    <row r="391" spans="1:3" x14ac:dyDescent="0.25">
      <c r="A391" s="115">
        <v>1163526</v>
      </c>
      <c r="B391" s="115" t="s">
        <v>464</v>
      </c>
      <c r="C391" s="117">
        <v>5218.4399999999996</v>
      </c>
    </row>
    <row r="392" spans="1:3" x14ac:dyDescent="0.25">
      <c r="A392" s="115">
        <v>1163635</v>
      </c>
      <c r="B392" s="115" t="s">
        <v>465</v>
      </c>
      <c r="C392" s="117">
        <v>5218.4399999999996</v>
      </c>
    </row>
    <row r="393" spans="1:3" x14ac:dyDescent="0.25">
      <c r="A393" s="115">
        <v>1163563</v>
      </c>
      <c r="B393" s="115" t="s">
        <v>466</v>
      </c>
      <c r="C393" s="117">
        <v>5218.4399999999996</v>
      </c>
    </row>
    <row r="394" spans="1:3" x14ac:dyDescent="0.25">
      <c r="A394" s="115">
        <v>1163553</v>
      </c>
      <c r="B394" s="115" t="s">
        <v>467</v>
      </c>
      <c r="C394" s="117">
        <v>5218.4399999999996</v>
      </c>
    </row>
    <row r="395" spans="1:3" x14ac:dyDescent="0.25">
      <c r="A395" s="115">
        <v>1161678</v>
      </c>
      <c r="B395" s="115" t="s">
        <v>468</v>
      </c>
      <c r="C395" s="117">
        <v>6792.62</v>
      </c>
    </row>
    <row r="396" spans="1:3" x14ac:dyDescent="0.25">
      <c r="A396" s="115">
        <v>1163078</v>
      </c>
      <c r="B396" s="115" t="s">
        <v>469</v>
      </c>
      <c r="C396" s="117">
        <v>6073.41</v>
      </c>
    </row>
    <row r="397" spans="1:3" x14ac:dyDescent="0.25">
      <c r="A397" s="115">
        <v>1161500</v>
      </c>
      <c r="B397" s="115" t="s">
        <v>470</v>
      </c>
      <c r="C397" s="117">
        <v>8.5500000000000007</v>
      </c>
    </row>
    <row r="398" spans="1:3" x14ac:dyDescent="0.25">
      <c r="A398" s="115">
        <v>1166368</v>
      </c>
      <c r="B398" s="115" t="s">
        <v>471</v>
      </c>
      <c r="C398" s="117">
        <v>3485.96</v>
      </c>
    </row>
    <row r="399" spans="1:3" x14ac:dyDescent="0.25">
      <c r="A399" s="115">
        <v>1166372</v>
      </c>
      <c r="B399" s="115" t="s">
        <v>472</v>
      </c>
      <c r="C399" s="117">
        <v>3485.96</v>
      </c>
    </row>
    <row r="400" spans="1:3" x14ac:dyDescent="0.25">
      <c r="A400" s="115">
        <v>1166371</v>
      </c>
      <c r="B400" s="115" t="s">
        <v>473</v>
      </c>
      <c r="C400" s="117">
        <v>4134.41</v>
      </c>
    </row>
    <row r="401" spans="1:3" x14ac:dyDescent="0.25">
      <c r="A401" s="115">
        <v>1166300</v>
      </c>
      <c r="B401" s="115" t="s">
        <v>474</v>
      </c>
      <c r="C401" s="117">
        <v>41.06</v>
      </c>
    </row>
    <row r="402" spans="1:3" x14ac:dyDescent="0.25">
      <c r="A402" s="115">
        <v>1162037</v>
      </c>
      <c r="B402" s="115" t="s">
        <v>475</v>
      </c>
      <c r="C402" s="117">
        <v>469.17</v>
      </c>
    </row>
    <row r="403" spans="1:3" x14ac:dyDescent="0.25">
      <c r="A403" s="115">
        <v>1162009</v>
      </c>
      <c r="B403" s="115" t="s">
        <v>476</v>
      </c>
      <c r="C403" s="117">
        <v>469.17</v>
      </c>
    </row>
    <row r="404" spans="1:3" x14ac:dyDescent="0.25">
      <c r="A404" s="115">
        <v>1162099</v>
      </c>
      <c r="B404" s="115" t="s">
        <v>477</v>
      </c>
      <c r="C404" s="117">
        <v>469.17</v>
      </c>
    </row>
    <row r="405" spans="1:3" x14ac:dyDescent="0.25">
      <c r="A405" s="115">
        <v>1162032</v>
      </c>
      <c r="B405" s="115" t="s">
        <v>478</v>
      </c>
      <c r="C405" s="117">
        <v>469.17</v>
      </c>
    </row>
    <row r="406" spans="1:3" x14ac:dyDescent="0.25">
      <c r="A406" s="115">
        <v>1165800</v>
      </c>
      <c r="B406" s="115" t="s">
        <v>479</v>
      </c>
      <c r="C406" s="117">
        <v>482.64</v>
      </c>
    </row>
    <row r="407" spans="1:3" x14ac:dyDescent="0.25">
      <c r="A407" s="115">
        <v>1165801</v>
      </c>
      <c r="B407" s="115" t="s">
        <v>480</v>
      </c>
      <c r="C407" s="117">
        <v>482.64</v>
      </c>
    </row>
    <row r="408" spans="1:3" x14ac:dyDescent="0.25">
      <c r="A408" s="115">
        <v>1165804</v>
      </c>
      <c r="B408" s="115" t="s">
        <v>481</v>
      </c>
      <c r="C408" s="117">
        <v>482.64</v>
      </c>
    </row>
    <row r="409" spans="1:3" x14ac:dyDescent="0.25">
      <c r="A409" s="115">
        <v>1165710</v>
      </c>
      <c r="B409" s="115" t="s">
        <v>11485</v>
      </c>
      <c r="C409" s="117">
        <v>187.3</v>
      </c>
    </row>
    <row r="410" spans="1:3" x14ac:dyDescent="0.25">
      <c r="A410" s="115">
        <v>1165754</v>
      </c>
      <c r="B410" s="115" t="s">
        <v>482</v>
      </c>
      <c r="C410" s="117">
        <v>4495.21</v>
      </c>
    </row>
    <row r="411" spans="1:3" x14ac:dyDescent="0.25">
      <c r="A411" s="115">
        <v>1165799</v>
      </c>
      <c r="B411" s="115" t="s">
        <v>483</v>
      </c>
      <c r="C411" s="117">
        <v>187.3</v>
      </c>
    </row>
    <row r="412" spans="1:3" x14ac:dyDescent="0.25">
      <c r="A412" s="115">
        <v>1161139</v>
      </c>
      <c r="B412" s="115" t="s">
        <v>484</v>
      </c>
      <c r="C412" s="117">
        <v>3276.12</v>
      </c>
    </row>
    <row r="413" spans="1:3" x14ac:dyDescent="0.25">
      <c r="A413" s="115">
        <v>1161138</v>
      </c>
      <c r="B413" s="115" t="s">
        <v>485</v>
      </c>
      <c r="C413" s="117">
        <v>3276.12</v>
      </c>
    </row>
    <row r="414" spans="1:3" x14ac:dyDescent="0.25">
      <c r="A414" s="115">
        <v>1165826</v>
      </c>
      <c r="B414" s="115" t="s">
        <v>486</v>
      </c>
      <c r="C414" s="117">
        <v>46.8</v>
      </c>
    </row>
    <row r="415" spans="1:3" x14ac:dyDescent="0.25">
      <c r="A415" s="115">
        <v>1165822</v>
      </c>
      <c r="B415" s="115" t="s">
        <v>487</v>
      </c>
      <c r="C415" s="117">
        <v>46.8</v>
      </c>
    </row>
    <row r="416" spans="1:3" x14ac:dyDescent="0.25">
      <c r="A416" s="115">
        <v>1165831</v>
      </c>
      <c r="B416" s="115" t="s">
        <v>488</v>
      </c>
      <c r="C416" s="117">
        <v>46.8</v>
      </c>
    </row>
    <row r="417" spans="1:3" x14ac:dyDescent="0.25">
      <c r="A417" s="115">
        <v>1165838</v>
      </c>
      <c r="B417" s="115" t="s">
        <v>489</v>
      </c>
      <c r="C417" s="117">
        <v>46.8</v>
      </c>
    </row>
    <row r="418" spans="1:3" x14ac:dyDescent="0.25">
      <c r="A418" s="115">
        <v>1165855</v>
      </c>
      <c r="B418" s="115" t="s">
        <v>490</v>
      </c>
      <c r="C418" s="117">
        <v>3276.12</v>
      </c>
    </row>
    <row r="419" spans="1:3" x14ac:dyDescent="0.25">
      <c r="A419" s="115">
        <v>1165856</v>
      </c>
      <c r="B419" s="115" t="s">
        <v>491</v>
      </c>
      <c r="C419" s="117">
        <v>3276.12</v>
      </c>
    </row>
    <row r="420" spans="1:3" x14ac:dyDescent="0.25">
      <c r="A420" s="115">
        <v>1165869</v>
      </c>
      <c r="B420" s="115" t="s">
        <v>492</v>
      </c>
      <c r="C420" s="117">
        <v>46.8</v>
      </c>
    </row>
    <row r="421" spans="1:3" x14ac:dyDescent="0.25">
      <c r="A421" s="115">
        <v>1165875</v>
      </c>
      <c r="B421" s="115" t="s">
        <v>493</v>
      </c>
      <c r="C421" s="117">
        <v>46.8</v>
      </c>
    </row>
    <row r="422" spans="1:3" x14ac:dyDescent="0.25">
      <c r="A422" s="115">
        <v>1165883</v>
      </c>
      <c r="B422" s="115" t="s">
        <v>494</v>
      </c>
      <c r="C422" s="117">
        <v>46.8</v>
      </c>
    </row>
    <row r="423" spans="1:3" x14ac:dyDescent="0.25">
      <c r="A423" s="115">
        <v>1165888</v>
      </c>
      <c r="B423" s="115" t="s">
        <v>495</v>
      </c>
      <c r="C423" s="117">
        <v>46.8</v>
      </c>
    </row>
    <row r="424" spans="1:3" x14ac:dyDescent="0.25">
      <c r="A424" s="115">
        <v>1163100</v>
      </c>
      <c r="B424" s="115" t="s">
        <v>496</v>
      </c>
      <c r="C424" s="117">
        <v>3036.7</v>
      </c>
    </row>
    <row r="425" spans="1:3" x14ac:dyDescent="0.25">
      <c r="A425" s="115">
        <v>1166110</v>
      </c>
      <c r="B425" s="115" t="s">
        <v>497</v>
      </c>
      <c r="C425" s="117">
        <v>876.69</v>
      </c>
    </row>
    <row r="426" spans="1:3" x14ac:dyDescent="0.25">
      <c r="A426" s="115">
        <v>1165489</v>
      </c>
      <c r="B426" s="115" t="s">
        <v>12246</v>
      </c>
      <c r="C426" s="117">
        <v>3666.47</v>
      </c>
    </row>
    <row r="427" spans="1:3" x14ac:dyDescent="0.25">
      <c r="A427" s="115">
        <v>1165483</v>
      </c>
      <c r="B427" s="115" t="s">
        <v>498</v>
      </c>
      <c r="C427" s="117">
        <v>118.12</v>
      </c>
    </row>
    <row r="428" spans="1:3" x14ac:dyDescent="0.25">
      <c r="A428" s="115">
        <v>1166035</v>
      </c>
      <c r="B428" s="115" t="s">
        <v>499</v>
      </c>
      <c r="C428" s="117">
        <v>4185.18</v>
      </c>
    </row>
    <row r="429" spans="1:3" x14ac:dyDescent="0.25">
      <c r="A429" s="115">
        <v>1168984</v>
      </c>
      <c r="B429" s="115" t="s">
        <v>500</v>
      </c>
      <c r="C429" s="117">
        <v>125.9</v>
      </c>
    </row>
    <row r="430" spans="1:3" x14ac:dyDescent="0.25">
      <c r="A430" s="115">
        <v>1166000</v>
      </c>
      <c r="B430" s="115" t="s">
        <v>501</v>
      </c>
      <c r="C430" s="117">
        <v>4185.18</v>
      </c>
    </row>
    <row r="431" spans="1:3" x14ac:dyDescent="0.25">
      <c r="A431" s="115">
        <v>1168933</v>
      </c>
      <c r="B431" s="115" t="s">
        <v>502</v>
      </c>
      <c r="C431" s="117">
        <v>125.9</v>
      </c>
    </row>
    <row r="432" spans="1:3" x14ac:dyDescent="0.25">
      <c r="A432" s="115">
        <v>1166033</v>
      </c>
      <c r="B432" s="115" t="s">
        <v>503</v>
      </c>
      <c r="C432" s="117">
        <v>4185.18</v>
      </c>
    </row>
    <row r="433" spans="1:3" x14ac:dyDescent="0.25">
      <c r="A433" s="115">
        <v>1166042</v>
      </c>
      <c r="B433" s="115" t="s">
        <v>504</v>
      </c>
      <c r="C433" s="117">
        <v>4185.18</v>
      </c>
    </row>
    <row r="434" spans="1:3" x14ac:dyDescent="0.25">
      <c r="A434" s="115">
        <v>1166031</v>
      </c>
      <c r="B434" s="115" t="s">
        <v>505</v>
      </c>
      <c r="C434" s="117">
        <v>4185.18</v>
      </c>
    </row>
    <row r="435" spans="1:3" x14ac:dyDescent="0.25">
      <c r="A435" s="115">
        <v>1166032</v>
      </c>
      <c r="B435" s="115" t="s">
        <v>506</v>
      </c>
      <c r="C435" s="117">
        <v>4185.18</v>
      </c>
    </row>
    <row r="436" spans="1:3" x14ac:dyDescent="0.25">
      <c r="A436" s="115">
        <v>1166064</v>
      </c>
      <c r="B436" s="115" t="s">
        <v>507</v>
      </c>
      <c r="C436" s="117">
        <v>4185.18</v>
      </c>
    </row>
    <row r="437" spans="1:3" x14ac:dyDescent="0.25">
      <c r="A437" s="115">
        <v>1166100</v>
      </c>
      <c r="B437" s="115" t="s">
        <v>12247</v>
      </c>
      <c r="C437" s="117">
        <v>4185.18</v>
      </c>
    </row>
    <row r="438" spans="1:3" x14ac:dyDescent="0.25">
      <c r="A438" s="115">
        <v>1166072</v>
      </c>
      <c r="B438" s="115" t="s">
        <v>508</v>
      </c>
      <c r="C438" s="117">
        <v>4185.18</v>
      </c>
    </row>
    <row r="439" spans="1:3" x14ac:dyDescent="0.25">
      <c r="A439" s="115">
        <v>1166086</v>
      </c>
      <c r="B439" s="115" t="s">
        <v>12248</v>
      </c>
      <c r="C439" s="117">
        <v>4185.18</v>
      </c>
    </row>
    <row r="440" spans="1:3" x14ac:dyDescent="0.25">
      <c r="A440" s="115">
        <v>1162849</v>
      </c>
      <c r="B440" s="115" t="s">
        <v>509</v>
      </c>
      <c r="C440" s="117">
        <v>1901.36</v>
      </c>
    </row>
    <row r="441" spans="1:3" x14ac:dyDescent="0.25">
      <c r="A441" s="115">
        <v>1162800</v>
      </c>
      <c r="B441" s="115" t="s">
        <v>510</v>
      </c>
      <c r="C441" s="117">
        <v>136.33000000000001</v>
      </c>
    </row>
    <row r="442" spans="1:3" x14ac:dyDescent="0.25">
      <c r="A442" s="115">
        <v>1168138</v>
      </c>
      <c r="B442" s="115" t="s">
        <v>511</v>
      </c>
      <c r="C442" s="117">
        <v>450</v>
      </c>
    </row>
    <row r="443" spans="1:3" x14ac:dyDescent="0.25">
      <c r="A443" s="115">
        <v>1160241</v>
      </c>
      <c r="B443" s="115" t="s">
        <v>11486</v>
      </c>
      <c r="C443" s="117">
        <v>1774.33</v>
      </c>
    </row>
    <row r="444" spans="1:3" x14ac:dyDescent="0.25">
      <c r="A444" s="115">
        <v>1166116</v>
      </c>
      <c r="B444" s="115" t="s">
        <v>512</v>
      </c>
      <c r="C444" s="117">
        <v>680.73</v>
      </c>
    </row>
    <row r="445" spans="1:3" x14ac:dyDescent="0.25">
      <c r="A445" s="115">
        <v>1163730</v>
      </c>
      <c r="B445" s="115" t="s">
        <v>513</v>
      </c>
      <c r="C445" s="117">
        <v>1461.09</v>
      </c>
    </row>
    <row r="446" spans="1:3" x14ac:dyDescent="0.25">
      <c r="A446" s="115">
        <v>1166200</v>
      </c>
      <c r="B446" s="115" t="s">
        <v>514</v>
      </c>
      <c r="C446" s="117">
        <v>7.06</v>
      </c>
    </row>
    <row r="447" spans="1:3" x14ac:dyDescent="0.25">
      <c r="A447" s="115">
        <v>1161438</v>
      </c>
      <c r="B447" s="115" t="s">
        <v>12249</v>
      </c>
      <c r="C447" s="117">
        <v>3126.15</v>
      </c>
    </row>
    <row r="448" spans="1:3" x14ac:dyDescent="0.25">
      <c r="A448" s="115">
        <v>1161432</v>
      </c>
      <c r="B448" s="115" t="s">
        <v>12250</v>
      </c>
      <c r="C448" s="117">
        <v>3126.15</v>
      </c>
    </row>
    <row r="449" spans="1:3" x14ac:dyDescent="0.25">
      <c r="A449" s="115">
        <v>1161488</v>
      </c>
      <c r="B449" s="115" t="s">
        <v>12251</v>
      </c>
      <c r="C449" s="117">
        <v>3126.15</v>
      </c>
    </row>
    <row r="450" spans="1:3" x14ac:dyDescent="0.25">
      <c r="A450" s="115">
        <v>1161496</v>
      </c>
      <c r="B450" s="115" t="s">
        <v>12252</v>
      </c>
      <c r="C450" s="117">
        <v>3126.15</v>
      </c>
    </row>
    <row r="451" spans="1:3" x14ac:dyDescent="0.25">
      <c r="A451" s="115">
        <v>1161200</v>
      </c>
      <c r="B451" s="115" t="s">
        <v>515</v>
      </c>
      <c r="C451" s="117">
        <v>4757.1899999999996</v>
      </c>
    </row>
    <row r="452" spans="1:3" x14ac:dyDescent="0.25">
      <c r="A452" s="115">
        <v>1166600</v>
      </c>
      <c r="B452" s="115" t="s">
        <v>516</v>
      </c>
      <c r="C452" s="117">
        <v>7.06</v>
      </c>
    </row>
    <row r="453" spans="1:3" x14ac:dyDescent="0.25">
      <c r="A453" s="115">
        <v>1166945</v>
      </c>
      <c r="B453" s="115" t="s">
        <v>517</v>
      </c>
      <c r="C453" s="117">
        <v>614.5</v>
      </c>
    </row>
    <row r="454" spans="1:3" x14ac:dyDescent="0.25">
      <c r="A454" s="115">
        <v>1161240</v>
      </c>
      <c r="B454" s="115" t="s">
        <v>518</v>
      </c>
      <c r="C454" s="117">
        <v>802.65</v>
      </c>
    </row>
    <row r="455" spans="1:3" x14ac:dyDescent="0.25">
      <c r="A455" s="115">
        <v>1166403</v>
      </c>
      <c r="B455" s="115" t="s">
        <v>519</v>
      </c>
      <c r="C455" s="117">
        <v>1117.53</v>
      </c>
    </row>
    <row r="456" spans="1:3" x14ac:dyDescent="0.25">
      <c r="A456" s="115">
        <v>1163810</v>
      </c>
      <c r="B456" s="115" t="s">
        <v>520</v>
      </c>
      <c r="C456" s="117">
        <v>1379.94</v>
      </c>
    </row>
    <row r="457" spans="1:3" x14ac:dyDescent="0.25">
      <c r="A457" s="115">
        <v>1163800</v>
      </c>
      <c r="B457" s="115" t="s">
        <v>521</v>
      </c>
      <c r="C457" s="117">
        <v>3427.09</v>
      </c>
    </row>
    <row r="458" spans="1:3" x14ac:dyDescent="0.25">
      <c r="A458" s="115">
        <v>1166450</v>
      </c>
      <c r="B458" s="115" t="s">
        <v>522</v>
      </c>
      <c r="C458" s="117">
        <v>3146.73</v>
      </c>
    </row>
    <row r="459" spans="1:3" x14ac:dyDescent="0.25">
      <c r="A459" s="115">
        <v>1166452</v>
      </c>
      <c r="B459" s="115" t="s">
        <v>523</v>
      </c>
      <c r="C459" s="117">
        <v>2559.83</v>
      </c>
    </row>
    <row r="460" spans="1:3" x14ac:dyDescent="0.25">
      <c r="A460" s="115">
        <v>1166434</v>
      </c>
      <c r="B460" s="115" t="s">
        <v>524</v>
      </c>
      <c r="C460" s="117">
        <v>2559.83</v>
      </c>
    </row>
    <row r="461" spans="1:3" x14ac:dyDescent="0.25">
      <c r="A461" s="115">
        <v>1166432</v>
      </c>
      <c r="B461" s="115" t="s">
        <v>525</v>
      </c>
      <c r="C461" s="117">
        <v>2559.83</v>
      </c>
    </row>
    <row r="462" spans="1:3" x14ac:dyDescent="0.25">
      <c r="A462" s="115">
        <v>1160181</v>
      </c>
      <c r="B462" s="115" t="s">
        <v>11888</v>
      </c>
      <c r="C462" s="117">
        <v>2769.16</v>
      </c>
    </row>
    <row r="463" spans="1:3" x14ac:dyDescent="0.25">
      <c r="A463" s="115">
        <v>1166406</v>
      </c>
      <c r="B463" s="115" t="s">
        <v>526</v>
      </c>
      <c r="C463" s="117">
        <v>3146.73</v>
      </c>
    </row>
    <row r="464" spans="1:3" x14ac:dyDescent="0.25">
      <c r="A464" s="115">
        <v>1166400</v>
      </c>
      <c r="B464" s="115" t="s">
        <v>527</v>
      </c>
      <c r="C464" s="117">
        <v>2620.0300000000002</v>
      </c>
    </row>
    <row r="465" spans="1:3" x14ac:dyDescent="0.25">
      <c r="A465" s="115">
        <v>1163899</v>
      </c>
      <c r="B465" s="115" t="s">
        <v>528</v>
      </c>
      <c r="C465" s="117">
        <v>1120.44</v>
      </c>
    </row>
    <row r="466" spans="1:3" x14ac:dyDescent="0.25">
      <c r="A466" s="115">
        <v>1168069</v>
      </c>
      <c r="B466" s="115" t="s">
        <v>529</v>
      </c>
      <c r="C466" s="117">
        <v>2056.88</v>
      </c>
    </row>
    <row r="467" spans="1:3" x14ac:dyDescent="0.25">
      <c r="A467" s="115">
        <v>1164670</v>
      </c>
      <c r="B467" s="115" t="s">
        <v>530</v>
      </c>
      <c r="C467" s="117">
        <v>1820.27</v>
      </c>
    </row>
    <row r="468" spans="1:3" x14ac:dyDescent="0.25">
      <c r="A468" s="115">
        <v>1164610</v>
      </c>
      <c r="B468" s="115" t="s">
        <v>531</v>
      </c>
      <c r="C468" s="117">
        <v>3320.05</v>
      </c>
    </row>
    <row r="469" spans="1:3" x14ac:dyDescent="0.25">
      <c r="A469" s="115">
        <v>1164615</v>
      </c>
      <c r="B469" s="115" t="s">
        <v>532</v>
      </c>
      <c r="C469" s="117">
        <v>788.55</v>
      </c>
    </row>
    <row r="470" spans="1:3" x14ac:dyDescent="0.25">
      <c r="A470" s="115">
        <v>1164601</v>
      </c>
      <c r="B470" s="115" t="s">
        <v>533</v>
      </c>
      <c r="C470" s="117">
        <v>3320.05</v>
      </c>
    </row>
    <row r="471" spans="1:3" x14ac:dyDescent="0.25">
      <c r="A471" s="115">
        <v>1160250</v>
      </c>
      <c r="B471" s="115" t="s">
        <v>534</v>
      </c>
      <c r="C471" s="117">
        <v>1289.31</v>
      </c>
    </row>
    <row r="472" spans="1:3" x14ac:dyDescent="0.25">
      <c r="A472" s="115">
        <v>1160251</v>
      </c>
      <c r="B472" s="115" t="s">
        <v>535</v>
      </c>
      <c r="C472" s="117">
        <v>1289.31</v>
      </c>
    </row>
    <row r="473" spans="1:3" x14ac:dyDescent="0.25">
      <c r="A473" s="115">
        <v>1168766</v>
      </c>
      <c r="B473" s="115" t="s">
        <v>536</v>
      </c>
      <c r="C473" s="117">
        <v>363.63</v>
      </c>
    </row>
    <row r="474" spans="1:3" x14ac:dyDescent="0.25">
      <c r="A474" s="115">
        <v>1168700</v>
      </c>
      <c r="B474" s="115" t="s">
        <v>537</v>
      </c>
      <c r="C474" s="117">
        <v>363.63</v>
      </c>
    </row>
    <row r="475" spans="1:3" x14ac:dyDescent="0.25">
      <c r="A475" s="115">
        <v>1168737</v>
      </c>
      <c r="B475" s="115" t="s">
        <v>538</v>
      </c>
      <c r="C475" s="117">
        <v>4363.59</v>
      </c>
    </row>
    <row r="476" spans="1:3" x14ac:dyDescent="0.25">
      <c r="A476" s="115">
        <v>1161296</v>
      </c>
      <c r="B476" s="115" t="s">
        <v>539</v>
      </c>
      <c r="C476" s="117">
        <v>2214.7600000000002</v>
      </c>
    </row>
    <row r="477" spans="1:3" x14ac:dyDescent="0.25">
      <c r="A477" s="115">
        <v>1166501</v>
      </c>
      <c r="B477" s="115" t="s">
        <v>540</v>
      </c>
      <c r="C477" s="117">
        <v>2307.9499999999998</v>
      </c>
    </row>
    <row r="478" spans="1:3" x14ac:dyDescent="0.25">
      <c r="A478" s="115">
        <v>1166596</v>
      </c>
      <c r="B478" s="115" t="s">
        <v>541</v>
      </c>
      <c r="C478" s="117">
        <v>15.28</v>
      </c>
    </row>
    <row r="479" spans="1:3" x14ac:dyDescent="0.25">
      <c r="A479" s="115">
        <v>1163015</v>
      </c>
      <c r="B479" s="115" t="s">
        <v>542</v>
      </c>
      <c r="C479" s="117">
        <v>1001.03</v>
      </c>
    </row>
    <row r="480" spans="1:3" x14ac:dyDescent="0.25">
      <c r="A480" s="115">
        <v>1163000</v>
      </c>
      <c r="B480" s="115" t="s">
        <v>543</v>
      </c>
      <c r="C480" s="117">
        <v>6073.41</v>
      </c>
    </row>
    <row r="481" spans="1:3" x14ac:dyDescent="0.25">
      <c r="A481" s="115">
        <v>1167438</v>
      </c>
      <c r="B481" s="115" t="s">
        <v>544</v>
      </c>
      <c r="C481" s="117">
        <v>470.1</v>
      </c>
    </row>
    <row r="482" spans="1:3" x14ac:dyDescent="0.25">
      <c r="A482" s="115">
        <v>1167437</v>
      </c>
      <c r="B482" s="115" t="s">
        <v>545</v>
      </c>
      <c r="C482" s="117">
        <v>470.1</v>
      </c>
    </row>
    <row r="483" spans="1:3" x14ac:dyDescent="0.25">
      <c r="A483" s="115">
        <v>1167499</v>
      </c>
      <c r="B483" s="115" t="s">
        <v>546</v>
      </c>
      <c r="C483" s="117">
        <v>470.1</v>
      </c>
    </row>
    <row r="484" spans="1:3" x14ac:dyDescent="0.25">
      <c r="A484" s="115">
        <v>1167463</v>
      </c>
      <c r="B484" s="115" t="s">
        <v>547</v>
      </c>
      <c r="C484" s="117">
        <v>470.1</v>
      </c>
    </row>
    <row r="485" spans="1:3" x14ac:dyDescent="0.25">
      <c r="A485" s="115">
        <v>1167483</v>
      </c>
      <c r="B485" s="115" t="s">
        <v>548</v>
      </c>
      <c r="C485" s="117">
        <v>470.1</v>
      </c>
    </row>
    <row r="486" spans="1:3" x14ac:dyDescent="0.25">
      <c r="A486" s="115">
        <v>1164077</v>
      </c>
      <c r="B486" s="115" t="s">
        <v>549</v>
      </c>
      <c r="C486" s="117">
        <v>2301.1</v>
      </c>
    </row>
    <row r="487" spans="1:3" x14ac:dyDescent="0.25">
      <c r="A487" s="115">
        <v>1163901</v>
      </c>
      <c r="B487" s="115" t="s">
        <v>550</v>
      </c>
      <c r="C487" s="117">
        <v>3293.33</v>
      </c>
    </row>
    <row r="488" spans="1:3" x14ac:dyDescent="0.25">
      <c r="A488" s="115">
        <v>1163827</v>
      </c>
      <c r="B488" s="115" t="s">
        <v>551</v>
      </c>
      <c r="C488" s="117">
        <v>3499.33</v>
      </c>
    </row>
    <row r="489" spans="1:3" x14ac:dyDescent="0.25">
      <c r="A489" s="115">
        <v>1163900</v>
      </c>
      <c r="B489" s="115" t="s">
        <v>552</v>
      </c>
      <c r="C489" s="117">
        <v>4492.13</v>
      </c>
    </row>
    <row r="490" spans="1:3" x14ac:dyDescent="0.25">
      <c r="A490" s="115">
        <v>1167900</v>
      </c>
      <c r="B490" s="115" t="s">
        <v>553</v>
      </c>
      <c r="C490" s="117">
        <v>46.71</v>
      </c>
    </row>
    <row r="491" spans="1:3" x14ac:dyDescent="0.25">
      <c r="A491" s="115">
        <v>1164164</v>
      </c>
      <c r="B491" s="115" t="s">
        <v>554</v>
      </c>
      <c r="C491" s="117">
        <v>3517.24</v>
      </c>
    </row>
    <row r="492" spans="1:3" x14ac:dyDescent="0.25">
      <c r="A492" s="115">
        <v>1163363</v>
      </c>
      <c r="B492" s="115" t="s">
        <v>555</v>
      </c>
      <c r="C492" s="117">
        <v>2559.48</v>
      </c>
    </row>
    <row r="493" spans="1:3" x14ac:dyDescent="0.25">
      <c r="A493" s="115">
        <v>1163325</v>
      </c>
      <c r="B493" s="115" t="s">
        <v>556</v>
      </c>
      <c r="C493" s="117">
        <v>2559.48</v>
      </c>
    </row>
    <row r="494" spans="1:3" x14ac:dyDescent="0.25">
      <c r="A494" s="115">
        <v>1163224</v>
      </c>
      <c r="B494" s="115" t="s">
        <v>557</v>
      </c>
      <c r="C494" s="117">
        <v>32.6</v>
      </c>
    </row>
    <row r="495" spans="1:3" x14ac:dyDescent="0.25">
      <c r="A495" s="115">
        <v>1163253</v>
      </c>
      <c r="B495" s="115" t="s">
        <v>558</v>
      </c>
      <c r="C495" s="117">
        <v>6.95</v>
      </c>
    </row>
    <row r="496" spans="1:3" x14ac:dyDescent="0.25">
      <c r="A496" s="115">
        <v>1161037</v>
      </c>
      <c r="B496" s="115" t="s">
        <v>559</v>
      </c>
      <c r="C496" s="117">
        <v>2369.59</v>
      </c>
    </row>
    <row r="497" spans="1:3" x14ac:dyDescent="0.25">
      <c r="A497" s="115">
        <v>1161070</v>
      </c>
      <c r="B497" s="115" t="s">
        <v>560</v>
      </c>
      <c r="C497" s="117">
        <v>2369.59</v>
      </c>
    </row>
    <row r="498" spans="1:3" x14ac:dyDescent="0.25">
      <c r="A498" s="115">
        <v>1161081</v>
      </c>
      <c r="B498" s="115" t="s">
        <v>12253</v>
      </c>
      <c r="C498" s="117">
        <v>823.49</v>
      </c>
    </row>
    <row r="499" spans="1:3" x14ac:dyDescent="0.25">
      <c r="A499" s="115">
        <v>1161083</v>
      </c>
      <c r="B499" s="115" t="s">
        <v>561</v>
      </c>
      <c r="C499" s="117">
        <v>2251.11</v>
      </c>
    </row>
    <row r="500" spans="1:3" x14ac:dyDescent="0.25">
      <c r="A500" s="115">
        <v>1168500</v>
      </c>
      <c r="B500" s="115" t="s">
        <v>562</v>
      </c>
      <c r="C500" s="117">
        <v>3289.35</v>
      </c>
    </row>
    <row r="501" spans="1:3" x14ac:dyDescent="0.25">
      <c r="A501" s="115">
        <v>1167670</v>
      </c>
      <c r="B501" s="115" t="s">
        <v>12254</v>
      </c>
      <c r="C501" s="117">
        <v>823.49</v>
      </c>
    </row>
    <row r="502" spans="1:3" x14ac:dyDescent="0.25">
      <c r="A502" s="115">
        <v>1165301</v>
      </c>
      <c r="B502" s="115" t="s">
        <v>563</v>
      </c>
      <c r="C502" s="117">
        <v>1127.8699999999999</v>
      </c>
    </row>
    <row r="503" spans="1:3" x14ac:dyDescent="0.25">
      <c r="A503" s="115">
        <v>1165348</v>
      </c>
      <c r="B503" s="115" t="s">
        <v>12255</v>
      </c>
      <c r="C503" s="117">
        <v>3098.79</v>
      </c>
    </row>
    <row r="504" spans="1:3" x14ac:dyDescent="0.25">
      <c r="A504" s="115">
        <v>1165300</v>
      </c>
      <c r="B504" s="115" t="s">
        <v>564</v>
      </c>
      <c r="C504" s="117">
        <v>4989.95</v>
      </c>
    </row>
    <row r="505" spans="1:3" x14ac:dyDescent="0.25">
      <c r="A505" s="115">
        <v>1162000</v>
      </c>
      <c r="B505" s="115" t="s">
        <v>565</v>
      </c>
      <c r="C505" s="117">
        <v>6589.11</v>
      </c>
    </row>
    <row r="506" spans="1:3" x14ac:dyDescent="0.25">
      <c r="A506" s="115">
        <v>1162100</v>
      </c>
      <c r="B506" s="115" t="s">
        <v>566</v>
      </c>
      <c r="C506" s="117">
        <v>3366.84</v>
      </c>
    </row>
    <row r="507" spans="1:3" x14ac:dyDescent="0.25">
      <c r="A507" s="115">
        <v>1161837</v>
      </c>
      <c r="B507" s="115" t="s">
        <v>567</v>
      </c>
      <c r="C507" s="117">
        <v>4566.8</v>
      </c>
    </row>
    <row r="508" spans="1:3" x14ac:dyDescent="0.25">
      <c r="A508" s="115">
        <v>1164710</v>
      </c>
      <c r="B508" s="115" t="s">
        <v>568</v>
      </c>
      <c r="C508" s="117">
        <v>224.29</v>
      </c>
    </row>
    <row r="509" spans="1:3" x14ac:dyDescent="0.25">
      <c r="A509" s="115">
        <v>1164700</v>
      </c>
      <c r="B509" s="115" t="s">
        <v>569</v>
      </c>
      <c r="C509" s="117">
        <v>587.55999999999995</v>
      </c>
    </row>
    <row r="510" spans="1:3" x14ac:dyDescent="0.25">
      <c r="A510" s="115">
        <v>1164678</v>
      </c>
      <c r="B510" s="115" t="s">
        <v>12256</v>
      </c>
      <c r="C510" s="117">
        <v>907.11</v>
      </c>
    </row>
    <row r="511" spans="1:3" x14ac:dyDescent="0.25">
      <c r="A511" s="115">
        <v>1164627</v>
      </c>
      <c r="B511" s="115" t="s">
        <v>570</v>
      </c>
      <c r="C511" s="117">
        <v>2083.92</v>
      </c>
    </row>
    <row r="512" spans="1:3" x14ac:dyDescent="0.25">
      <c r="A512" s="115">
        <v>1164639</v>
      </c>
      <c r="B512" s="115" t="s">
        <v>571</v>
      </c>
      <c r="C512" s="117">
        <v>2083.92</v>
      </c>
    </row>
    <row r="513" spans="1:3" x14ac:dyDescent="0.25">
      <c r="A513" s="115">
        <v>1164605</v>
      </c>
      <c r="B513" s="115" t="s">
        <v>572</v>
      </c>
      <c r="C513" s="117">
        <v>2785.23</v>
      </c>
    </row>
    <row r="514" spans="1:3" x14ac:dyDescent="0.25">
      <c r="A514" s="115">
        <v>1164626</v>
      </c>
      <c r="B514" s="115" t="s">
        <v>573</v>
      </c>
      <c r="C514" s="117">
        <v>38.93</v>
      </c>
    </row>
    <row r="515" spans="1:3" x14ac:dyDescent="0.25">
      <c r="A515" s="115">
        <v>1164638</v>
      </c>
      <c r="B515" s="115" t="s">
        <v>574</v>
      </c>
      <c r="C515" s="117">
        <v>39.79</v>
      </c>
    </row>
    <row r="516" spans="1:3" x14ac:dyDescent="0.25">
      <c r="A516" s="115">
        <v>1164672</v>
      </c>
      <c r="B516" s="115" t="s">
        <v>575</v>
      </c>
      <c r="C516" s="117">
        <v>2785.23</v>
      </c>
    </row>
    <row r="517" spans="1:3" x14ac:dyDescent="0.25">
      <c r="A517" s="115">
        <v>1164683</v>
      </c>
      <c r="B517" s="115" t="s">
        <v>576</v>
      </c>
      <c r="C517" s="117">
        <v>39.79</v>
      </c>
    </row>
    <row r="518" spans="1:3" x14ac:dyDescent="0.25">
      <c r="A518" s="115">
        <v>1160277</v>
      </c>
      <c r="B518" s="115" t="s">
        <v>577</v>
      </c>
      <c r="C518" s="117">
        <v>2127.86</v>
      </c>
    </row>
    <row r="519" spans="1:3" x14ac:dyDescent="0.25">
      <c r="A519" s="115">
        <v>1160223</v>
      </c>
      <c r="B519" s="115" t="s">
        <v>578</v>
      </c>
      <c r="C519" s="117">
        <v>2127.86</v>
      </c>
    </row>
    <row r="520" spans="1:3" x14ac:dyDescent="0.25">
      <c r="A520" s="115">
        <v>1160232</v>
      </c>
      <c r="B520" s="115" t="s">
        <v>579</v>
      </c>
      <c r="C520" s="117">
        <v>2127.86</v>
      </c>
    </row>
    <row r="521" spans="1:3" x14ac:dyDescent="0.25">
      <c r="A521" s="115">
        <v>1160264</v>
      </c>
      <c r="B521" s="115" t="s">
        <v>580</v>
      </c>
      <c r="C521" s="117">
        <v>2127.86</v>
      </c>
    </row>
    <row r="522" spans="1:3" x14ac:dyDescent="0.25">
      <c r="A522" s="115">
        <v>1162200</v>
      </c>
      <c r="B522" s="115" t="s">
        <v>581</v>
      </c>
      <c r="C522" s="117">
        <v>2206.46</v>
      </c>
    </row>
    <row r="523" spans="1:3" x14ac:dyDescent="0.25">
      <c r="A523" s="115">
        <v>1242818</v>
      </c>
      <c r="B523" s="115" t="s">
        <v>582</v>
      </c>
      <c r="C523" s="117">
        <v>10503.39</v>
      </c>
    </row>
    <row r="524" spans="1:3" x14ac:dyDescent="0.25">
      <c r="A524" s="115">
        <v>1242893</v>
      </c>
      <c r="B524" s="115" t="s">
        <v>583</v>
      </c>
      <c r="C524" s="117">
        <v>7306.71</v>
      </c>
    </row>
    <row r="525" spans="1:3" x14ac:dyDescent="0.25">
      <c r="A525" s="115">
        <v>1246497</v>
      </c>
      <c r="B525" s="115" t="s">
        <v>584</v>
      </c>
      <c r="C525" s="117">
        <v>1953.02</v>
      </c>
    </row>
    <row r="526" spans="1:3" x14ac:dyDescent="0.25">
      <c r="A526" s="115">
        <v>1246496</v>
      </c>
      <c r="B526" s="115" t="s">
        <v>585</v>
      </c>
      <c r="C526" s="117">
        <v>1953.02</v>
      </c>
    </row>
    <row r="527" spans="1:3" x14ac:dyDescent="0.25">
      <c r="A527" s="115">
        <v>1162938</v>
      </c>
      <c r="B527" s="115" t="s">
        <v>586</v>
      </c>
      <c r="C527" s="117">
        <v>3378.54</v>
      </c>
    </row>
    <row r="528" spans="1:3" x14ac:dyDescent="0.25">
      <c r="A528" s="115">
        <v>1160211</v>
      </c>
      <c r="B528" s="115" t="s">
        <v>587</v>
      </c>
      <c r="C528" s="117">
        <v>1942.85</v>
      </c>
    </row>
    <row r="529" spans="1:3" x14ac:dyDescent="0.25">
      <c r="A529" s="115">
        <v>1242813</v>
      </c>
      <c r="B529" s="115" t="s">
        <v>588</v>
      </c>
      <c r="C529" s="117">
        <v>13244.55</v>
      </c>
    </row>
    <row r="530" spans="1:3" x14ac:dyDescent="0.25">
      <c r="A530" s="115">
        <v>1160246</v>
      </c>
      <c r="B530" s="115" t="s">
        <v>589</v>
      </c>
      <c r="C530" s="117">
        <v>1942.85</v>
      </c>
    </row>
    <row r="531" spans="1:3" x14ac:dyDescent="0.25">
      <c r="A531" s="115">
        <v>1160209</v>
      </c>
      <c r="B531" s="115" t="s">
        <v>590</v>
      </c>
      <c r="C531" s="117">
        <v>1942.85</v>
      </c>
    </row>
    <row r="532" spans="1:3" x14ac:dyDescent="0.25">
      <c r="A532" s="115">
        <v>1242811</v>
      </c>
      <c r="B532" s="115" t="s">
        <v>591</v>
      </c>
      <c r="C532" s="117">
        <v>12833.23</v>
      </c>
    </row>
    <row r="533" spans="1:3" x14ac:dyDescent="0.25">
      <c r="A533" s="115">
        <v>1160228</v>
      </c>
      <c r="B533" s="115" t="s">
        <v>592</v>
      </c>
      <c r="C533" s="117">
        <v>2365.9</v>
      </c>
    </row>
    <row r="534" spans="1:3" x14ac:dyDescent="0.25">
      <c r="A534" s="115">
        <v>1160229</v>
      </c>
      <c r="B534" s="115" t="s">
        <v>593</v>
      </c>
      <c r="C534" s="117">
        <v>2365.9</v>
      </c>
    </row>
    <row r="535" spans="1:3" x14ac:dyDescent="0.25">
      <c r="A535" s="115">
        <v>1242814</v>
      </c>
      <c r="B535" s="115" t="s">
        <v>594</v>
      </c>
      <c r="C535" s="117">
        <v>12774.41</v>
      </c>
    </row>
    <row r="536" spans="1:3" x14ac:dyDescent="0.25">
      <c r="A536" s="115">
        <v>1160208</v>
      </c>
      <c r="B536" s="115" t="s">
        <v>595</v>
      </c>
      <c r="C536" s="117">
        <v>1942.85</v>
      </c>
    </row>
    <row r="537" spans="1:3" x14ac:dyDescent="0.25">
      <c r="A537" s="115">
        <v>1160210</v>
      </c>
      <c r="B537" s="115" t="s">
        <v>596</v>
      </c>
      <c r="C537" s="117">
        <v>1102.8599999999999</v>
      </c>
    </row>
    <row r="538" spans="1:3" x14ac:dyDescent="0.25">
      <c r="A538" s="144" t="s">
        <v>597</v>
      </c>
      <c r="B538" s="145"/>
      <c r="C538" s="145"/>
    </row>
    <row r="539" spans="1:3" x14ac:dyDescent="0.25">
      <c r="A539" s="115">
        <v>1160131</v>
      </c>
      <c r="B539" s="115" t="s">
        <v>11889</v>
      </c>
      <c r="C539" s="117">
        <v>3638.28</v>
      </c>
    </row>
    <row r="540" spans="1:3" x14ac:dyDescent="0.25">
      <c r="A540" s="115">
        <v>1160121</v>
      </c>
      <c r="B540" s="115" t="s">
        <v>11890</v>
      </c>
      <c r="C540" s="117">
        <v>3166.27</v>
      </c>
    </row>
    <row r="541" spans="1:3" x14ac:dyDescent="0.25">
      <c r="A541" s="115">
        <v>1245636</v>
      </c>
      <c r="B541" s="115" t="s">
        <v>598</v>
      </c>
      <c r="C541" s="117">
        <v>1940.6</v>
      </c>
    </row>
    <row r="542" spans="1:3" x14ac:dyDescent="0.25">
      <c r="A542" s="115">
        <v>1241500</v>
      </c>
      <c r="B542" s="115" t="s">
        <v>599</v>
      </c>
      <c r="C542" s="117">
        <v>1608.09</v>
      </c>
    </row>
    <row r="543" spans="1:3" x14ac:dyDescent="0.25">
      <c r="A543" s="115">
        <v>1246502</v>
      </c>
      <c r="B543" s="115" t="s">
        <v>600</v>
      </c>
      <c r="C543" s="117">
        <v>80.569999999999993</v>
      </c>
    </row>
    <row r="544" spans="1:3" x14ac:dyDescent="0.25">
      <c r="A544" s="115">
        <v>1243420</v>
      </c>
      <c r="B544" s="115" t="s">
        <v>11891</v>
      </c>
      <c r="C544" s="117">
        <v>5046.72</v>
      </c>
    </row>
    <row r="545" spans="1:3" x14ac:dyDescent="0.25">
      <c r="A545" s="115">
        <v>1243400</v>
      </c>
      <c r="B545" s="115" t="s">
        <v>601</v>
      </c>
      <c r="C545" s="117">
        <v>6941.77</v>
      </c>
    </row>
    <row r="546" spans="1:3" x14ac:dyDescent="0.25">
      <c r="A546" s="115">
        <v>1243404</v>
      </c>
      <c r="B546" s="115" t="s">
        <v>602</v>
      </c>
      <c r="C546" s="117">
        <v>1744.56</v>
      </c>
    </row>
    <row r="547" spans="1:3" x14ac:dyDescent="0.25">
      <c r="A547" s="115">
        <v>1246535</v>
      </c>
      <c r="B547" s="115" t="s">
        <v>603</v>
      </c>
      <c r="C547" s="117">
        <v>817.74</v>
      </c>
    </row>
    <row r="548" spans="1:3" x14ac:dyDescent="0.25">
      <c r="A548" s="115">
        <v>1246405</v>
      </c>
      <c r="B548" s="115" t="s">
        <v>604</v>
      </c>
      <c r="C548" s="117">
        <v>1646.71</v>
      </c>
    </row>
    <row r="549" spans="1:3" x14ac:dyDescent="0.25">
      <c r="A549" s="115">
        <v>1246430</v>
      </c>
      <c r="B549" s="115" t="s">
        <v>11892</v>
      </c>
      <c r="C549" s="117">
        <v>1953.02</v>
      </c>
    </row>
    <row r="550" spans="1:3" x14ac:dyDescent="0.25">
      <c r="A550" s="115">
        <v>1246411</v>
      </c>
      <c r="B550" s="115" t="s">
        <v>605</v>
      </c>
      <c r="C550" s="117">
        <v>1953.02</v>
      </c>
    </row>
    <row r="551" spans="1:3" x14ac:dyDescent="0.25">
      <c r="A551" s="115">
        <v>1246494</v>
      </c>
      <c r="B551" s="115" t="s">
        <v>606</v>
      </c>
      <c r="C551" s="117">
        <v>1953.02</v>
      </c>
    </row>
    <row r="552" spans="1:3" x14ac:dyDescent="0.25">
      <c r="A552" s="115">
        <v>1246495</v>
      </c>
      <c r="B552" s="115" t="s">
        <v>607</v>
      </c>
      <c r="C552" s="117">
        <v>1953.02</v>
      </c>
    </row>
    <row r="553" spans="1:3" x14ac:dyDescent="0.25">
      <c r="A553" s="115">
        <v>1246410</v>
      </c>
      <c r="B553" s="115" t="s">
        <v>608</v>
      </c>
      <c r="C553" s="117">
        <v>81.38</v>
      </c>
    </row>
    <row r="554" spans="1:3" x14ac:dyDescent="0.25">
      <c r="A554" s="115">
        <v>1246420</v>
      </c>
      <c r="B554" s="115" t="s">
        <v>609</v>
      </c>
      <c r="C554" s="117">
        <v>95.55</v>
      </c>
    </row>
    <row r="555" spans="1:3" x14ac:dyDescent="0.25">
      <c r="A555" s="115">
        <v>1246478</v>
      </c>
      <c r="B555" s="115" t="s">
        <v>610</v>
      </c>
      <c r="C555" s="117">
        <v>95.55</v>
      </c>
    </row>
    <row r="556" spans="1:3" x14ac:dyDescent="0.25">
      <c r="A556" s="115">
        <v>1246472</v>
      </c>
      <c r="B556" s="115" t="s">
        <v>611</v>
      </c>
      <c r="C556" s="117">
        <v>81.38</v>
      </c>
    </row>
    <row r="557" spans="1:3" x14ac:dyDescent="0.25">
      <c r="A557" s="115">
        <v>1246402</v>
      </c>
      <c r="B557" s="115" t="s">
        <v>612</v>
      </c>
      <c r="C557" s="117">
        <v>95.55</v>
      </c>
    </row>
    <row r="558" spans="1:3" x14ac:dyDescent="0.25">
      <c r="A558" s="115">
        <v>1246600</v>
      </c>
      <c r="B558" s="115" t="s">
        <v>613</v>
      </c>
      <c r="C558" s="117">
        <v>1184.98</v>
      </c>
    </row>
    <row r="559" spans="1:3" x14ac:dyDescent="0.25">
      <c r="A559" s="115">
        <v>1249243</v>
      </c>
      <c r="B559" s="115" t="s">
        <v>614</v>
      </c>
      <c r="C559" s="117">
        <v>964.11</v>
      </c>
    </row>
    <row r="560" spans="1:3" x14ac:dyDescent="0.25">
      <c r="A560" s="115">
        <v>1249245</v>
      </c>
      <c r="B560" s="115" t="s">
        <v>615</v>
      </c>
      <c r="C560" s="117">
        <v>964.11</v>
      </c>
    </row>
    <row r="561" spans="1:3" x14ac:dyDescent="0.25">
      <c r="A561" s="115">
        <v>1249224</v>
      </c>
      <c r="B561" s="115" t="s">
        <v>616</v>
      </c>
      <c r="C561" s="117">
        <v>964.11</v>
      </c>
    </row>
    <row r="562" spans="1:3" x14ac:dyDescent="0.25">
      <c r="A562" s="115">
        <v>1242199</v>
      </c>
      <c r="B562" s="115" t="s">
        <v>617</v>
      </c>
      <c r="C562" s="117">
        <v>51.57</v>
      </c>
    </row>
    <row r="563" spans="1:3" x14ac:dyDescent="0.25">
      <c r="A563" s="115">
        <v>1242400</v>
      </c>
      <c r="B563" s="115" t="s">
        <v>618</v>
      </c>
      <c r="C563" s="117">
        <v>96.45</v>
      </c>
    </row>
    <row r="564" spans="1:3" x14ac:dyDescent="0.25">
      <c r="A564" s="115">
        <v>1244738</v>
      </c>
      <c r="B564" s="115" t="s">
        <v>619</v>
      </c>
      <c r="C564" s="117">
        <v>332.92</v>
      </c>
    </row>
    <row r="565" spans="1:3" x14ac:dyDescent="0.25">
      <c r="A565" s="115">
        <v>1244562</v>
      </c>
      <c r="B565" s="115" t="s">
        <v>620</v>
      </c>
      <c r="C565" s="117">
        <v>332.92</v>
      </c>
    </row>
    <row r="566" spans="1:3" x14ac:dyDescent="0.25">
      <c r="A566" s="115">
        <v>1244572</v>
      </c>
      <c r="B566" s="115" t="s">
        <v>621</v>
      </c>
      <c r="C566" s="117">
        <v>332.92</v>
      </c>
    </row>
    <row r="567" spans="1:3" x14ac:dyDescent="0.25">
      <c r="A567" s="115">
        <v>1244788</v>
      </c>
      <c r="B567" s="115" t="s">
        <v>622</v>
      </c>
      <c r="C567" s="117">
        <v>332.92</v>
      </c>
    </row>
    <row r="568" spans="1:3" x14ac:dyDescent="0.25">
      <c r="A568" s="115">
        <v>1246601</v>
      </c>
      <c r="B568" s="115" t="s">
        <v>623</v>
      </c>
      <c r="C568" s="117">
        <v>6515.83</v>
      </c>
    </row>
    <row r="569" spans="1:3" x14ac:dyDescent="0.25">
      <c r="A569" s="115">
        <v>1246000</v>
      </c>
      <c r="B569" s="115" t="s">
        <v>624</v>
      </c>
      <c r="C569" s="117">
        <v>1344.02</v>
      </c>
    </row>
    <row r="570" spans="1:3" x14ac:dyDescent="0.25">
      <c r="A570" s="115">
        <v>1244829</v>
      </c>
      <c r="B570" s="115" t="s">
        <v>625</v>
      </c>
      <c r="C570" s="117">
        <v>147.22</v>
      </c>
    </row>
    <row r="571" spans="1:3" x14ac:dyDescent="0.25">
      <c r="A571" s="115">
        <v>1244869</v>
      </c>
      <c r="B571" s="115" t="s">
        <v>626</v>
      </c>
      <c r="C571" s="117">
        <v>3533.39</v>
      </c>
    </row>
    <row r="572" spans="1:3" x14ac:dyDescent="0.25">
      <c r="A572" s="115">
        <v>1244872</v>
      </c>
      <c r="B572" s="115" t="s">
        <v>627</v>
      </c>
      <c r="C572" s="117">
        <v>147.22</v>
      </c>
    </row>
    <row r="573" spans="1:3" x14ac:dyDescent="0.25">
      <c r="A573" s="115">
        <v>1244800</v>
      </c>
      <c r="B573" s="115" t="s">
        <v>628</v>
      </c>
      <c r="C573" s="117">
        <v>147.22</v>
      </c>
    </row>
    <row r="574" spans="1:3" x14ac:dyDescent="0.25">
      <c r="A574" s="115">
        <v>1244888</v>
      </c>
      <c r="B574" s="115" t="s">
        <v>629</v>
      </c>
      <c r="C574" s="117">
        <v>3533.39</v>
      </c>
    </row>
    <row r="575" spans="1:3" x14ac:dyDescent="0.25">
      <c r="A575" s="115">
        <v>1243200</v>
      </c>
      <c r="B575" s="115" t="s">
        <v>630</v>
      </c>
      <c r="C575" s="117">
        <v>1269.96</v>
      </c>
    </row>
    <row r="576" spans="1:3" x14ac:dyDescent="0.25">
      <c r="A576" s="115">
        <v>1247800</v>
      </c>
      <c r="B576" s="115" t="s">
        <v>631</v>
      </c>
      <c r="C576" s="117">
        <v>1029.83</v>
      </c>
    </row>
    <row r="577" spans="1:3" x14ac:dyDescent="0.25">
      <c r="A577" s="115">
        <v>1243300</v>
      </c>
      <c r="B577" s="115" t="s">
        <v>632</v>
      </c>
      <c r="C577" s="117">
        <v>1164.22</v>
      </c>
    </row>
    <row r="578" spans="1:3" x14ac:dyDescent="0.25">
      <c r="A578" s="115">
        <v>1249547</v>
      </c>
      <c r="B578" s="115" t="s">
        <v>633</v>
      </c>
      <c r="C578" s="117">
        <v>1941.39</v>
      </c>
    </row>
    <row r="579" spans="1:3" x14ac:dyDescent="0.25">
      <c r="A579" s="115">
        <v>1249546</v>
      </c>
      <c r="B579" s="115" t="s">
        <v>634</v>
      </c>
      <c r="C579" s="117">
        <v>1516.07</v>
      </c>
    </row>
    <row r="580" spans="1:3" x14ac:dyDescent="0.25">
      <c r="A580" s="115">
        <v>1249545</v>
      </c>
      <c r="B580" s="115" t="s">
        <v>635</v>
      </c>
      <c r="C580" s="117">
        <v>1516.07</v>
      </c>
    </row>
    <row r="581" spans="1:3" x14ac:dyDescent="0.25">
      <c r="A581" s="115">
        <v>1249540</v>
      </c>
      <c r="B581" s="115" t="s">
        <v>636</v>
      </c>
      <c r="C581" s="117">
        <v>419.4</v>
      </c>
    </row>
    <row r="582" spans="1:3" x14ac:dyDescent="0.25">
      <c r="A582" s="115">
        <v>1240646</v>
      </c>
      <c r="B582" s="115" t="s">
        <v>637</v>
      </c>
      <c r="C582" s="117">
        <v>1941.39</v>
      </c>
    </row>
    <row r="583" spans="1:3" x14ac:dyDescent="0.25">
      <c r="A583" s="115">
        <v>1244451</v>
      </c>
      <c r="B583" s="115" t="s">
        <v>638</v>
      </c>
      <c r="C583" s="117">
        <v>2407.1799999999998</v>
      </c>
    </row>
    <row r="584" spans="1:3" x14ac:dyDescent="0.25">
      <c r="A584" s="115">
        <v>1243440</v>
      </c>
      <c r="B584" s="115" t="s">
        <v>639</v>
      </c>
      <c r="C584" s="117">
        <v>2407.1799999999998</v>
      </c>
    </row>
    <row r="585" spans="1:3" x14ac:dyDescent="0.25">
      <c r="A585" s="115">
        <v>1241300</v>
      </c>
      <c r="B585" s="115" t="s">
        <v>640</v>
      </c>
      <c r="C585" s="117">
        <v>39.979999999999997</v>
      </c>
    </row>
    <row r="586" spans="1:3" x14ac:dyDescent="0.25">
      <c r="A586" s="115">
        <v>1241938</v>
      </c>
      <c r="B586" s="115" t="s">
        <v>641</v>
      </c>
      <c r="C586" s="117">
        <v>79.540000000000006</v>
      </c>
    </row>
    <row r="587" spans="1:3" x14ac:dyDescent="0.25">
      <c r="A587" s="115">
        <v>1241983</v>
      </c>
      <c r="B587" s="115" t="s">
        <v>642</v>
      </c>
      <c r="C587" s="117">
        <v>79.540000000000006</v>
      </c>
    </row>
    <row r="588" spans="1:3" x14ac:dyDescent="0.25">
      <c r="A588" s="115">
        <v>1240416</v>
      </c>
      <c r="B588" s="115" t="s">
        <v>643</v>
      </c>
      <c r="C588" s="117">
        <v>2862.15</v>
      </c>
    </row>
    <row r="589" spans="1:3" x14ac:dyDescent="0.25">
      <c r="A589" s="115">
        <v>1240488</v>
      </c>
      <c r="B589" s="115" t="s">
        <v>644</v>
      </c>
      <c r="C589" s="117">
        <v>1971.71</v>
      </c>
    </row>
    <row r="590" spans="1:3" x14ac:dyDescent="0.25">
      <c r="A590" s="115">
        <v>1249548</v>
      </c>
      <c r="B590" s="115" t="s">
        <v>645</v>
      </c>
      <c r="C590" s="117">
        <v>1699.2</v>
      </c>
    </row>
    <row r="591" spans="1:3" x14ac:dyDescent="0.25">
      <c r="A591" s="115">
        <v>1249550</v>
      </c>
      <c r="B591" s="115" t="s">
        <v>646</v>
      </c>
      <c r="C591" s="117">
        <v>1529.28</v>
      </c>
    </row>
    <row r="592" spans="1:3" x14ac:dyDescent="0.25">
      <c r="A592" s="115">
        <v>1241695</v>
      </c>
      <c r="B592" s="115" t="s">
        <v>647</v>
      </c>
      <c r="C592" s="117">
        <v>1236.2</v>
      </c>
    </row>
    <row r="593" spans="1:3" x14ac:dyDescent="0.25">
      <c r="A593" s="115">
        <v>1241682</v>
      </c>
      <c r="B593" s="115" t="s">
        <v>648</v>
      </c>
      <c r="C593" s="117">
        <v>417.27</v>
      </c>
    </row>
    <row r="594" spans="1:3" x14ac:dyDescent="0.25">
      <c r="A594" s="115">
        <v>1241622</v>
      </c>
      <c r="B594" s="115" t="s">
        <v>649</v>
      </c>
      <c r="C594" s="117">
        <v>2724.46</v>
      </c>
    </row>
    <row r="595" spans="1:3" x14ac:dyDescent="0.25">
      <c r="A595" s="115">
        <v>1241683</v>
      </c>
      <c r="B595" s="115" t="s">
        <v>650</v>
      </c>
      <c r="C595" s="117">
        <v>2724.44</v>
      </c>
    </row>
    <row r="596" spans="1:3" x14ac:dyDescent="0.25">
      <c r="A596" s="115">
        <v>1241605</v>
      </c>
      <c r="B596" s="115" t="s">
        <v>651</v>
      </c>
      <c r="C596" s="117">
        <v>2724.44</v>
      </c>
    </row>
    <row r="597" spans="1:3" x14ac:dyDescent="0.25">
      <c r="A597" s="115">
        <v>1243075</v>
      </c>
      <c r="B597" s="115" t="s">
        <v>652</v>
      </c>
      <c r="C597" s="117">
        <v>2724.46</v>
      </c>
    </row>
    <row r="598" spans="1:3" x14ac:dyDescent="0.25">
      <c r="A598" s="115">
        <v>1241696</v>
      </c>
      <c r="B598" s="115" t="s">
        <v>653</v>
      </c>
      <c r="C598" s="117">
        <v>51.51</v>
      </c>
    </row>
    <row r="599" spans="1:3" x14ac:dyDescent="0.25">
      <c r="A599" s="115">
        <v>1241699</v>
      </c>
      <c r="B599" s="115" t="s">
        <v>654</v>
      </c>
      <c r="C599" s="117">
        <v>2724.46</v>
      </c>
    </row>
    <row r="600" spans="1:3" x14ac:dyDescent="0.25">
      <c r="A600" s="115">
        <v>1241212</v>
      </c>
      <c r="B600" s="115" t="s">
        <v>655</v>
      </c>
      <c r="C600" s="117">
        <v>984.36</v>
      </c>
    </row>
    <row r="601" spans="1:3" x14ac:dyDescent="0.25">
      <c r="A601" s="115">
        <v>1241200</v>
      </c>
      <c r="B601" s="115" t="s">
        <v>656</v>
      </c>
      <c r="C601" s="117">
        <v>3371.37</v>
      </c>
    </row>
    <row r="602" spans="1:3" x14ac:dyDescent="0.25">
      <c r="A602" s="115">
        <v>1241800</v>
      </c>
      <c r="B602" s="115" t="s">
        <v>657</v>
      </c>
      <c r="C602" s="117">
        <v>67.430000000000007</v>
      </c>
    </row>
    <row r="603" spans="1:3" x14ac:dyDescent="0.25">
      <c r="A603" s="115">
        <v>1241201</v>
      </c>
      <c r="B603" s="115" t="s">
        <v>658</v>
      </c>
      <c r="C603" s="117">
        <v>67.430000000000007</v>
      </c>
    </row>
    <row r="604" spans="1:3" x14ac:dyDescent="0.25">
      <c r="A604" s="115">
        <v>1240824</v>
      </c>
      <c r="B604" s="115" t="s">
        <v>659</v>
      </c>
      <c r="C604" s="117">
        <v>3222.6</v>
      </c>
    </row>
    <row r="605" spans="1:3" x14ac:dyDescent="0.25">
      <c r="A605" s="115">
        <v>1246701</v>
      </c>
      <c r="B605" s="115" t="s">
        <v>660</v>
      </c>
      <c r="C605" s="117">
        <v>1521.71</v>
      </c>
    </row>
    <row r="606" spans="1:3" x14ac:dyDescent="0.25">
      <c r="A606" s="115">
        <v>1246700</v>
      </c>
      <c r="B606" s="115" t="s">
        <v>661</v>
      </c>
      <c r="C606" s="117">
        <v>30.43</v>
      </c>
    </row>
    <row r="607" spans="1:3" x14ac:dyDescent="0.25">
      <c r="A607" s="115">
        <v>1246735</v>
      </c>
      <c r="B607" s="115" t="s">
        <v>662</v>
      </c>
      <c r="C607" s="117">
        <v>30.43</v>
      </c>
    </row>
    <row r="608" spans="1:3" x14ac:dyDescent="0.25">
      <c r="A608" s="115">
        <v>1246702</v>
      </c>
      <c r="B608" s="115" t="s">
        <v>663</v>
      </c>
      <c r="C608" s="117">
        <v>29.99</v>
      </c>
    </row>
    <row r="609" spans="1:3" x14ac:dyDescent="0.25">
      <c r="A609" s="115">
        <v>1246710</v>
      </c>
      <c r="B609" s="115" t="s">
        <v>664</v>
      </c>
      <c r="C609" s="117">
        <v>30.43</v>
      </c>
    </row>
    <row r="610" spans="1:3" x14ac:dyDescent="0.25">
      <c r="A610" s="115">
        <v>1242555</v>
      </c>
      <c r="B610" s="115" t="s">
        <v>665</v>
      </c>
      <c r="C610" s="117">
        <v>1133.72</v>
      </c>
    </row>
    <row r="611" spans="1:3" x14ac:dyDescent="0.25">
      <c r="A611" s="115">
        <v>1242511</v>
      </c>
      <c r="B611" s="115" t="s">
        <v>666</v>
      </c>
      <c r="C611" s="117">
        <v>1990.81</v>
      </c>
    </row>
    <row r="612" spans="1:3" x14ac:dyDescent="0.25">
      <c r="A612" s="115">
        <v>1242500</v>
      </c>
      <c r="B612" s="115" t="s">
        <v>667</v>
      </c>
      <c r="C612" s="117">
        <v>118.32</v>
      </c>
    </row>
    <row r="613" spans="1:3" x14ac:dyDescent="0.25">
      <c r="A613" s="115">
        <v>1242724</v>
      </c>
      <c r="B613" s="115" t="s">
        <v>668</v>
      </c>
      <c r="C613" s="117">
        <v>115.55</v>
      </c>
    </row>
    <row r="614" spans="1:3" x14ac:dyDescent="0.25">
      <c r="A614" s="115">
        <v>1247436</v>
      </c>
      <c r="B614" s="115" t="s">
        <v>669</v>
      </c>
      <c r="C614" s="117">
        <v>1940.6</v>
      </c>
    </row>
    <row r="615" spans="1:3" x14ac:dyDescent="0.25">
      <c r="A615" s="115">
        <v>1245600</v>
      </c>
      <c r="B615" s="115" t="s">
        <v>670</v>
      </c>
      <c r="C615" s="117">
        <v>298.51</v>
      </c>
    </row>
    <row r="616" spans="1:3" x14ac:dyDescent="0.25">
      <c r="A616" s="115">
        <v>1247404</v>
      </c>
      <c r="B616" s="115" t="s">
        <v>671</v>
      </c>
      <c r="C616" s="117">
        <v>4953.99</v>
      </c>
    </row>
    <row r="617" spans="1:3" x14ac:dyDescent="0.25">
      <c r="A617" s="115">
        <v>1247435</v>
      </c>
      <c r="B617" s="115" t="s">
        <v>11487</v>
      </c>
      <c r="C617" s="117">
        <v>4445.87</v>
      </c>
    </row>
    <row r="618" spans="1:3" x14ac:dyDescent="0.25">
      <c r="A618" s="115">
        <v>1247417</v>
      </c>
      <c r="B618" s="115" t="s">
        <v>11893</v>
      </c>
      <c r="C618" s="117">
        <v>4953.99</v>
      </c>
    </row>
    <row r="619" spans="1:3" x14ac:dyDescent="0.25">
      <c r="A619" s="115">
        <v>1262459</v>
      </c>
      <c r="B619" s="115" t="s">
        <v>11488</v>
      </c>
      <c r="C619" s="117">
        <v>5788.56</v>
      </c>
    </row>
    <row r="620" spans="1:3" x14ac:dyDescent="0.25">
      <c r="A620" s="115">
        <v>1247400</v>
      </c>
      <c r="B620" s="115" t="s">
        <v>672</v>
      </c>
      <c r="C620" s="117">
        <v>2476.9899999999998</v>
      </c>
    </row>
    <row r="621" spans="1:3" x14ac:dyDescent="0.25">
      <c r="A621" s="115">
        <v>1247418</v>
      </c>
      <c r="B621" s="115" t="s">
        <v>673</v>
      </c>
      <c r="C621" s="117">
        <v>4953.99</v>
      </c>
    </row>
    <row r="622" spans="1:3" x14ac:dyDescent="0.25">
      <c r="A622" s="115">
        <v>1242803</v>
      </c>
      <c r="B622" s="115" t="s">
        <v>674</v>
      </c>
      <c r="C622" s="117">
        <v>1169.07</v>
      </c>
    </row>
    <row r="623" spans="1:3" x14ac:dyDescent="0.25">
      <c r="A623" s="115">
        <v>1249940</v>
      </c>
      <c r="B623" s="115" t="s">
        <v>675</v>
      </c>
      <c r="C623" s="117">
        <v>6086.63</v>
      </c>
    </row>
    <row r="624" spans="1:3" x14ac:dyDescent="0.25">
      <c r="A624" s="115">
        <v>1249978</v>
      </c>
      <c r="B624" s="115" t="s">
        <v>11894</v>
      </c>
      <c r="C624" s="117">
        <v>8765.34</v>
      </c>
    </row>
    <row r="625" spans="1:3" x14ac:dyDescent="0.25">
      <c r="A625" s="115">
        <v>1241310</v>
      </c>
      <c r="B625" s="115" t="s">
        <v>676</v>
      </c>
      <c r="C625" s="117">
        <v>510.4</v>
      </c>
    </row>
    <row r="626" spans="1:3" x14ac:dyDescent="0.25">
      <c r="A626" s="115">
        <v>1249543</v>
      </c>
      <c r="B626" s="115" t="s">
        <v>677</v>
      </c>
      <c r="C626" s="117">
        <v>1516.07</v>
      </c>
    </row>
    <row r="627" spans="1:3" x14ac:dyDescent="0.25">
      <c r="A627" s="115">
        <v>1240310</v>
      </c>
      <c r="B627" s="115" t="s">
        <v>678</v>
      </c>
      <c r="C627" s="117">
        <v>4862.24</v>
      </c>
    </row>
    <row r="628" spans="1:3" x14ac:dyDescent="0.25">
      <c r="A628" s="115">
        <v>1249800</v>
      </c>
      <c r="B628" s="115" t="s">
        <v>679</v>
      </c>
      <c r="C628" s="117">
        <v>1329.38</v>
      </c>
    </row>
    <row r="629" spans="1:3" x14ac:dyDescent="0.25">
      <c r="A629" s="115">
        <v>1245737</v>
      </c>
      <c r="B629" s="115" t="s">
        <v>680</v>
      </c>
      <c r="C629" s="117">
        <v>42.61</v>
      </c>
    </row>
    <row r="630" spans="1:3" x14ac:dyDescent="0.25">
      <c r="A630" s="115">
        <v>1245700</v>
      </c>
      <c r="B630" s="115" t="s">
        <v>681</v>
      </c>
      <c r="C630" s="117">
        <v>42.61</v>
      </c>
    </row>
    <row r="631" spans="1:3" x14ac:dyDescent="0.25">
      <c r="A631" s="115">
        <v>1240648</v>
      </c>
      <c r="B631" s="115" t="s">
        <v>682</v>
      </c>
      <c r="C631" s="117">
        <v>2157.1</v>
      </c>
    </row>
    <row r="632" spans="1:3" x14ac:dyDescent="0.25">
      <c r="A632" s="115">
        <v>1240647</v>
      </c>
      <c r="B632" s="115" t="s">
        <v>683</v>
      </c>
      <c r="C632" s="117">
        <v>1941.39</v>
      </c>
    </row>
    <row r="633" spans="1:3" x14ac:dyDescent="0.25">
      <c r="A633" s="115">
        <v>1242900</v>
      </c>
      <c r="B633" s="115" t="s">
        <v>684</v>
      </c>
      <c r="C633" s="117">
        <v>432.82</v>
      </c>
    </row>
    <row r="634" spans="1:3" x14ac:dyDescent="0.25">
      <c r="A634" s="115">
        <v>1249199</v>
      </c>
      <c r="B634" s="115" t="s">
        <v>685</v>
      </c>
      <c r="C634" s="117">
        <v>1374.06</v>
      </c>
    </row>
    <row r="635" spans="1:3" x14ac:dyDescent="0.25">
      <c r="A635" s="115">
        <v>1241401</v>
      </c>
      <c r="B635" s="115" t="s">
        <v>686</v>
      </c>
      <c r="C635" s="117">
        <v>4824.29</v>
      </c>
    </row>
    <row r="636" spans="1:3" x14ac:dyDescent="0.25">
      <c r="A636" s="115">
        <v>1242118</v>
      </c>
      <c r="B636" s="115" t="s">
        <v>12257</v>
      </c>
      <c r="C636" s="117">
        <v>7958.76</v>
      </c>
    </row>
    <row r="637" spans="1:3" x14ac:dyDescent="0.25">
      <c r="A637" s="115">
        <v>1242173</v>
      </c>
      <c r="B637" s="115" t="s">
        <v>12258</v>
      </c>
      <c r="C637" s="117">
        <v>15486.37</v>
      </c>
    </row>
    <row r="638" spans="1:3" x14ac:dyDescent="0.25">
      <c r="A638" s="115">
        <v>1240746</v>
      </c>
      <c r="B638" s="115" t="s">
        <v>687</v>
      </c>
      <c r="C638" s="117">
        <v>1941.39</v>
      </c>
    </row>
    <row r="639" spans="1:3" x14ac:dyDescent="0.25">
      <c r="A639" s="115">
        <v>1242810</v>
      </c>
      <c r="B639" s="115" t="s">
        <v>688</v>
      </c>
      <c r="C639" s="117">
        <v>10043.99</v>
      </c>
    </row>
    <row r="640" spans="1:3" x14ac:dyDescent="0.25">
      <c r="A640" s="115">
        <v>1262471</v>
      </c>
      <c r="B640" s="115" t="s">
        <v>689</v>
      </c>
      <c r="C640" s="117">
        <v>6946.27</v>
      </c>
    </row>
    <row r="641" spans="1:3" x14ac:dyDescent="0.25">
      <c r="A641" s="115">
        <v>1262403</v>
      </c>
      <c r="B641" s="115" t="s">
        <v>690</v>
      </c>
      <c r="C641" s="117">
        <v>6946.27</v>
      </c>
    </row>
    <row r="642" spans="1:3" x14ac:dyDescent="0.25">
      <c r="A642" s="115">
        <v>1262405</v>
      </c>
      <c r="B642" s="115" t="s">
        <v>691</v>
      </c>
      <c r="C642" s="117">
        <v>6946.27</v>
      </c>
    </row>
    <row r="643" spans="1:3" x14ac:dyDescent="0.25">
      <c r="A643" s="115">
        <v>1240748</v>
      </c>
      <c r="B643" s="115" t="s">
        <v>692</v>
      </c>
      <c r="C643" s="117">
        <v>1941.39</v>
      </c>
    </row>
    <row r="644" spans="1:3" x14ac:dyDescent="0.25">
      <c r="A644" s="115">
        <v>1242815</v>
      </c>
      <c r="B644" s="115" t="s">
        <v>693</v>
      </c>
      <c r="C644" s="117">
        <v>13071.78</v>
      </c>
    </row>
    <row r="645" spans="1:3" x14ac:dyDescent="0.25">
      <c r="A645" s="144" t="s">
        <v>694</v>
      </c>
      <c r="B645" s="145"/>
      <c r="C645" s="145"/>
    </row>
    <row r="646" spans="1:3" x14ac:dyDescent="0.25">
      <c r="A646" s="115">
        <v>1325800</v>
      </c>
      <c r="B646" s="115" t="s">
        <v>695</v>
      </c>
      <c r="C646" s="117">
        <v>4082.78</v>
      </c>
    </row>
    <row r="647" spans="1:3" x14ac:dyDescent="0.25">
      <c r="A647" s="115">
        <v>1328499</v>
      </c>
      <c r="B647" s="115" t="s">
        <v>696</v>
      </c>
      <c r="C647" s="117">
        <v>23555.54</v>
      </c>
    </row>
    <row r="648" spans="1:3" x14ac:dyDescent="0.25">
      <c r="A648" s="115">
        <v>1323020</v>
      </c>
      <c r="B648" s="115" t="s">
        <v>697</v>
      </c>
      <c r="C648" s="117">
        <v>2169.87</v>
      </c>
    </row>
    <row r="649" spans="1:3" x14ac:dyDescent="0.25">
      <c r="A649" s="115">
        <v>1323032</v>
      </c>
      <c r="B649" s="115" t="s">
        <v>698</v>
      </c>
      <c r="C649" s="117">
        <v>4171.3100000000004</v>
      </c>
    </row>
    <row r="650" spans="1:3" x14ac:dyDescent="0.25">
      <c r="A650" s="115">
        <v>1323000</v>
      </c>
      <c r="B650" s="115" t="s">
        <v>699</v>
      </c>
      <c r="C650" s="117">
        <v>4171.3100000000004</v>
      </c>
    </row>
    <row r="651" spans="1:3" x14ac:dyDescent="0.25">
      <c r="A651" s="115">
        <v>1323001</v>
      </c>
      <c r="B651" s="115" t="s">
        <v>700</v>
      </c>
      <c r="C651" s="117">
        <v>4171.3100000000004</v>
      </c>
    </row>
    <row r="652" spans="1:3" x14ac:dyDescent="0.25">
      <c r="A652" s="115">
        <v>1324276</v>
      </c>
      <c r="B652" s="115" t="s">
        <v>701</v>
      </c>
      <c r="C652" s="117">
        <v>1961.83</v>
      </c>
    </row>
    <row r="653" spans="1:3" x14ac:dyDescent="0.25">
      <c r="A653" s="115">
        <v>1320410</v>
      </c>
      <c r="B653" s="115" t="s">
        <v>702</v>
      </c>
      <c r="C653" s="117">
        <v>1931.77</v>
      </c>
    </row>
    <row r="654" spans="1:3" x14ac:dyDescent="0.25">
      <c r="A654" s="115">
        <v>1329310</v>
      </c>
      <c r="B654" s="115" t="s">
        <v>703</v>
      </c>
      <c r="C654" s="117">
        <v>3763.22</v>
      </c>
    </row>
    <row r="655" spans="1:3" x14ac:dyDescent="0.25">
      <c r="A655" s="115">
        <v>1329311</v>
      </c>
      <c r="B655" s="115" t="s">
        <v>704</v>
      </c>
      <c r="C655" s="117">
        <v>763.6</v>
      </c>
    </row>
    <row r="656" spans="1:3" x14ac:dyDescent="0.25">
      <c r="A656" s="115">
        <v>1329313</v>
      </c>
      <c r="B656" s="115" t="s">
        <v>12259</v>
      </c>
      <c r="C656" s="117">
        <v>3763.22</v>
      </c>
    </row>
    <row r="657" spans="1:3" x14ac:dyDescent="0.25">
      <c r="A657" s="115">
        <v>1329383</v>
      </c>
      <c r="B657" s="115" t="s">
        <v>12260</v>
      </c>
      <c r="C657" s="117">
        <v>763.6</v>
      </c>
    </row>
    <row r="658" spans="1:3" x14ac:dyDescent="0.25">
      <c r="A658" s="115">
        <v>1321090</v>
      </c>
      <c r="B658" s="115" t="s">
        <v>705</v>
      </c>
      <c r="C658" s="117">
        <v>1528.07</v>
      </c>
    </row>
    <row r="659" spans="1:3" x14ac:dyDescent="0.25">
      <c r="A659" s="115">
        <v>1321022</v>
      </c>
      <c r="B659" s="115" t="s">
        <v>706</v>
      </c>
      <c r="C659" s="117">
        <v>1528.07</v>
      </c>
    </row>
    <row r="660" spans="1:3" x14ac:dyDescent="0.25">
      <c r="A660" s="115">
        <v>1321050</v>
      </c>
      <c r="B660" s="115" t="s">
        <v>707</v>
      </c>
      <c r="C660" s="117">
        <v>3453.77</v>
      </c>
    </row>
    <row r="661" spans="1:3" x14ac:dyDescent="0.25">
      <c r="A661" s="115">
        <v>1321091</v>
      </c>
      <c r="B661" s="115" t="s">
        <v>708</v>
      </c>
      <c r="C661" s="117">
        <v>1528.07</v>
      </c>
    </row>
    <row r="662" spans="1:3" x14ac:dyDescent="0.25">
      <c r="A662" s="115">
        <v>1322612</v>
      </c>
      <c r="B662" s="115" t="s">
        <v>12261</v>
      </c>
      <c r="C662" s="117">
        <v>1363.54</v>
      </c>
    </row>
    <row r="663" spans="1:3" x14ac:dyDescent="0.25">
      <c r="A663" s="115">
        <v>1329367</v>
      </c>
      <c r="B663" s="115" t="s">
        <v>12262</v>
      </c>
      <c r="C663" s="117">
        <v>5693.68</v>
      </c>
    </row>
    <row r="664" spans="1:3" x14ac:dyDescent="0.25">
      <c r="A664" s="115">
        <v>1329312</v>
      </c>
      <c r="B664" s="115" t="s">
        <v>709</v>
      </c>
      <c r="C664" s="117">
        <v>4667.6499999999996</v>
      </c>
    </row>
    <row r="665" spans="1:3" x14ac:dyDescent="0.25">
      <c r="A665" s="115">
        <v>1329349</v>
      </c>
      <c r="B665" s="115" t="s">
        <v>12263</v>
      </c>
      <c r="C665" s="117">
        <v>5693.68</v>
      </c>
    </row>
    <row r="666" spans="1:3" x14ac:dyDescent="0.25">
      <c r="A666" s="115">
        <v>1321605</v>
      </c>
      <c r="B666" s="115" t="s">
        <v>710</v>
      </c>
      <c r="C666" s="117">
        <v>3295.26</v>
      </c>
    </row>
    <row r="667" spans="1:3" x14ac:dyDescent="0.25">
      <c r="A667" s="115">
        <v>1321601</v>
      </c>
      <c r="B667" s="115" t="s">
        <v>711</v>
      </c>
      <c r="C667" s="117">
        <v>477.52</v>
      </c>
    </row>
    <row r="668" spans="1:3" x14ac:dyDescent="0.25">
      <c r="A668" s="115">
        <v>1321602</v>
      </c>
      <c r="B668" s="115" t="s">
        <v>712</v>
      </c>
      <c r="C668" s="117">
        <v>477.52</v>
      </c>
    </row>
    <row r="669" spans="1:3" x14ac:dyDescent="0.25">
      <c r="A669" s="115">
        <v>1324300</v>
      </c>
      <c r="B669" s="115" t="s">
        <v>713</v>
      </c>
      <c r="C669" s="117">
        <v>477.52</v>
      </c>
    </row>
    <row r="670" spans="1:3" x14ac:dyDescent="0.25">
      <c r="A670" s="115">
        <v>1321610</v>
      </c>
      <c r="B670" s="115" t="s">
        <v>714</v>
      </c>
      <c r="C670" s="117">
        <v>1438.08</v>
      </c>
    </row>
    <row r="671" spans="1:3" x14ac:dyDescent="0.25">
      <c r="A671" s="115">
        <v>1321082</v>
      </c>
      <c r="B671" s="115" t="s">
        <v>715</v>
      </c>
      <c r="C671" s="117">
        <v>1528.07</v>
      </c>
    </row>
    <row r="672" spans="1:3" x14ac:dyDescent="0.25">
      <c r="A672" s="115">
        <v>1329415</v>
      </c>
      <c r="B672" s="115" t="s">
        <v>716</v>
      </c>
      <c r="C672" s="117">
        <v>1180.1199999999999</v>
      </c>
    </row>
    <row r="673" spans="1:3" x14ac:dyDescent="0.25">
      <c r="A673" s="115">
        <v>1329450</v>
      </c>
      <c r="B673" s="115" t="s">
        <v>717</v>
      </c>
      <c r="C673" s="117">
        <v>3519.88</v>
      </c>
    </row>
    <row r="674" spans="1:3" x14ac:dyDescent="0.25">
      <c r="A674" s="115">
        <v>1322704</v>
      </c>
      <c r="B674" s="115" t="s">
        <v>718</v>
      </c>
      <c r="C674" s="117">
        <v>1583.34</v>
      </c>
    </row>
    <row r="675" spans="1:3" x14ac:dyDescent="0.25">
      <c r="A675" s="115">
        <v>1321520</v>
      </c>
      <c r="B675" s="115" t="s">
        <v>719</v>
      </c>
      <c r="C675" s="117">
        <v>1528.07</v>
      </c>
    </row>
    <row r="676" spans="1:3" x14ac:dyDescent="0.25">
      <c r="A676" s="115">
        <v>1324310</v>
      </c>
      <c r="B676" s="115" t="s">
        <v>720</v>
      </c>
      <c r="C676" s="117">
        <v>477.52</v>
      </c>
    </row>
    <row r="677" spans="1:3" x14ac:dyDescent="0.25">
      <c r="A677" s="115">
        <v>1321401</v>
      </c>
      <c r="B677" s="115" t="s">
        <v>721</v>
      </c>
      <c r="C677" s="117">
        <v>266.58</v>
      </c>
    </row>
    <row r="678" spans="1:3" x14ac:dyDescent="0.25">
      <c r="A678" s="115">
        <v>1321400</v>
      </c>
      <c r="B678" s="115" t="s">
        <v>722</v>
      </c>
      <c r="C678" s="117">
        <v>266.58</v>
      </c>
    </row>
    <row r="679" spans="1:3" x14ac:dyDescent="0.25">
      <c r="A679" s="115">
        <v>1321514</v>
      </c>
      <c r="B679" s="115" t="s">
        <v>723</v>
      </c>
      <c r="C679" s="117">
        <v>1583.34</v>
      </c>
    </row>
    <row r="680" spans="1:3" x14ac:dyDescent="0.25">
      <c r="A680" s="115">
        <v>1320702</v>
      </c>
      <c r="B680" s="115" t="s">
        <v>724</v>
      </c>
      <c r="C680" s="117">
        <v>1350.06</v>
      </c>
    </row>
    <row r="681" spans="1:3" x14ac:dyDescent="0.25">
      <c r="A681" s="115">
        <v>1321532</v>
      </c>
      <c r="B681" s="115" t="s">
        <v>725</v>
      </c>
      <c r="C681" s="117">
        <v>397.93</v>
      </c>
    </row>
    <row r="682" spans="1:3" x14ac:dyDescent="0.25">
      <c r="A682" s="115">
        <v>1321583</v>
      </c>
      <c r="B682" s="115" t="s">
        <v>726</v>
      </c>
      <c r="C682" s="117">
        <v>477.52</v>
      </c>
    </row>
    <row r="683" spans="1:3" x14ac:dyDescent="0.25">
      <c r="A683" s="115">
        <v>1321506</v>
      </c>
      <c r="B683" s="115" t="s">
        <v>727</v>
      </c>
      <c r="C683" s="117">
        <v>290.41000000000003</v>
      </c>
    </row>
    <row r="684" spans="1:3" x14ac:dyDescent="0.25">
      <c r="A684" s="115">
        <v>1321502</v>
      </c>
      <c r="B684" s="115" t="s">
        <v>728</v>
      </c>
      <c r="C684" s="117">
        <v>271.98</v>
      </c>
    </row>
    <row r="685" spans="1:3" x14ac:dyDescent="0.25">
      <c r="A685" s="115">
        <v>1321500</v>
      </c>
      <c r="B685" s="115" t="s">
        <v>729</v>
      </c>
      <c r="C685" s="117">
        <v>271.98</v>
      </c>
    </row>
    <row r="686" spans="1:3" x14ac:dyDescent="0.25">
      <c r="A686" s="115">
        <v>1321505</v>
      </c>
      <c r="B686" s="115" t="s">
        <v>730</v>
      </c>
      <c r="C686" s="117">
        <v>271.98</v>
      </c>
    </row>
    <row r="687" spans="1:3" x14ac:dyDescent="0.25">
      <c r="A687" s="115">
        <v>1321501</v>
      </c>
      <c r="B687" s="115" t="s">
        <v>731</v>
      </c>
      <c r="C687" s="117">
        <v>271.98</v>
      </c>
    </row>
    <row r="688" spans="1:3" x14ac:dyDescent="0.25">
      <c r="A688" s="115">
        <v>1321507</v>
      </c>
      <c r="B688" s="115" t="s">
        <v>732</v>
      </c>
      <c r="C688" s="117">
        <v>338.2</v>
      </c>
    </row>
    <row r="689" spans="1:3" x14ac:dyDescent="0.25">
      <c r="A689" s="115">
        <v>1326515</v>
      </c>
      <c r="B689" s="115" t="s">
        <v>733</v>
      </c>
      <c r="C689" s="117">
        <v>1363.54</v>
      </c>
    </row>
    <row r="690" spans="1:3" x14ac:dyDescent="0.25">
      <c r="A690" s="115">
        <v>1321315</v>
      </c>
      <c r="B690" s="115" t="s">
        <v>734</v>
      </c>
      <c r="C690" s="117">
        <v>1363.54</v>
      </c>
    </row>
    <row r="691" spans="1:3" x14ac:dyDescent="0.25">
      <c r="A691" s="115">
        <v>1322615</v>
      </c>
      <c r="B691" s="115" t="s">
        <v>735</v>
      </c>
      <c r="C691" s="117">
        <v>1363.54</v>
      </c>
    </row>
    <row r="692" spans="1:3" x14ac:dyDescent="0.25">
      <c r="A692" s="115">
        <v>1321002</v>
      </c>
      <c r="B692" s="115" t="s">
        <v>736</v>
      </c>
      <c r="C692" s="117">
        <v>5776.66</v>
      </c>
    </row>
    <row r="693" spans="1:3" x14ac:dyDescent="0.25">
      <c r="A693" s="115">
        <v>1321032</v>
      </c>
      <c r="B693" s="115" t="s">
        <v>737</v>
      </c>
      <c r="C693" s="117">
        <v>5776.66</v>
      </c>
    </row>
    <row r="694" spans="1:3" x14ac:dyDescent="0.25">
      <c r="A694" s="115">
        <v>1321001</v>
      </c>
      <c r="B694" s="115" t="s">
        <v>738</v>
      </c>
      <c r="C694" s="117">
        <v>5776.66</v>
      </c>
    </row>
    <row r="695" spans="1:3" x14ac:dyDescent="0.25">
      <c r="A695" s="115">
        <v>1321000</v>
      </c>
      <c r="B695" s="115" t="s">
        <v>739</v>
      </c>
      <c r="C695" s="117">
        <v>5776.66</v>
      </c>
    </row>
    <row r="696" spans="1:3" x14ac:dyDescent="0.25">
      <c r="A696" s="115">
        <v>1320938</v>
      </c>
      <c r="B696" s="115" t="s">
        <v>740</v>
      </c>
      <c r="C696" s="117">
        <v>3626.46</v>
      </c>
    </row>
    <row r="697" spans="1:3" x14ac:dyDescent="0.25">
      <c r="A697" s="115">
        <v>1326502</v>
      </c>
      <c r="B697" s="115" t="s">
        <v>741</v>
      </c>
      <c r="C697" s="117">
        <v>3396.33</v>
      </c>
    </row>
    <row r="698" spans="1:3" x14ac:dyDescent="0.25">
      <c r="A698" s="115">
        <v>1321338</v>
      </c>
      <c r="B698" s="115" t="s">
        <v>742</v>
      </c>
      <c r="C698" s="117">
        <v>3626.46</v>
      </c>
    </row>
    <row r="699" spans="1:3" x14ac:dyDescent="0.25">
      <c r="A699" s="115">
        <v>1326500</v>
      </c>
      <c r="B699" s="115" t="s">
        <v>743</v>
      </c>
      <c r="C699" s="117">
        <v>3626.46</v>
      </c>
    </row>
    <row r="700" spans="1:3" x14ac:dyDescent="0.25">
      <c r="A700" s="115">
        <v>1322650</v>
      </c>
      <c r="B700" s="115" t="s">
        <v>744</v>
      </c>
      <c r="C700" s="117">
        <v>3396.33</v>
      </c>
    </row>
    <row r="701" spans="1:3" x14ac:dyDescent="0.25">
      <c r="A701" s="115">
        <v>1321550</v>
      </c>
      <c r="B701" s="115" t="s">
        <v>745</v>
      </c>
      <c r="C701" s="117">
        <v>3626.46</v>
      </c>
    </row>
    <row r="702" spans="1:3" x14ac:dyDescent="0.25">
      <c r="A702" s="115">
        <v>1321555</v>
      </c>
      <c r="B702" s="115" t="s">
        <v>746</v>
      </c>
      <c r="C702" s="117">
        <v>3626.46</v>
      </c>
    </row>
    <row r="703" spans="1:3" x14ac:dyDescent="0.25">
      <c r="A703" s="115">
        <v>1320738</v>
      </c>
      <c r="B703" s="115" t="s">
        <v>747</v>
      </c>
      <c r="C703" s="117">
        <v>301.39999999999998</v>
      </c>
    </row>
    <row r="704" spans="1:3" x14ac:dyDescent="0.25">
      <c r="A704" s="115">
        <v>1329032</v>
      </c>
      <c r="B704" s="115" t="s">
        <v>748</v>
      </c>
      <c r="C704" s="117">
        <v>2912.03</v>
      </c>
    </row>
    <row r="705" spans="1:3" x14ac:dyDescent="0.25">
      <c r="A705" s="115">
        <v>1329038</v>
      </c>
      <c r="B705" s="115" t="s">
        <v>749</v>
      </c>
      <c r="C705" s="117">
        <v>2912.03</v>
      </c>
    </row>
    <row r="706" spans="1:3" x14ac:dyDescent="0.25">
      <c r="A706" s="115">
        <v>1329037</v>
      </c>
      <c r="B706" s="115" t="s">
        <v>750</v>
      </c>
      <c r="C706" s="117">
        <v>2912.03</v>
      </c>
    </row>
    <row r="707" spans="1:3" x14ac:dyDescent="0.25">
      <c r="A707" s="115">
        <v>1329068</v>
      </c>
      <c r="B707" s="115" t="s">
        <v>751</v>
      </c>
      <c r="C707" s="117">
        <v>2912.03</v>
      </c>
    </row>
    <row r="708" spans="1:3" x14ac:dyDescent="0.25">
      <c r="A708" s="115">
        <v>1320700</v>
      </c>
      <c r="B708" s="115" t="s">
        <v>752</v>
      </c>
      <c r="C708" s="117">
        <v>1950.29</v>
      </c>
    </row>
    <row r="709" spans="1:3" x14ac:dyDescent="0.25">
      <c r="A709" s="115">
        <v>1320160</v>
      </c>
      <c r="B709" s="115" t="s">
        <v>753</v>
      </c>
      <c r="C709" s="117">
        <v>2791.23</v>
      </c>
    </row>
    <row r="710" spans="1:3" x14ac:dyDescent="0.25">
      <c r="A710" s="115">
        <v>1321204</v>
      </c>
      <c r="B710" s="115" t="s">
        <v>754</v>
      </c>
      <c r="C710" s="117">
        <v>4544.03</v>
      </c>
    </row>
    <row r="711" spans="1:3" x14ac:dyDescent="0.25">
      <c r="A711" s="115">
        <v>1321270</v>
      </c>
      <c r="B711" s="115" t="s">
        <v>755</v>
      </c>
      <c r="C711" s="117">
        <v>5725.24</v>
      </c>
    </row>
    <row r="712" spans="1:3" x14ac:dyDescent="0.25">
      <c r="A712" s="115">
        <v>1321202</v>
      </c>
      <c r="B712" s="115" t="s">
        <v>756</v>
      </c>
      <c r="C712" s="117">
        <v>4544.03</v>
      </c>
    </row>
    <row r="713" spans="1:3" x14ac:dyDescent="0.25">
      <c r="A713" s="115">
        <v>1329654</v>
      </c>
      <c r="B713" s="115" t="s">
        <v>757</v>
      </c>
      <c r="C713" s="117">
        <v>8786.82</v>
      </c>
    </row>
    <row r="714" spans="1:3" x14ac:dyDescent="0.25">
      <c r="A714" s="115">
        <v>1325701</v>
      </c>
      <c r="B714" s="115" t="s">
        <v>758</v>
      </c>
      <c r="C714" s="117">
        <v>3352.98</v>
      </c>
    </row>
    <row r="715" spans="1:3" x14ac:dyDescent="0.25">
      <c r="A715" s="115">
        <v>1325721</v>
      </c>
      <c r="B715" s="115" t="s">
        <v>759</v>
      </c>
      <c r="C715" s="117">
        <v>9639.19</v>
      </c>
    </row>
    <row r="716" spans="1:3" x14ac:dyDescent="0.25">
      <c r="A716" s="115">
        <v>1325700</v>
      </c>
      <c r="B716" s="115" t="s">
        <v>760</v>
      </c>
      <c r="C716" s="117">
        <v>3352.98</v>
      </c>
    </row>
    <row r="717" spans="1:3" x14ac:dyDescent="0.25">
      <c r="A717" s="115">
        <v>1325720</v>
      </c>
      <c r="B717" s="115" t="s">
        <v>761</v>
      </c>
      <c r="C717" s="117">
        <v>18507.25</v>
      </c>
    </row>
    <row r="718" spans="1:3" x14ac:dyDescent="0.25">
      <c r="A718" s="115">
        <v>1325702</v>
      </c>
      <c r="B718" s="115" t="s">
        <v>762</v>
      </c>
      <c r="C718" s="117">
        <v>6290.45</v>
      </c>
    </row>
    <row r="719" spans="1:3" x14ac:dyDescent="0.25">
      <c r="A719" s="115">
        <v>1325722</v>
      </c>
      <c r="B719" s="115" t="s">
        <v>763</v>
      </c>
      <c r="C719" s="117">
        <v>12145.48</v>
      </c>
    </row>
    <row r="720" spans="1:3" x14ac:dyDescent="0.25">
      <c r="A720" s="115">
        <v>1323092</v>
      </c>
      <c r="B720" s="115" t="s">
        <v>764</v>
      </c>
      <c r="C720" s="117">
        <v>1956.14</v>
      </c>
    </row>
    <row r="721" spans="1:3" x14ac:dyDescent="0.25">
      <c r="A721" s="115">
        <v>1323093</v>
      </c>
      <c r="B721" s="115" t="s">
        <v>12264</v>
      </c>
      <c r="C721" s="117">
        <v>1914.07</v>
      </c>
    </row>
    <row r="722" spans="1:3" x14ac:dyDescent="0.25">
      <c r="A722" s="115">
        <v>1320260</v>
      </c>
      <c r="B722" s="115" t="s">
        <v>765</v>
      </c>
      <c r="C722" s="117">
        <v>3262.31</v>
      </c>
    </row>
    <row r="723" spans="1:3" x14ac:dyDescent="0.25">
      <c r="A723" s="115">
        <v>1206911</v>
      </c>
      <c r="B723" s="115" t="s">
        <v>766</v>
      </c>
      <c r="C723" s="117">
        <v>1440.63</v>
      </c>
    </row>
    <row r="724" spans="1:3" x14ac:dyDescent="0.25">
      <c r="A724" s="115">
        <v>1329910</v>
      </c>
      <c r="B724" s="115" t="s">
        <v>767</v>
      </c>
      <c r="C724" s="117">
        <v>5580.09</v>
      </c>
    </row>
    <row r="725" spans="1:3" x14ac:dyDescent="0.25">
      <c r="A725" s="115">
        <v>1329900</v>
      </c>
      <c r="B725" s="115" t="s">
        <v>768</v>
      </c>
      <c r="C725" s="117">
        <v>486.22</v>
      </c>
    </row>
    <row r="726" spans="1:3" x14ac:dyDescent="0.25">
      <c r="A726" s="115">
        <v>1327001</v>
      </c>
      <c r="B726" s="115" t="s">
        <v>769</v>
      </c>
      <c r="C726" s="117">
        <v>5187.7299999999996</v>
      </c>
    </row>
    <row r="727" spans="1:3" x14ac:dyDescent="0.25">
      <c r="A727" s="115">
        <v>1327006</v>
      </c>
      <c r="B727" s="115" t="s">
        <v>12265</v>
      </c>
      <c r="C727" s="117">
        <v>601.26</v>
      </c>
    </row>
    <row r="728" spans="1:3" x14ac:dyDescent="0.25">
      <c r="A728" s="115">
        <v>1327600</v>
      </c>
      <c r="B728" s="115" t="s">
        <v>770</v>
      </c>
      <c r="C728" s="117">
        <v>670.41</v>
      </c>
    </row>
    <row r="729" spans="1:3" x14ac:dyDescent="0.25">
      <c r="A729" s="115">
        <v>1327606</v>
      </c>
      <c r="B729" s="115" t="s">
        <v>771</v>
      </c>
      <c r="C729" s="117">
        <v>601.26</v>
      </c>
    </row>
    <row r="730" spans="1:3" x14ac:dyDescent="0.25">
      <c r="A730" s="115">
        <v>1327735</v>
      </c>
      <c r="B730" s="115" t="s">
        <v>772</v>
      </c>
      <c r="C730" s="117">
        <v>486.22</v>
      </c>
    </row>
    <row r="731" spans="1:3" x14ac:dyDescent="0.25">
      <c r="A731" s="115">
        <v>1327726</v>
      </c>
      <c r="B731" s="115" t="s">
        <v>773</v>
      </c>
      <c r="C731" s="117">
        <v>465.01</v>
      </c>
    </row>
    <row r="732" spans="1:3" x14ac:dyDescent="0.25">
      <c r="A732" s="115">
        <v>1327773</v>
      </c>
      <c r="B732" s="115" t="s">
        <v>774</v>
      </c>
      <c r="C732" s="117">
        <v>465.01</v>
      </c>
    </row>
    <row r="733" spans="1:3" x14ac:dyDescent="0.25">
      <c r="A733" s="115">
        <v>1327160</v>
      </c>
      <c r="B733" s="115" t="s">
        <v>775</v>
      </c>
      <c r="C733" s="117">
        <v>601.26</v>
      </c>
    </row>
    <row r="734" spans="1:3" x14ac:dyDescent="0.25">
      <c r="A734" s="115">
        <v>1327120</v>
      </c>
      <c r="B734" s="115" t="s">
        <v>776</v>
      </c>
      <c r="C734" s="117">
        <v>219.93</v>
      </c>
    </row>
    <row r="735" spans="1:3" x14ac:dyDescent="0.25">
      <c r="A735" s="115">
        <v>1328500</v>
      </c>
      <c r="B735" s="115" t="s">
        <v>777</v>
      </c>
      <c r="C735" s="117">
        <v>370.55</v>
      </c>
    </row>
    <row r="736" spans="1:3" x14ac:dyDescent="0.25">
      <c r="A736" s="115">
        <v>1328800</v>
      </c>
      <c r="B736" s="115" t="s">
        <v>778</v>
      </c>
      <c r="C736" s="117">
        <v>347.3</v>
      </c>
    </row>
    <row r="737" spans="1:3" x14ac:dyDescent="0.25">
      <c r="A737" s="115">
        <v>1327906</v>
      </c>
      <c r="B737" s="115" t="s">
        <v>779</v>
      </c>
      <c r="C737" s="117">
        <v>601.26</v>
      </c>
    </row>
    <row r="738" spans="1:3" x14ac:dyDescent="0.25">
      <c r="A738" s="115">
        <v>1327348</v>
      </c>
      <c r="B738" s="115" t="s">
        <v>780</v>
      </c>
      <c r="C738" s="117">
        <v>601.26</v>
      </c>
    </row>
    <row r="739" spans="1:3" x14ac:dyDescent="0.25">
      <c r="A739" s="115">
        <v>1327910</v>
      </c>
      <c r="B739" s="115" t="s">
        <v>781</v>
      </c>
      <c r="C739" s="117">
        <v>601.26</v>
      </c>
    </row>
    <row r="740" spans="1:3" x14ac:dyDescent="0.25">
      <c r="A740" s="115">
        <v>1327904</v>
      </c>
      <c r="B740" s="115" t="s">
        <v>782</v>
      </c>
      <c r="C740" s="117">
        <v>100.21</v>
      </c>
    </row>
    <row r="741" spans="1:3" x14ac:dyDescent="0.25">
      <c r="A741" s="115">
        <v>1327913</v>
      </c>
      <c r="B741" s="115" t="s">
        <v>783</v>
      </c>
      <c r="C741" s="117">
        <v>1040.83</v>
      </c>
    </row>
    <row r="742" spans="1:3" x14ac:dyDescent="0.25">
      <c r="A742" s="115">
        <v>1327903</v>
      </c>
      <c r="B742" s="115" t="s">
        <v>784</v>
      </c>
      <c r="C742" s="117">
        <v>100.21</v>
      </c>
    </row>
    <row r="743" spans="1:3" x14ac:dyDescent="0.25">
      <c r="A743" s="115">
        <v>1327907</v>
      </c>
      <c r="B743" s="115" t="s">
        <v>785</v>
      </c>
      <c r="C743" s="117">
        <v>100.21</v>
      </c>
    </row>
    <row r="744" spans="1:3" x14ac:dyDescent="0.25">
      <c r="A744" s="115">
        <v>1327908</v>
      </c>
      <c r="B744" s="115" t="s">
        <v>786</v>
      </c>
      <c r="C744" s="117">
        <v>601.26</v>
      </c>
    </row>
    <row r="745" spans="1:3" x14ac:dyDescent="0.25">
      <c r="A745" s="115">
        <v>1327912</v>
      </c>
      <c r="B745" s="115" t="s">
        <v>787</v>
      </c>
      <c r="C745" s="117">
        <v>601.26</v>
      </c>
    </row>
    <row r="746" spans="1:3" x14ac:dyDescent="0.25">
      <c r="A746" s="115">
        <v>1327901</v>
      </c>
      <c r="B746" s="115" t="s">
        <v>788</v>
      </c>
      <c r="C746" s="117">
        <v>100.21</v>
      </c>
    </row>
    <row r="747" spans="1:3" x14ac:dyDescent="0.25">
      <c r="A747" s="115">
        <v>1327902</v>
      </c>
      <c r="B747" s="115" t="s">
        <v>789</v>
      </c>
      <c r="C747" s="117">
        <v>601.25</v>
      </c>
    </row>
    <row r="748" spans="1:3" x14ac:dyDescent="0.25">
      <c r="A748" s="144" t="s">
        <v>790</v>
      </c>
      <c r="B748" s="145"/>
      <c r="C748" s="145"/>
    </row>
    <row r="749" spans="1:3" x14ac:dyDescent="0.25">
      <c r="A749" s="115">
        <v>1186328</v>
      </c>
      <c r="B749" s="115" t="s">
        <v>791</v>
      </c>
      <c r="C749" s="117">
        <v>1194.48</v>
      </c>
    </row>
    <row r="750" spans="1:3" x14ac:dyDescent="0.25">
      <c r="A750" s="115">
        <v>1186363</v>
      </c>
      <c r="B750" s="115" t="s">
        <v>792</v>
      </c>
      <c r="C750" s="117">
        <v>1194.48</v>
      </c>
    </row>
    <row r="751" spans="1:3" x14ac:dyDescent="0.25">
      <c r="A751" s="115">
        <v>1186338</v>
      </c>
      <c r="B751" s="115" t="s">
        <v>793</v>
      </c>
      <c r="C751" s="117">
        <v>1194.48</v>
      </c>
    </row>
    <row r="752" spans="1:3" x14ac:dyDescent="0.25">
      <c r="A752" s="115">
        <v>1186354</v>
      </c>
      <c r="B752" s="115" t="s">
        <v>794</v>
      </c>
      <c r="C752" s="117">
        <v>1194.48</v>
      </c>
    </row>
    <row r="753" spans="1:3" x14ac:dyDescent="0.25">
      <c r="A753" s="115">
        <v>1186028</v>
      </c>
      <c r="B753" s="115" t="s">
        <v>795</v>
      </c>
      <c r="C753" s="117">
        <v>1898.16</v>
      </c>
    </row>
    <row r="754" spans="1:3" x14ac:dyDescent="0.25">
      <c r="A754" s="115">
        <v>1186063</v>
      </c>
      <c r="B754" s="115" t="s">
        <v>796</v>
      </c>
      <c r="C754" s="117">
        <v>1898.16</v>
      </c>
    </row>
    <row r="755" spans="1:3" x14ac:dyDescent="0.25">
      <c r="A755" s="115">
        <v>1186038</v>
      </c>
      <c r="B755" s="115" t="s">
        <v>797</v>
      </c>
      <c r="C755" s="117">
        <v>1898.16</v>
      </c>
    </row>
    <row r="756" spans="1:3" x14ac:dyDescent="0.25">
      <c r="A756" s="115">
        <v>1186054</v>
      </c>
      <c r="B756" s="115" t="s">
        <v>798</v>
      </c>
      <c r="C756" s="117">
        <v>1898.16</v>
      </c>
    </row>
    <row r="757" spans="1:3" x14ac:dyDescent="0.25">
      <c r="A757" s="115">
        <v>1180463</v>
      </c>
      <c r="B757" s="115" t="s">
        <v>799</v>
      </c>
      <c r="C757" s="117">
        <v>1011.25</v>
      </c>
    </row>
    <row r="758" spans="1:3" x14ac:dyDescent="0.25">
      <c r="A758" s="115">
        <v>1180438</v>
      </c>
      <c r="B758" s="115" t="s">
        <v>800</v>
      </c>
      <c r="C758" s="117">
        <v>1011.25</v>
      </c>
    </row>
    <row r="759" spans="1:3" x14ac:dyDescent="0.25">
      <c r="A759" s="115">
        <v>1180454</v>
      </c>
      <c r="B759" s="115" t="s">
        <v>801</v>
      </c>
      <c r="C759" s="117">
        <v>1011.25</v>
      </c>
    </row>
    <row r="760" spans="1:3" x14ac:dyDescent="0.25">
      <c r="A760" s="115">
        <v>1186165</v>
      </c>
      <c r="B760" s="115" t="s">
        <v>802</v>
      </c>
      <c r="C760" s="117">
        <v>772.4</v>
      </c>
    </row>
    <row r="761" spans="1:3" x14ac:dyDescent="0.25">
      <c r="A761" s="115">
        <v>1180622</v>
      </c>
      <c r="B761" s="115" t="s">
        <v>803</v>
      </c>
      <c r="C761" s="117">
        <v>429.39</v>
      </c>
    </row>
    <row r="762" spans="1:3" x14ac:dyDescent="0.25">
      <c r="A762" s="115">
        <v>1186463</v>
      </c>
      <c r="B762" s="115" t="s">
        <v>804</v>
      </c>
      <c r="C762" s="117">
        <v>429.39</v>
      </c>
    </row>
    <row r="763" spans="1:3" x14ac:dyDescent="0.25">
      <c r="A763" s="115">
        <v>1180638</v>
      </c>
      <c r="B763" s="115" t="s">
        <v>805</v>
      </c>
      <c r="C763" s="117">
        <v>429.39</v>
      </c>
    </row>
    <row r="764" spans="1:3" x14ac:dyDescent="0.25">
      <c r="A764" s="115">
        <v>1189063</v>
      </c>
      <c r="B764" s="115" t="s">
        <v>806</v>
      </c>
      <c r="C764" s="117">
        <v>306.01</v>
      </c>
    </row>
    <row r="765" spans="1:3" x14ac:dyDescent="0.25">
      <c r="A765" s="115">
        <v>1188905</v>
      </c>
      <c r="B765" s="115" t="s">
        <v>807</v>
      </c>
      <c r="C765" s="117">
        <v>676.4</v>
      </c>
    </row>
    <row r="766" spans="1:3" x14ac:dyDescent="0.25">
      <c r="A766" s="115">
        <v>1188904</v>
      </c>
      <c r="B766" s="115" t="s">
        <v>808</v>
      </c>
      <c r="C766" s="117">
        <v>604.35</v>
      </c>
    </row>
    <row r="767" spans="1:3" x14ac:dyDescent="0.25">
      <c r="A767" s="115">
        <v>1188906</v>
      </c>
      <c r="B767" s="115" t="s">
        <v>809</v>
      </c>
      <c r="C767" s="117">
        <v>604.35</v>
      </c>
    </row>
    <row r="768" spans="1:3" x14ac:dyDescent="0.25">
      <c r="A768" s="115">
        <v>1181863</v>
      </c>
      <c r="B768" s="115" t="s">
        <v>810</v>
      </c>
      <c r="C768" s="117">
        <v>402</v>
      </c>
    </row>
    <row r="769" spans="1:3" x14ac:dyDescent="0.25">
      <c r="A769" s="115">
        <v>1181837</v>
      </c>
      <c r="B769" s="115" t="s">
        <v>811</v>
      </c>
      <c r="C769" s="117">
        <v>402</v>
      </c>
    </row>
    <row r="770" spans="1:3" x14ac:dyDescent="0.25">
      <c r="A770" s="115">
        <v>1188925</v>
      </c>
      <c r="B770" s="115" t="s">
        <v>812</v>
      </c>
      <c r="C770" s="117">
        <v>406.54</v>
      </c>
    </row>
    <row r="771" spans="1:3" x14ac:dyDescent="0.25">
      <c r="A771" s="115">
        <v>1188963</v>
      </c>
      <c r="B771" s="115" t="s">
        <v>813</v>
      </c>
      <c r="C771" s="117">
        <v>406.54</v>
      </c>
    </row>
    <row r="772" spans="1:3" x14ac:dyDescent="0.25">
      <c r="A772" s="115">
        <v>1186163</v>
      </c>
      <c r="B772" s="115" t="s">
        <v>814</v>
      </c>
      <c r="C772" s="117">
        <v>728.46</v>
      </c>
    </row>
    <row r="773" spans="1:3" x14ac:dyDescent="0.25">
      <c r="A773" s="115">
        <v>1181626</v>
      </c>
      <c r="B773" s="115" t="s">
        <v>815</v>
      </c>
      <c r="C773" s="117">
        <v>361.89</v>
      </c>
    </row>
    <row r="774" spans="1:3" x14ac:dyDescent="0.25">
      <c r="A774" s="115">
        <v>1181628</v>
      </c>
      <c r="B774" s="115" t="s">
        <v>816</v>
      </c>
      <c r="C774" s="117">
        <v>361.89</v>
      </c>
    </row>
    <row r="775" spans="1:3" x14ac:dyDescent="0.25">
      <c r="A775" s="115">
        <v>1181654</v>
      </c>
      <c r="B775" s="115" t="s">
        <v>11489</v>
      </c>
      <c r="C775" s="117">
        <v>306.01</v>
      </c>
    </row>
    <row r="776" spans="1:3" x14ac:dyDescent="0.25">
      <c r="A776" s="115">
        <v>1181662</v>
      </c>
      <c r="B776" s="115" t="s">
        <v>11490</v>
      </c>
      <c r="C776" s="117">
        <v>306.01</v>
      </c>
    </row>
    <row r="777" spans="1:3" x14ac:dyDescent="0.25">
      <c r="A777" s="115">
        <v>1181629</v>
      </c>
      <c r="B777" s="115" t="s">
        <v>817</v>
      </c>
      <c r="C777" s="117">
        <v>306.01</v>
      </c>
    </row>
    <row r="778" spans="1:3" x14ac:dyDescent="0.25">
      <c r="A778" s="115">
        <v>1181637</v>
      </c>
      <c r="B778" s="115" t="s">
        <v>818</v>
      </c>
      <c r="C778" s="117">
        <v>306.01</v>
      </c>
    </row>
    <row r="779" spans="1:3" x14ac:dyDescent="0.25">
      <c r="A779" s="115">
        <v>1181638</v>
      </c>
      <c r="B779" s="115" t="s">
        <v>818</v>
      </c>
      <c r="C779" s="117">
        <v>352.57</v>
      </c>
    </row>
    <row r="780" spans="1:3" x14ac:dyDescent="0.25">
      <c r="A780" s="115">
        <v>1181632</v>
      </c>
      <c r="B780" s="115" t="s">
        <v>819</v>
      </c>
      <c r="C780" s="117">
        <v>306.01</v>
      </c>
    </row>
    <row r="781" spans="1:3" x14ac:dyDescent="0.25">
      <c r="A781" s="115">
        <v>1181602</v>
      </c>
      <c r="B781" s="115" t="s">
        <v>820</v>
      </c>
      <c r="C781" s="117">
        <v>306.01</v>
      </c>
    </row>
    <row r="782" spans="1:3" x14ac:dyDescent="0.25">
      <c r="A782" s="115">
        <v>1181603</v>
      </c>
      <c r="B782" s="115" t="s">
        <v>822</v>
      </c>
      <c r="C782" s="117">
        <v>306.01</v>
      </c>
    </row>
    <row r="783" spans="1:3" x14ac:dyDescent="0.25">
      <c r="A783" s="115">
        <v>1181604</v>
      </c>
      <c r="B783" s="115" t="s">
        <v>821</v>
      </c>
      <c r="C783" s="117">
        <v>306.01</v>
      </c>
    </row>
    <row r="784" spans="1:3" x14ac:dyDescent="0.25">
      <c r="A784" s="115">
        <v>1181607</v>
      </c>
      <c r="B784" s="115" t="s">
        <v>823</v>
      </c>
      <c r="C784" s="117">
        <v>352.57</v>
      </c>
    </row>
    <row r="785" spans="1:3" x14ac:dyDescent="0.25">
      <c r="A785" s="115">
        <v>1181635</v>
      </c>
      <c r="B785" s="115" t="s">
        <v>824</v>
      </c>
      <c r="C785" s="117">
        <v>306.01</v>
      </c>
    </row>
    <row r="786" spans="1:3" x14ac:dyDescent="0.25">
      <c r="A786" s="115">
        <v>1181669</v>
      </c>
      <c r="B786" s="115" t="s">
        <v>825</v>
      </c>
      <c r="C786" s="117">
        <v>306.01</v>
      </c>
    </row>
    <row r="787" spans="1:3" x14ac:dyDescent="0.25">
      <c r="A787" s="115">
        <v>1181434</v>
      </c>
      <c r="B787" s="115" t="s">
        <v>826</v>
      </c>
      <c r="C787" s="117">
        <v>466.89</v>
      </c>
    </row>
    <row r="788" spans="1:3" x14ac:dyDescent="0.25">
      <c r="A788" s="115">
        <v>1181422</v>
      </c>
      <c r="B788" s="115" t="s">
        <v>827</v>
      </c>
      <c r="C788" s="117">
        <v>466.89</v>
      </c>
    </row>
    <row r="789" spans="1:3" x14ac:dyDescent="0.25">
      <c r="A789" s="115">
        <v>1181473</v>
      </c>
      <c r="B789" s="115" t="s">
        <v>828</v>
      </c>
      <c r="C789" s="117">
        <v>466.89</v>
      </c>
    </row>
    <row r="790" spans="1:3" x14ac:dyDescent="0.25">
      <c r="A790" s="115">
        <v>1181433</v>
      </c>
      <c r="B790" s="115" t="s">
        <v>829</v>
      </c>
      <c r="C790" s="117">
        <v>466.89</v>
      </c>
    </row>
    <row r="791" spans="1:3" x14ac:dyDescent="0.25">
      <c r="A791" s="115">
        <v>1181454</v>
      </c>
      <c r="B791" s="115" t="s">
        <v>830</v>
      </c>
      <c r="C791" s="117">
        <v>466.89</v>
      </c>
    </row>
    <row r="792" spans="1:3" x14ac:dyDescent="0.25">
      <c r="A792" s="115">
        <v>1181447</v>
      </c>
      <c r="B792" s="115" t="s">
        <v>831</v>
      </c>
      <c r="C792" s="117">
        <v>466.89</v>
      </c>
    </row>
    <row r="793" spans="1:3" x14ac:dyDescent="0.25">
      <c r="A793" s="115">
        <v>1181456</v>
      </c>
      <c r="B793" s="115" t="s">
        <v>832</v>
      </c>
      <c r="C793" s="117">
        <v>466.89</v>
      </c>
    </row>
    <row r="794" spans="1:3" x14ac:dyDescent="0.25">
      <c r="A794" s="115">
        <v>1181438</v>
      </c>
      <c r="B794" s="115" t="s">
        <v>833</v>
      </c>
      <c r="C794" s="117">
        <v>466.89</v>
      </c>
    </row>
    <row r="795" spans="1:3" x14ac:dyDescent="0.25">
      <c r="A795" s="115">
        <v>1181469</v>
      </c>
      <c r="B795" s="115" t="s">
        <v>834</v>
      </c>
      <c r="C795" s="117">
        <v>466.89</v>
      </c>
    </row>
    <row r="796" spans="1:3" x14ac:dyDescent="0.25">
      <c r="A796" s="115">
        <v>1181468</v>
      </c>
      <c r="B796" s="115" t="s">
        <v>835</v>
      </c>
      <c r="C796" s="117">
        <v>466.89</v>
      </c>
    </row>
    <row r="797" spans="1:3" x14ac:dyDescent="0.25">
      <c r="A797" s="115">
        <v>1181467</v>
      </c>
      <c r="B797" s="115" t="s">
        <v>836</v>
      </c>
      <c r="C797" s="117">
        <v>466.89</v>
      </c>
    </row>
    <row r="798" spans="1:3" x14ac:dyDescent="0.25">
      <c r="A798" s="115">
        <v>1181492</v>
      </c>
      <c r="B798" s="115" t="s">
        <v>837</v>
      </c>
      <c r="C798" s="117">
        <v>466.89</v>
      </c>
    </row>
    <row r="799" spans="1:3" x14ac:dyDescent="0.25">
      <c r="A799" s="115">
        <v>1181122</v>
      </c>
      <c r="B799" s="115" t="s">
        <v>838</v>
      </c>
      <c r="C799" s="117">
        <v>436.6</v>
      </c>
    </row>
    <row r="800" spans="1:3" x14ac:dyDescent="0.25">
      <c r="A800" s="115">
        <v>1181161</v>
      </c>
      <c r="B800" s="115" t="s">
        <v>839</v>
      </c>
      <c r="C800" s="117">
        <v>436.6</v>
      </c>
    </row>
    <row r="801" spans="1:3" x14ac:dyDescent="0.25">
      <c r="A801" s="115">
        <v>1181169</v>
      </c>
      <c r="B801" s="115" t="s">
        <v>840</v>
      </c>
      <c r="C801" s="117">
        <v>436.6</v>
      </c>
    </row>
    <row r="802" spans="1:3" x14ac:dyDescent="0.25">
      <c r="A802" s="115">
        <v>1181135</v>
      </c>
      <c r="B802" s="115" t="s">
        <v>841</v>
      </c>
      <c r="C802" s="117">
        <v>436.6</v>
      </c>
    </row>
    <row r="803" spans="1:3" x14ac:dyDescent="0.25">
      <c r="A803" s="115">
        <v>1181167</v>
      </c>
      <c r="B803" s="115" t="s">
        <v>842</v>
      </c>
      <c r="C803" s="117">
        <v>436.6</v>
      </c>
    </row>
    <row r="804" spans="1:3" x14ac:dyDescent="0.25">
      <c r="A804" s="115">
        <v>1181162</v>
      </c>
      <c r="B804" s="115" t="s">
        <v>843</v>
      </c>
      <c r="C804" s="117">
        <v>436.6</v>
      </c>
    </row>
    <row r="805" spans="1:3" x14ac:dyDescent="0.25">
      <c r="A805" s="115">
        <v>1181238</v>
      </c>
      <c r="B805" s="115" t="s">
        <v>844</v>
      </c>
      <c r="C805" s="117">
        <v>439.87</v>
      </c>
    </row>
    <row r="806" spans="1:3" x14ac:dyDescent="0.25">
      <c r="A806" s="115">
        <v>1181269</v>
      </c>
      <c r="B806" s="115" t="s">
        <v>12266</v>
      </c>
      <c r="C806" s="117">
        <v>439.87</v>
      </c>
    </row>
    <row r="807" spans="1:3" x14ac:dyDescent="0.25">
      <c r="A807" s="115">
        <v>1181138</v>
      </c>
      <c r="B807" s="115" t="s">
        <v>845</v>
      </c>
      <c r="C807" s="117">
        <v>436.6</v>
      </c>
    </row>
    <row r="808" spans="1:3" x14ac:dyDescent="0.25">
      <c r="A808" s="115">
        <v>1180203</v>
      </c>
      <c r="B808" s="115" t="s">
        <v>846</v>
      </c>
      <c r="C808" s="117">
        <v>803.3</v>
      </c>
    </row>
    <row r="809" spans="1:3" x14ac:dyDescent="0.25">
      <c r="A809" s="115">
        <v>1180206</v>
      </c>
      <c r="B809" s="115" t="s">
        <v>847</v>
      </c>
      <c r="C809" s="117">
        <v>803.3</v>
      </c>
    </row>
    <row r="810" spans="1:3" x14ac:dyDescent="0.25">
      <c r="A810" s="115">
        <v>1180207</v>
      </c>
      <c r="B810" s="115" t="s">
        <v>848</v>
      </c>
      <c r="C810" s="117">
        <v>803.3</v>
      </c>
    </row>
    <row r="811" spans="1:3" x14ac:dyDescent="0.25">
      <c r="A811" s="115">
        <v>1180204</v>
      </c>
      <c r="B811" s="115" t="s">
        <v>849</v>
      </c>
      <c r="C811" s="117">
        <v>803.3</v>
      </c>
    </row>
    <row r="812" spans="1:3" x14ac:dyDescent="0.25">
      <c r="A812" s="115">
        <v>1180205</v>
      </c>
      <c r="B812" s="115" t="s">
        <v>850</v>
      </c>
      <c r="C812" s="117">
        <v>803.3</v>
      </c>
    </row>
    <row r="813" spans="1:3" x14ac:dyDescent="0.25">
      <c r="A813" s="115">
        <v>1185763</v>
      </c>
      <c r="B813" s="115" t="s">
        <v>12267</v>
      </c>
      <c r="C813" s="117">
        <v>1024.55</v>
      </c>
    </row>
    <row r="814" spans="1:3" x14ac:dyDescent="0.25">
      <c r="A814" s="115">
        <v>1185737</v>
      </c>
      <c r="B814" s="115" t="s">
        <v>11491</v>
      </c>
      <c r="C814" s="117">
        <v>1024.55</v>
      </c>
    </row>
    <row r="815" spans="1:3" x14ac:dyDescent="0.25">
      <c r="A815" s="115">
        <v>1189145</v>
      </c>
      <c r="B815" s="115" t="s">
        <v>11492</v>
      </c>
      <c r="C815" s="117">
        <v>1024.55</v>
      </c>
    </row>
    <row r="816" spans="1:3" x14ac:dyDescent="0.25">
      <c r="A816" s="115">
        <v>1185782</v>
      </c>
      <c r="B816" s="115" t="s">
        <v>11493</v>
      </c>
      <c r="C816" s="117">
        <v>1024.55</v>
      </c>
    </row>
    <row r="817" spans="1:3" x14ac:dyDescent="0.25">
      <c r="A817" s="115">
        <v>1182000</v>
      </c>
      <c r="B817" s="115" t="s">
        <v>851</v>
      </c>
      <c r="C817" s="117">
        <v>1822.25</v>
      </c>
    </row>
    <row r="818" spans="1:3" x14ac:dyDescent="0.25">
      <c r="A818" s="115">
        <v>1188807</v>
      </c>
      <c r="B818" s="115" t="s">
        <v>852</v>
      </c>
      <c r="C818" s="117">
        <v>722.46</v>
      </c>
    </row>
    <row r="819" spans="1:3" x14ac:dyDescent="0.25">
      <c r="A819" s="115">
        <v>1186278</v>
      </c>
      <c r="B819" s="115" t="s">
        <v>853</v>
      </c>
      <c r="C819" s="117">
        <v>2575.15</v>
      </c>
    </row>
    <row r="820" spans="1:3" x14ac:dyDescent="0.25">
      <c r="A820" s="115">
        <v>1186235</v>
      </c>
      <c r="B820" s="115" t="s">
        <v>854</v>
      </c>
      <c r="C820" s="117">
        <v>2884.32</v>
      </c>
    </row>
    <row r="821" spans="1:3" x14ac:dyDescent="0.25">
      <c r="A821" s="115">
        <v>1185604</v>
      </c>
      <c r="B821" s="115" t="s">
        <v>855</v>
      </c>
      <c r="C821" s="117">
        <v>2950.45</v>
      </c>
    </row>
    <row r="822" spans="1:3" x14ac:dyDescent="0.25">
      <c r="A822" s="115">
        <v>1185603</v>
      </c>
      <c r="B822" s="115" t="s">
        <v>856</v>
      </c>
      <c r="C822" s="117">
        <v>368.81</v>
      </c>
    </row>
    <row r="823" spans="1:3" x14ac:dyDescent="0.25">
      <c r="A823" s="115">
        <v>1186505</v>
      </c>
      <c r="B823" s="115" t="s">
        <v>857</v>
      </c>
      <c r="C823" s="117">
        <v>1389.77</v>
      </c>
    </row>
    <row r="824" spans="1:3" x14ac:dyDescent="0.25">
      <c r="A824" s="115">
        <v>1186506</v>
      </c>
      <c r="B824" s="115" t="s">
        <v>858</v>
      </c>
      <c r="C824" s="117">
        <v>1473.59</v>
      </c>
    </row>
    <row r="825" spans="1:3" x14ac:dyDescent="0.25">
      <c r="A825" s="144" t="s">
        <v>859</v>
      </c>
      <c r="B825" s="145"/>
      <c r="C825" s="145"/>
    </row>
    <row r="826" spans="1:3" x14ac:dyDescent="0.25">
      <c r="A826" s="115">
        <v>1421716</v>
      </c>
      <c r="B826" s="115" t="s">
        <v>860</v>
      </c>
      <c r="C826" s="117">
        <v>3045</v>
      </c>
    </row>
    <row r="827" spans="1:3" x14ac:dyDescent="0.25">
      <c r="A827" s="115">
        <v>1421730</v>
      </c>
      <c r="B827" s="115" t="s">
        <v>861</v>
      </c>
      <c r="C827" s="117">
        <v>640.13</v>
      </c>
    </row>
    <row r="828" spans="1:3" x14ac:dyDescent="0.25">
      <c r="A828" s="115">
        <v>1421743</v>
      </c>
      <c r="B828" s="115" t="s">
        <v>862</v>
      </c>
      <c r="C828" s="117">
        <v>1111.57</v>
      </c>
    </row>
    <row r="829" spans="1:3" x14ac:dyDescent="0.25">
      <c r="A829" s="115">
        <v>1421705</v>
      </c>
      <c r="B829" s="115" t="s">
        <v>863</v>
      </c>
      <c r="C829" s="117">
        <v>1812.13</v>
      </c>
    </row>
    <row r="830" spans="1:3" x14ac:dyDescent="0.25">
      <c r="A830" s="115">
        <v>1421792</v>
      </c>
      <c r="B830" s="115" t="s">
        <v>864</v>
      </c>
      <c r="C830" s="117">
        <v>2013.49</v>
      </c>
    </row>
    <row r="831" spans="1:3" x14ac:dyDescent="0.25">
      <c r="A831" s="115">
        <v>1428121</v>
      </c>
      <c r="B831" s="115" t="s">
        <v>865</v>
      </c>
      <c r="C831" s="117">
        <v>5874.37</v>
      </c>
    </row>
    <row r="832" spans="1:3" x14ac:dyDescent="0.25">
      <c r="A832" s="115">
        <v>1428811</v>
      </c>
      <c r="B832" s="115" t="s">
        <v>12268</v>
      </c>
      <c r="C832" s="117">
        <v>194.17</v>
      </c>
    </row>
    <row r="833" spans="1:3" x14ac:dyDescent="0.25">
      <c r="A833" s="115">
        <v>1428802</v>
      </c>
      <c r="B833" s="115" t="s">
        <v>866</v>
      </c>
      <c r="C833" s="117">
        <v>348.16</v>
      </c>
    </row>
    <row r="834" spans="1:3" x14ac:dyDescent="0.25">
      <c r="A834" s="115">
        <v>1428820</v>
      </c>
      <c r="B834" s="115" t="s">
        <v>867</v>
      </c>
      <c r="C834" s="117">
        <v>313.35000000000002</v>
      </c>
    </row>
    <row r="835" spans="1:3" x14ac:dyDescent="0.25">
      <c r="A835" s="115">
        <v>1184147</v>
      </c>
      <c r="B835" s="115" t="s">
        <v>868</v>
      </c>
      <c r="C835" s="117">
        <v>458.61</v>
      </c>
    </row>
    <row r="836" spans="1:3" x14ac:dyDescent="0.25">
      <c r="A836" s="115">
        <v>1429315</v>
      </c>
      <c r="B836" s="115" t="s">
        <v>12269</v>
      </c>
      <c r="C836" s="117">
        <v>1417.74</v>
      </c>
    </row>
    <row r="837" spans="1:3" x14ac:dyDescent="0.25">
      <c r="A837" s="115">
        <v>1429330</v>
      </c>
      <c r="B837" s="115" t="s">
        <v>869</v>
      </c>
      <c r="C837" s="117">
        <v>2567.0500000000002</v>
      </c>
    </row>
    <row r="838" spans="1:3" x14ac:dyDescent="0.25">
      <c r="A838" s="115">
        <v>1429355</v>
      </c>
      <c r="B838" s="115" t="s">
        <v>870</v>
      </c>
      <c r="C838" s="117">
        <v>583.37</v>
      </c>
    </row>
    <row r="839" spans="1:3" x14ac:dyDescent="0.25">
      <c r="A839" s="115">
        <v>1428122</v>
      </c>
      <c r="B839" s="115" t="s">
        <v>871</v>
      </c>
      <c r="C839" s="117">
        <v>7188.09</v>
      </c>
    </row>
    <row r="840" spans="1:3" x14ac:dyDescent="0.25">
      <c r="A840" s="115">
        <v>1426501</v>
      </c>
      <c r="B840" s="115" t="s">
        <v>872</v>
      </c>
      <c r="C840" s="117">
        <v>226.92</v>
      </c>
    </row>
    <row r="841" spans="1:3" x14ac:dyDescent="0.25">
      <c r="A841" s="115">
        <v>1426502</v>
      </c>
      <c r="B841" s="115" t="s">
        <v>873</v>
      </c>
      <c r="C841" s="117">
        <v>226.92</v>
      </c>
    </row>
    <row r="842" spans="1:3" x14ac:dyDescent="0.25">
      <c r="A842" s="115">
        <v>1426503</v>
      </c>
      <c r="B842" s="115" t="s">
        <v>874</v>
      </c>
      <c r="C842" s="117">
        <v>226.92</v>
      </c>
    </row>
    <row r="843" spans="1:3" x14ac:dyDescent="0.25">
      <c r="A843" s="115">
        <v>1426836</v>
      </c>
      <c r="B843" s="115" t="s">
        <v>875</v>
      </c>
      <c r="C843" s="117">
        <v>731.53</v>
      </c>
    </row>
    <row r="844" spans="1:3" x14ac:dyDescent="0.25">
      <c r="A844" s="115">
        <v>1426801</v>
      </c>
      <c r="B844" s="115" t="s">
        <v>876</v>
      </c>
      <c r="C844" s="117">
        <v>731.53</v>
      </c>
    </row>
    <row r="845" spans="1:3" x14ac:dyDescent="0.25">
      <c r="A845" s="115">
        <v>1429417</v>
      </c>
      <c r="B845" s="115" t="s">
        <v>12270</v>
      </c>
      <c r="C845" s="117">
        <v>1375.42</v>
      </c>
    </row>
    <row r="846" spans="1:3" x14ac:dyDescent="0.25">
      <c r="A846" s="115">
        <v>1429440</v>
      </c>
      <c r="B846" s="115" t="s">
        <v>877</v>
      </c>
      <c r="C846" s="117">
        <v>2334.87</v>
      </c>
    </row>
    <row r="847" spans="1:3" x14ac:dyDescent="0.25">
      <c r="A847" s="115">
        <v>1429465</v>
      </c>
      <c r="B847" s="115" t="s">
        <v>878</v>
      </c>
      <c r="C847" s="117">
        <v>581.58000000000004</v>
      </c>
    </row>
    <row r="848" spans="1:3" x14ac:dyDescent="0.25">
      <c r="A848" s="115">
        <v>1426043</v>
      </c>
      <c r="B848" s="115" t="s">
        <v>11895</v>
      </c>
      <c r="C848" s="117">
        <v>1180.4000000000001</v>
      </c>
    </row>
    <row r="849" spans="1:3" x14ac:dyDescent="0.25">
      <c r="A849" s="115">
        <v>1426085</v>
      </c>
      <c r="B849" s="115" t="s">
        <v>11896</v>
      </c>
      <c r="C849" s="117">
        <v>1924.36</v>
      </c>
    </row>
    <row r="850" spans="1:3" x14ac:dyDescent="0.25">
      <c r="A850" s="115">
        <v>1421901</v>
      </c>
      <c r="B850" s="115" t="s">
        <v>12271</v>
      </c>
      <c r="C850" s="117">
        <v>3383.33</v>
      </c>
    </row>
    <row r="851" spans="1:3" x14ac:dyDescent="0.25">
      <c r="A851" s="115">
        <v>1421595</v>
      </c>
      <c r="B851" s="115" t="s">
        <v>879</v>
      </c>
      <c r="C851" s="117">
        <v>1812.15</v>
      </c>
    </row>
    <row r="852" spans="1:3" x14ac:dyDescent="0.25">
      <c r="A852" s="115">
        <v>1421905</v>
      </c>
      <c r="B852" s="115" t="s">
        <v>880</v>
      </c>
      <c r="C852" s="117">
        <v>1111.57</v>
      </c>
    </row>
    <row r="853" spans="1:3" x14ac:dyDescent="0.25">
      <c r="A853" s="115">
        <v>1423774</v>
      </c>
      <c r="B853" s="115" t="s">
        <v>881</v>
      </c>
      <c r="C853" s="117">
        <v>313.95</v>
      </c>
    </row>
    <row r="854" spans="1:3" x14ac:dyDescent="0.25">
      <c r="A854" s="115">
        <v>1423778</v>
      </c>
      <c r="B854" s="115" t="s">
        <v>882</v>
      </c>
      <c r="C854" s="117">
        <v>313.95</v>
      </c>
    </row>
    <row r="855" spans="1:3" x14ac:dyDescent="0.25">
      <c r="A855" s="115">
        <v>1429211</v>
      </c>
      <c r="B855" s="115" t="s">
        <v>883</v>
      </c>
      <c r="C855" s="117">
        <v>1367.94</v>
      </c>
    </row>
    <row r="856" spans="1:3" x14ac:dyDescent="0.25">
      <c r="A856" s="115">
        <v>1429250</v>
      </c>
      <c r="B856" s="115" t="s">
        <v>884</v>
      </c>
      <c r="C856" s="117">
        <v>686.49</v>
      </c>
    </row>
    <row r="857" spans="1:3" x14ac:dyDescent="0.25">
      <c r="A857" s="115">
        <v>1428352</v>
      </c>
      <c r="B857" s="115" t="s">
        <v>885</v>
      </c>
      <c r="C857" s="117">
        <v>633.20000000000005</v>
      </c>
    </row>
    <row r="858" spans="1:3" x14ac:dyDescent="0.25">
      <c r="A858" s="115">
        <v>1428399</v>
      </c>
      <c r="B858" s="115" t="s">
        <v>886</v>
      </c>
      <c r="C858" s="117">
        <v>633.20000000000005</v>
      </c>
    </row>
    <row r="859" spans="1:3" x14ac:dyDescent="0.25">
      <c r="A859" s="115">
        <v>1428374</v>
      </c>
      <c r="B859" s="115" t="s">
        <v>887</v>
      </c>
      <c r="C859" s="117">
        <v>633.20000000000005</v>
      </c>
    </row>
    <row r="860" spans="1:3" x14ac:dyDescent="0.25">
      <c r="A860" s="115">
        <v>1428378</v>
      </c>
      <c r="B860" s="115" t="s">
        <v>888</v>
      </c>
      <c r="C860" s="117">
        <v>633.20000000000005</v>
      </c>
    </row>
    <row r="861" spans="1:3" x14ac:dyDescent="0.25">
      <c r="A861" s="115">
        <v>1424933</v>
      </c>
      <c r="B861" s="115" t="s">
        <v>12272</v>
      </c>
      <c r="C861" s="117">
        <v>1189.75</v>
      </c>
    </row>
    <row r="862" spans="1:3" x14ac:dyDescent="0.25">
      <c r="A862" s="115">
        <v>1424970</v>
      </c>
      <c r="B862" s="115" t="s">
        <v>12273</v>
      </c>
      <c r="C862" s="117">
        <v>1954.53</v>
      </c>
    </row>
    <row r="863" spans="1:3" x14ac:dyDescent="0.25">
      <c r="A863" s="115">
        <v>1424986</v>
      </c>
      <c r="B863" s="115" t="s">
        <v>889</v>
      </c>
      <c r="C863" s="117">
        <v>1840.57</v>
      </c>
    </row>
    <row r="864" spans="1:3" x14ac:dyDescent="0.25">
      <c r="A864" s="115">
        <v>1424984</v>
      </c>
      <c r="B864" s="115" t="s">
        <v>889</v>
      </c>
      <c r="C864" s="117">
        <v>1289.1600000000001</v>
      </c>
    </row>
    <row r="865" spans="1:3" x14ac:dyDescent="0.25">
      <c r="A865" s="115">
        <v>1424995</v>
      </c>
      <c r="B865" s="115" t="s">
        <v>890</v>
      </c>
      <c r="C865" s="117">
        <v>1120.3800000000001</v>
      </c>
    </row>
    <row r="866" spans="1:3" x14ac:dyDescent="0.25">
      <c r="A866" s="115">
        <v>1424916</v>
      </c>
      <c r="B866" s="115" t="s">
        <v>891</v>
      </c>
      <c r="C866" s="117">
        <v>2960.94</v>
      </c>
    </row>
    <row r="867" spans="1:3" x14ac:dyDescent="0.25">
      <c r="A867" s="115">
        <v>1424915</v>
      </c>
      <c r="B867" s="115" t="s">
        <v>892</v>
      </c>
      <c r="C867" s="117">
        <v>2240.73</v>
      </c>
    </row>
    <row r="868" spans="1:3" x14ac:dyDescent="0.25">
      <c r="A868" s="115">
        <v>1424958</v>
      </c>
      <c r="B868" s="115" t="s">
        <v>893</v>
      </c>
      <c r="C868" s="117">
        <v>1120.3800000000001</v>
      </c>
    </row>
    <row r="869" spans="1:3" x14ac:dyDescent="0.25">
      <c r="A869" s="115">
        <v>1428212</v>
      </c>
      <c r="B869" s="115" t="s">
        <v>894</v>
      </c>
      <c r="C869" s="117">
        <v>436.5</v>
      </c>
    </row>
    <row r="870" spans="1:3" x14ac:dyDescent="0.25">
      <c r="A870" s="115">
        <v>1428210</v>
      </c>
      <c r="B870" s="115" t="s">
        <v>895</v>
      </c>
      <c r="C870" s="117">
        <v>434.3</v>
      </c>
    </row>
    <row r="871" spans="1:3" x14ac:dyDescent="0.25">
      <c r="A871" s="115">
        <v>1428201</v>
      </c>
      <c r="B871" s="115" t="s">
        <v>896</v>
      </c>
      <c r="C871" s="117">
        <v>252.25</v>
      </c>
    </row>
    <row r="872" spans="1:3" x14ac:dyDescent="0.25">
      <c r="A872" s="115">
        <v>1428211</v>
      </c>
      <c r="B872" s="115" t="s">
        <v>897</v>
      </c>
      <c r="C872" s="117">
        <v>436.5</v>
      </c>
    </row>
    <row r="873" spans="1:3" x14ac:dyDescent="0.25">
      <c r="A873" s="115">
        <v>1421000</v>
      </c>
      <c r="B873" s="115" t="s">
        <v>898</v>
      </c>
      <c r="C873" s="117">
        <v>378.19</v>
      </c>
    </row>
    <row r="874" spans="1:3" x14ac:dyDescent="0.25">
      <c r="A874" s="115">
        <v>1427300</v>
      </c>
      <c r="B874" s="115" t="s">
        <v>899</v>
      </c>
      <c r="C874" s="117">
        <v>370.83</v>
      </c>
    </row>
    <row r="875" spans="1:3" x14ac:dyDescent="0.25">
      <c r="A875" s="115">
        <v>1427018</v>
      </c>
      <c r="B875" s="115" t="s">
        <v>12274</v>
      </c>
      <c r="C875" s="117">
        <v>1243.32</v>
      </c>
    </row>
    <row r="876" spans="1:3" x14ac:dyDescent="0.25">
      <c r="A876" s="115">
        <v>1427100</v>
      </c>
      <c r="B876" s="115" t="s">
        <v>900</v>
      </c>
      <c r="C876" s="117">
        <v>156.51</v>
      </c>
    </row>
    <row r="877" spans="1:3" x14ac:dyDescent="0.25">
      <c r="A877" s="115">
        <v>1427230</v>
      </c>
      <c r="B877" s="115" t="s">
        <v>901</v>
      </c>
      <c r="C877" s="117">
        <v>156.63999999999999</v>
      </c>
    </row>
    <row r="878" spans="1:3" x14ac:dyDescent="0.25">
      <c r="A878" s="115">
        <v>1428841</v>
      </c>
      <c r="B878" s="115" t="s">
        <v>902</v>
      </c>
      <c r="C878" s="117">
        <v>301.29000000000002</v>
      </c>
    </row>
    <row r="879" spans="1:3" x14ac:dyDescent="0.25">
      <c r="A879" s="115">
        <v>1428840</v>
      </c>
      <c r="B879" s="115" t="s">
        <v>903</v>
      </c>
      <c r="C879" s="117">
        <v>301.29000000000002</v>
      </c>
    </row>
    <row r="880" spans="1:3" x14ac:dyDescent="0.25">
      <c r="A880" s="115">
        <v>1428033</v>
      </c>
      <c r="B880" s="115" t="s">
        <v>11494</v>
      </c>
      <c r="C880" s="117">
        <v>2523.48</v>
      </c>
    </row>
    <row r="881" spans="1:3" x14ac:dyDescent="0.25">
      <c r="A881" s="115">
        <v>1426200</v>
      </c>
      <c r="B881" s="115" t="s">
        <v>904</v>
      </c>
      <c r="C881" s="117">
        <v>93.41</v>
      </c>
    </row>
    <row r="882" spans="1:3" x14ac:dyDescent="0.25">
      <c r="A882" s="115">
        <v>1426280</v>
      </c>
      <c r="B882" s="115" t="s">
        <v>905</v>
      </c>
      <c r="C882" s="117">
        <v>552.64</v>
      </c>
    </row>
    <row r="883" spans="1:3" x14ac:dyDescent="0.25">
      <c r="A883" s="115">
        <v>1428810</v>
      </c>
      <c r="B883" s="115" t="s">
        <v>906</v>
      </c>
      <c r="C883" s="117">
        <v>194.17</v>
      </c>
    </row>
    <row r="884" spans="1:3" x14ac:dyDescent="0.25">
      <c r="A884" s="115">
        <v>1428801</v>
      </c>
      <c r="B884" s="115" t="s">
        <v>907</v>
      </c>
      <c r="C884" s="117">
        <v>348.16</v>
      </c>
    </row>
    <row r="885" spans="1:3" x14ac:dyDescent="0.25">
      <c r="A885" s="115">
        <v>1428830</v>
      </c>
      <c r="B885" s="115" t="s">
        <v>908</v>
      </c>
      <c r="C885" s="117">
        <v>313.35000000000002</v>
      </c>
    </row>
    <row r="886" spans="1:3" x14ac:dyDescent="0.25">
      <c r="A886" s="115">
        <v>1428117</v>
      </c>
      <c r="B886" s="115" t="s">
        <v>909</v>
      </c>
      <c r="C886" s="117">
        <v>2472.66</v>
      </c>
    </row>
    <row r="887" spans="1:3" x14ac:dyDescent="0.25">
      <c r="A887" s="115">
        <v>1428124</v>
      </c>
      <c r="B887" s="115" t="s">
        <v>910</v>
      </c>
      <c r="C887" s="117">
        <v>632.21</v>
      </c>
    </row>
    <row r="888" spans="1:3" x14ac:dyDescent="0.25">
      <c r="A888" s="115">
        <v>1428125</v>
      </c>
      <c r="B888" s="115" t="s">
        <v>911</v>
      </c>
      <c r="C888" s="117">
        <v>632.21</v>
      </c>
    </row>
    <row r="889" spans="1:3" x14ac:dyDescent="0.25">
      <c r="A889" s="115">
        <v>1428112</v>
      </c>
      <c r="B889" s="115" t="s">
        <v>912</v>
      </c>
      <c r="C889" s="117">
        <v>2472.66</v>
      </c>
    </row>
    <row r="890" spans="1:3" x14ac:dyDescent="0.25">
      <c r="A890" s="115">
        <v>1428102</v>
      </c>
      <c r="B890" s="115" t="s">
        <v>913</v>
      </c>
      <c r="C890" s="117">
        <v>632.21</v>
      </c>
    </row>
    <row r="891" spans="1:3" x14ac:dyDescent="0.25">
      <c r="A891" s="115">
        <v>1428104</v>
      </c>
      <c r="B891" s="115" t="s">
        <v>914</v>
      </c>
      <c r="C891" s="117">
        <v>632.21</v>
      </c>
    </row>
    <row r="892" spans="1:3" x14ac:dyDescent="0.25">
      <c r="A892" s="115">
        <v>1428116</v>
      </c>
      <c r="B892" s="115" t="s">
        <v>915</v>
      </c>
      <c r="C892" s="117">
        <v>1278.48</v>
      </c>
    </row>
    <row r="893" spans="1:3" x14ac:dyDescent="0.25">
      <c r="A893" s="115">
        <v>1428115</v>
      </c>
      <c r="B893" s="115" t="s">
        <v>916</v>
      </c>
      <c r="C893" s="117">
        <v>1320.62</v>
      </c>
    </row>
    <row r="894" spans="1:3" x14ac:dyDescent="0.25">
      <c r="A894" s="115">
        <v>1428114</v>
      </c>
      <c r="B894" s="115" t="s">
        <v>917</v>
      </c>
      <c r="C894" s="117">
        <v>2472.66</v>
      </c>
    </row>
    <row r="895" spans="1:3" x14ac:dyDescent="0.25">
      <c r="A895" s="115">
        <v>1423466</v>
      </c>
      <c r="B895" s="115" t="s">
        <v>918</v>
      </c>
      <c r="C895" s="117">
        <v>777.68</v>
      </c>
    </row>
    <row r="896" spans="1:3" x14ac:dyDescent="0.25">
      <c r="A896" s="115">
        <v>1428106</v>
      </c>
      <c r="B896" s="115" t="s">
        <v>919</v>
      </c>
      <c r="C896" s="117">
        <v>1558.76</v>
      </c>
    </row>
    <row r="897" spans="1:3" x14ac:dyDescent="0.25">
      <c r="A897" s="115">
        <v>1428108</v>
      </c>
      <c r="B897" s="115" t="s">
        <v>920</v>
      </c>
      <c r="C897" s="117">
        <v>3376.74</v>
      </c>
    </row>
    <row r="898" spans="1:3" x14ac:dyDescent="0.25">
      <c r="A898" s="115">
        <v>1428107</v>
      </c>
      <c r="B898" s="115" t="s">
        <v>921</v>
      </c>
      <c r="C898" s="117">
        <v>3232.43</v>
      </c>
    </row>
    <row r="899" spans="1:3" x14ac:dyDescent="0.25">
      <c r="A899" s="115">
        <v>1428119</v>
      </c>
      <c r="B899" s="115" t="s">
        <v>922</v>
      </c>
      <c r="C899" s="117">
        <v>2879.84</v>
      </c>
    </row>
    <row r="900" spans="1:3" x14ac:dyDescent="0.25">
      <c r="A900" s="115">
        <v>1428110</v>
      </c>
      <c r="B900" s="115" t="s">
        <v>923</v>
      </c>
      <c r="C900" s="117">
        <v>3998.89</v>
      </c>
    </row>
    <row r="901" spans="1:3" x14ac:dyDescent="0.25">
      <c r="A901" s="115">
        <v>1428113</v>
      </c>
      <c r="B901" s="115" t="s">
        <v>924</v>
      </c>
      <c r="C901" s="117">
        <v>3863.53</v>
      </c>
    </row>
    <row r="902" spans="1:3" x14ac:dyDescent="0.25">
      <c r="A902" s="115">
        <v>1428105</v>
      </c>
      <c r="B902" s="115" t="s">
        <v>925</v>
      </c>
      <c r="C902" s="117">
        <v>726.71</v>
      </c>
    </row>
    <row r="903" spans="1:3" x14ac:dyDescent="0.25">
      <c r="A903" s="115">
        <v>1428103</v>
      </c>
      <c r="B903" s="115" t="s">
        <v>926</v>
      </c>
      <c r="C903" s="117">
        <v>726.71</v>
      </c>
    </row>
    <row r="904" spans="1:3" x14ac:dyDescent="0.25">
      <c r="A904" s="115">
        <v>1428101</v>
      </c>
      <c r="B904" s="115" t="s">
        <v>927</v>
      </c>
      <c r="C904" s="117">
        <v>726.71</v>
      </c>
    </row>
    <row r="905" spans="1:3" x14ac:dyDescent="0.25">
      <c r="A905" s="115">
        <v>1427528</v>
      </c>
      <c r="B905" s="115" t="s">
        <v>12275</v>
      </c>
      <c r="C905" s="117">
        <v>903.05</v>
      </c>
    </row>
    <row r="906" spans="1:3" x14ac:dyDescent="0.25">
      <c r="A906" s="115">
        <v>1427527</v>
      </c>
      <c r="B906" s="115" t="s">
        <v>928</v>
      </c>
      <c r="C906" s="117">
        <v>903.05</v>
      </c>
    </row>
    <row r="907" spans="1:3" x14ac:dyDescent="0.25">
      <c r="A907" s="115">
        <v>1423115</v>
      </c>
      <c r="B907" s="115" t="s">
        <v>929</v>
      </c>
      <c r="C907" s="117">
        <v>1699.83</v>
      </c>
    </row>
    <row r="908" spans="1:3" x14ac:dyDescent="0.25">
      <c r="A908" s="115">
        <v>1427570</v>
      </c>
      <c r="B908" s="115" t="s">
        <v>930</v>
      </c>
      <c r="C908" s="117">
        <v>903.05</v>
      </c>
    </row>
    <row r="909" spans="1:3" x14ac:dyDescent="0.25">
      <c r="A909" s="115">
        <v>1427565</v>
      </c>
      <c r="B909" s="115" t="s">
        <v>931</v>
      </c>
      <c r="C909" s="117">
        <v>894.25</v>
      </c>
    </row>
    <row r="910" spans="1:3" x14ac:dyDescent="0.25">
      <c r="A910" s="115">
        <v>1427501</v>
      </c>
      <c r="B910" s="115" t="s">
        <v>932</v>
      </c>
      <c r="C910" s="117">
        <v>903.05</v>
      </c>
    </row>
    <row r="911" spans="1:3" x14ac:dyDescent="0.25">
      <c r="A911" s="115">
        <v>1427584</v>
      </c>
      <c r="B911" s="115" t="s">
        <v>933</v>
      </c>
      <c r="C911" s="117">
        <v>903.05</v>
      </c>
    </row>
    <row r="912" spans="1:3" x14ac:dyDescent="0.25">
      <c r="A912" s="115">
        <v>1427400</v>
      </c>
      <c r="B912" s="115" t="s">
        <v>934</v>
      </c>
      <c r="C912" s="117">
        <v>1297.98</v>
      </c>
    </row>
    <row r="913" spans="1:3" x14ac:dyDescent="0.25">
      <c r="A913" s="115">
        <v>1427415</v>
      </c>
      <c r="B913" s="115" t="s">
        <v>935</v>
      </c>
      <c r="C913" s="117">
        <v>1297.98</v>
      </c>
    </row>
    <row r="914" spans="1:3" x14ac:dyDescent="0.25">
      <c r="A914" s="115">
        <v>1423100</v>
      </c>
      <c r="B914" s="115" t="s">
        <v>936</v>
      </c>
      <c r="C914" s="117">
        <v>1699.83</v>
      </c>
    </row>
    <row r="915" spans="1:3" x14ac:dyDescent="0.25">
      <c r="A915" s="115">
        <v>1427500</v>
      </c>
      <c r="B915" s="115" t="s">
        <v>937</v>
      </c>
      <c r="C915" s="117">
        <v>882.3</v>
      </c>
    </row>
    <row r="916" spans="1:3" x14ac:dyDescent="0.25">
      <c r="A916" s="115">
        <v>1428120</v>
      </c>
      <c r="B916" s="115" t="s">
        <v>938</v>
      </c>
      <c r="C916" s="117">
        <v>5227.17</v>
      </c>
    </row>
    <row r="917" spans="1:3" x14ac:dyDescent="0.25">
      <c r="A917" s="115">
        <v>1425178</v>
      </c>
      <c r="B917" s="115" t="s">
        <v>939</v>
      </c>
      <c r="C917" s="117">
        <v>493.68</v>
      </c>
    </row>
    <row r="918" spans="1:3" x14ac:dyDescent="0.25">
      <c r="A918" s="115">
        <v>1429880</v>
      </c>
      <c r="B918" s="115" t="s">
        <v>940</v>
      </c>
      <c r="C918" s="117">
        <v>748.71</v>
      </c>
    </row>
    <row r="919" spans="1:3" x14ac:dyDescent="0.25">
      <c r="A919" s="115">
        <v>1421500</v>
      </c>
      <c r="B919" s="115" t="s">
        <v>941</v>
      </c>
      <c r="C919" s="117">
        <v>91.91</v>
      </c>
    </row>
    <row r="920" spans="1:3" x14ac:dyDescent="0.25">
      <c r="A920" s="115">
        <v>1429651</v>
      </c>
      <c r="B920" s="115" t="s">
        <v>942</v>
      </c>
      <c r="C920" s="117">
        <v>3403.53</v>
      </c>
    </row>
    <row r="921" spans="1:3" x14ac:dyDescent="0.25">
      <c r="A921" s="115">
        <v>1429650</v>
      </c>
      <c r="B921" s="115" t="s">
        <v>943</v>
      </c>
      <c r="C921" s="117">
        <v>3335.44</v>
      </c>
    </row>
    <row r="922" spans="1:3" x14ac:dyDescent="0.25">
      <c r="A922" s="115">
        <v>1429565</v>
      </c>
      <c r="B922" s="115" t="s">
        <v>944</v>
      </c>
      <c r="C922" s="117">
        <v>533.70000000000005</v>
      </c>
    </row>
    <row r="923" spans="1:3" x14ac:dyDescent="0.25">
      <c r="A923" s="115">
        <v>1429578</v>
      </c>
      <c r="B923" s="115" t="s">
        <v>945</v>
      </c>
      <c r="C923" s="117">
        <v>563.75</v>
      </c>
    </row>
    <row r="924" spans="1:3" x14ac:dyDescent="0.25">
      <c r="A924" s="115">
        <v>1421470</v>
      </c>
      <c r="B924" s="115" t="s">
        <v>12276</v>
      </c>
      <c r="C924" s="117">
        <v>4753.0200000000004</v>
      </c>
    </row>
    <row r="925" spans="1:3" x14ac:dyDescent="0.25">
      <c r="A925" s="115">
        <v>1421468</v>
      </c>
      <c r="B925" s="115" t="s">
        <v>946</v>
      </c>
      <c r="C925" s="117">
        <v>4753.0200000000004</v>
      </c>
    </row>
    <row r="926" spans="1:3" x14ac:dyDescent="0.25">
      <c r="A926" s="115">
        <v>1423040</v>
      </c>
      <c r="B926" s="115" t="s">
        <v>947</v>
      </c>
      <c r="C926" s="117">
        <v>769.74</v>
      </c>
    </row>
    <row r="927" spans="1:3" x14ac:dyDescent="0.25">
      <c r="A927" s="115">
        <v>1429006</v>
      </c>
      <c r="B927" s="115" t="s">
        <v>948</v>
      </c>
      <c r="C927" s="117">
        <v>755.74</v>
      </c>
    </row>
    <row r="928" spans="1:3" x14ac:dyDescent="0.25">
      <c r="A928" s="115">
        <v>1429111</v>
      </c>
      <c r="B928" s="115" t="s">
        <v>949</v>
      </c>
      <c r="C928" s="117">
        <v>1315.81</v>
      </c>
    </row>
    <row r="929" spans="1:3" x14ac:dyDescent="0.25">
      <c r="A929" s="115">
        <v>1429029</v>
      </c>
      <c r="B929" s="115" t="s">
        <v>950</v>
      </c>
      <c r="C929" s="117">
        <v>2814.13</v>
      </c>
    </row>
    <row r="930" spans="1:3" x14ac:dyDescent="0.25">
      <c r="A930" s="115">
        <v>1427843</v>
      </c>
      <c r="B930" s="115" t="s">
        <v>951</v>
      </c>
      <c r="C930" s="117">
        <v>3874.82</v>
      </c>
    </row>
    <row r="931" spans="1:3" x14ac:dyDescent="0.25">
      <c r="A931" s="115">
        <v>1429120</v>
      </c>
      <c r="B931" s="115" t="s">
        <v>952</v>
      </c>
      <c r="C931" s="117">
        <v>717.36</v>
      </c>
    </row>
    <row r="932" spans="1:3" x14ac:dyDescent="0.25">
      <c r="A932" s="115">
        <v>1429110</v>
      </c>
      <c r="B932" s="115" t="s">
        <v>953</v>
      </c>
      <c r="C932" s="117">
        <v>1315.81</v>
      </c>
    </row>
    <row r="933" spans="1:3" x14ac:dyDescent="0.25">
      <c r="A933" s="115">
        <v>1429028</v>
      </c>
      <c r="B933" s="115" t="s">
        <v>954</v>
      </c>
      <c r="C933" s="117">
        <v>2813.98</v>
      </c>
    </row>
    <row r="934" spans="1:3" x14ac:dyDescent="0.25">
      <c r="A934" s="115">
        <v>1427842</v>
      </c>
      <c r="B934" s="115" t="s">
        <v>955</v>
      </c>
      <c r="C934" s="117">
        <v>3874.82</v>
      </c>
    </row>
    <row r="935" spans="1:3" x14ac:dyDescent="0.25">
      <c r="A935" s="115">
        <v>1423365</v>
      </c>
      <c r="B935" s="115" t="s">
        <v>956</v>
      </c>
      <c r="C935" s="117">
        <v>686.94</v>
      </c>
    </row>
    <row r="936" spans="1:3" x14ac:dyDescent="0.25">
      <c r="A936" s="115">
        <v>1429167</v>
      </c>
      <c r="B936" s="115" t="s">
        <v>957</v>
      </c>
      <c r="C936" s="117">
        <v>782.62</v>
      </c>
    </row>
    <row r="937" spans="1:3" x14ac:dyDescent="0.25">
      <c r="A937" s="115">
        <v>1429020</v>
      </c>
      <c r="B937" s="115" t="s">
        <v>958</v>
      </c>
      <c r="C937" s="117">
        <v>279.47000000000003</v>
      </c>
    </row>
    <row r="938" spans="1:3" x14ac:dyDescent="0.25">
      <c r="A938" s="115">
        <v>1429030</v>
      </c>
      <c r="B938" s="115" t="s">
        <v>959</v>
      </c>
      <c r="C938" s="117">
        <v>416.24</v>
      </c>
    </row>
    <row r="939" spans="1:3" x14ac:dyDescent="0.25">
      <c r="A939" s="115">
        <v>1429033</v>
      </c>
      <c r="B939" s="115" t="s">
        <v>960</v>
      </c>
      <c r="C939" s="117">
        <v>3144.59</v>
      </c>
    </row>
    <row r="940" spans="1:3" x14ac:dyDescent="0.25">
      <c r="A940" s="115">
        <v>1429055</v>
      </c>
      <c r="B940" s="115" t="s">
        <v>961</v>
      </c>
      <c r="C940" s="117">
        <v>717.41</v>
      </c>
    </row>
    <row r="941" spans="1:3" x14ac:dyDescent="0.25">
      <c r="A941" s="115">
        <v>1429072</v>
      </c>
      <c r="B941" s="115" t="s">
        <v>962</v>
      </c>
      <c r="C941" s="117">
        <v>720.25</v>
      </c>
    </row>
    <row r="942" spans="1:3" x14ac:dyDescent="0.25">
      <c r="A942" s="115">
        <v>1429166</v>
      </c>
      <c r="B942" s="115" t="s">
        <v>963</v>
      </c>
      <c r="C942" s="117">
        <v>755.74</v>
      </c>
    </row>
    <row r="943" spans="1:3" x14ac:dyDescent="0.25">
      <c r="A943" s="115">
        <v>1427915</v>
      </c>
      <c r="B943" s="115" t="s">
        <v>964</v>
      </c>
      <c r="C943" s="117">
        <v>1199.1400000000001</v>
      </c>
    </row>
    <row r="944" spans="1:3" x14ac:dyDescent="0.25">
      <c r="A944" s="115">
        <v>1427972</v>
      </c>
      <c r="B944" s="115" t="s">
        <v>965</v>
      </c>
      <c r="C944" s="117">
        <v>1199.1400000000001</v>
      </c>
    </row>
    <row r="945" spans="1:3" x14ac:dyDescent="0.25">
      <c r="A945" s="115">
        <v>1427920</v>
      </c>
      <c r="B945" s="115" t="s">
        <v>966</v>
      </c>
      <c r="C945" s="117">
        <v>1199.1400000000001</v>
      </c>
    </row>
    <row r="946" spans="1:3" x14ac:dyDescent="0.25">
      <c r="A946" s="115">
        <v>1422272</v>
      </c>
      <c r="B946" s="115" t="s">
        <v>967</v>
      </c>
      <c r="C946" s="117">
        <v>1827.19</v>
      </c>
    </row>
    <row r="947" spans="1:3" x14ac:dyDescent="0.25">
      <c r="A947" s="115">
        <v>1422115</v>
      </c>
      <c r="B947" s="115" t="s">
        <v>968</v>
      </c>
      <c r="C947" s="117">
        <v>1827.19</v>
      </c>
    </row>
    <row r="948" spans="1:3" x14ac:dyDescent="0.25">
      <c r="A948" s="115">
        <v>1422248</v>
      </c>
      <c r="B948" s="115" t="s">
        <v>969</v>
      </c>
      <c r="C948" s="117">
        <v>1827.19</v>
      </c>
    </row>
    <row r="949" spans="1:3" x14ac:dyDescent="0.25">
      <c r="A949" s="115">
        <v>1422254</v>
      </c>
      <c r="B949" s="115" t="s">
        <v>970</v>
      </c>
      <c r="C949" s="117">
        <v>1173.29</v>
      </c>
    </row>
    <row r="950" spans="1:3" x14ac:dyDescent="0.25">
      <c r="A950" s="115">
        <v>1422243</v>
      </c>
      <c r="B950" s="115" t="s">
        <v>971</v>
      </c>
      <c r="C950" s="117">
        <v>1940.34</v>
      </c>
    </row>
    <row r="951" spans="1:3" x14ac:dyDescent="0.25">
      <c r="A951" s="115">
        <v>1422253</v>
      </c>
      <c r="B951" s="115" t="s">
        <v>972</v>
      </c>
      <c r="C951" s="117">
        <v>1173.29</v>
      </c>
    </row>
    <row r="952" spans="1:3" x14ac:dyDescent="0.25">
      <c r="A952" s="115">
        <v>1422252</v>
      </c>
      <c r="B952" s="115" t="s">
        <v>973</v>
      </c>
      <c r="C952" s="117">
        <v>1940.35</v>
      </c>
    </row>
    <row r="953" spans="1:3" x14ac:dyDescent="0.25">
      <c r="A953" s="115">
        <v>1421547</v>
      </c>
      <c r="B953" s="115" t="s">
        <v>12277</v>
      </c>
      <c r="C953" s="117">
        <v>1940.33</v>
      </c>
    </row>
    <row r="954" spans="1:3" x14ac:dyDescent="0.25">
      <c r="A954" s="115">
        <v>1426730</v>
      </c>
      <c r="B954" s="115" t="s">
        <v>11897</v>
      </c>
      <c r="C954" s="117">
        <v>1173.27</v>
      </c>
    </row>
    <row r="955" spans="1:3" x14ac:dyDescent="0.25">
      <c r="A955" s="115">
        <v>1426770</v>
      </c>
      <c r="B955" s="115" t="s">
        <v>11898</v>
      </c>
      <c r="C955" s="117">
        <v>1940.33</v>
      </c>
    </row>
    <row r="956" spans="1:3" x14ac:dyDescent="0.25">
      <c r="A956" s="115">
        <v>1422703</v>
      </c>
      <c r="B956" s="115" t="s">
        <v>12278</v>
      </c>
      <c r="C956" s="117">
        <v>1940.33</v>
      </c>
    </row>
    <row r="957" spans="1:3" x14ac:dyDescent="0.25">
      <c r="A957" s="115">
        <v>1422172</v>
      </c>
      <c r="B957" s="115" t="s">
        <v>974</v>
      </c>
      <c r="C957" s="117">
        <v>1827.19</v>
      </c>
    </row>
    <row r="958" spans="1:3" x14ac:dyDescent="0.25">
      <c r="A958" s="115">
        <v>1421504</v>
      </c>
      <c r="B958" s="115" t="s">
        <v>11495</v>
      </c>
      <c r="C958" s="117">
        <v>2960.97</v>
      </c>
    </row>
    <row r="959" spans="1:3" x14ac:dyDescent="0.25">
      <c r="A959" s="115">
        <v>1421518</v>
      </c>
      <c r="B959" s="115" t="s">
        <v>975</v>
      </c>
      <c r="C959" s="117">
        <v>2240.73</v>
      </c>
    </row>
    <row r="960" spans="1:3" x14ac:dyDescent="0.25">
      <c r="A960" s="115">
        <v>1421594</v>
      </c>
      <c r="B960" s="115" t="s">
        <v>976</v>
      </c>
      <c r="C960" s="117">
        <v>1827.19</v>
      </c>
    </row>
    <row r="961" spans="1:3" x14ac:dyDescent="0.25">
      <c r="A961" s="115">
        <v>1422420</v>
      </c>
      <c r="B961" s="115" t="s">
        <v>977</v>
      </c>
      <c r="C961" s="117">
        <v>640.13</v>
      </c>
    </row>
    <row r="962" spans="1:3" x14ac:dyDescent="0.25">
      <c r="A962" s="115">
        <v>1425066</v>
      </c>
      <c r="B962" s="115" t="s">
        <v>978</v>
      </c>
      <c r="C962" s="117">
        <v>4454.25</v>
      </c>
    </row>
    <row r="963" spans="1:3" x14ac:dyDescent="0.25">
      <c r="A963" s="115">
        <v>1425025</v>
      </c>
      <c r="B963" s="115" t="s">
        <v>11496</v>
      </c>
      <c r="C963" s="117">
        <v>4454.25</v>
      </c>
    </row>
    <row r="964" spans="1:3" x14ac:dyDescent="0.25">
      <c r="A964" s="115">
        <v>1425052</v>
      </c>
      <c r="B964" s="115" t="s">
        <v>979</v>
      </c>
      <c r="C964" s="117">
        <v>4454.25</v>
      </c>
    </row>
    <row r="965" spans="1:3" x14ac:dyDescent="0.25">
      <c r="A965" s="115">
        <v>1428426</v>
      </c>
      <c r="B965" s="115" t="s">
        <v>11899</v>
      </c>
      <c r="C965" s="117">
        <v>3715.61</v>
      </c>
    </row>
    <row r="966" spans="1:3" x14ac:dyDescent="0.25">
      <c r="A966" s="115">
        <v>1428472</v>
      </c>
      <c r="B966" s="115" t="s">
        <v>980</v>
      </c>
      <c r="C966" s="117">
        <v>3715.61</v>
      </c>
    </row>
    <row r="967" spans="1:3" x14ac:dyDescent="0.25">
      <c r="A967" s="115">
        <v>1428478</v>
      </c>
      <c r="B967" s="115" t="s">
        <v>981</v>
      </c>
      <c r="C967" s="117">
        <v>3715.61</v>
      </c>
    </row>
    <row r="968" spans="1:3" x14ac:dyDescent="0.25">
      <c r="A968" s="115">
        <v>1425800</v>
      </c>
      <c r="B968" s="115" t="s">
        <v>982</v>
      </c>
      <c r="C968" s="117">
        <v>3715.61</v>
      </c>
    </row>
    <row r="969" spans="1:3" x14ac:dyDescent="0.25">
      <c r="A969" s="115">
        <v>1425500</v>
      </c>
      <c r="B969" s="115" t="s">
        <v>983</v>
      </c>
      <c r="C969" s="117">
        <v>1803.6</v>
      </c>
    </row>
    <row r="970" spans="1:3" x14ac:dyDescent="0.25">
      <c r="A970" s="115">
        <v>1425572</v>
      </c>
      <c r="B970" s="115" t="s">
        <v>984</v>
      </c>
      <c r="C970" s="117">
        <v>1803.6</v>
      </c>
    </row>
    <row r="971" spans="1:3" x14ac:dyDescent="0.25">
      <c r="A971" s="115">
        <v>1425578</v>
      </c>
      <c r="B971" s="115" t="s">
        <v>985</v>
      </c>
      <c r="C971" s="117">
        <v>1803.6</v>
      </c>
    </row>
    <row r="972" spans="1:3" x14ac:dyDescent="0.25">
      <c r="A972" s="115">
        <v>1428123</v>
      </c>
      <c r="B972" s="115" t="s">
        <v>986</v>
      </c>
      <c r="C972" s="117">
        <v>1449.52</v>
      </c>
    </row>
    <row r="973" spans="1:3" x14ac:dyDescent="0.25">
      <c r="A973" s="115">
        <v>1428118</v>
      </c>
      <c r="B973" s="115" t="s">
        <v>987</v>
      </c>
      <c r="C973" s="117">
        <v>2685.43</v>
      </c>
    </row>
    <row r="974" spans="1:3" x14ac:dyDescent="0.25">
      <c r="A974" s="115">
        <v>1427223</v>
      </c>
      <c r="B974" s="115" t="s">
        <v>988</v>
      </c>
      <c r="C974" s="117">
        <v>1243.32</v>
      </c>
    </row>
    <row r="975" spans="1:3" x14ac:dyDescent="0.25">
      <c r="A975" s="115">
        <v>1427221</v>
      </c>
      <c r="B975" s="115" t="s">
        <v>12279</v>
      </c>
      <c r="C975" s="117">
        <v>1243.32</v>
      </c>
    </row>
    <row r="976" spans="1:3" x14ac:dyDescent="0.25">
      <c r="A976" s="115">
        <v>1427220</v>
      </c>
      <c r="B976" s="115" t="s">
        <v>989</v>
      </c>
      <c r="C976" s="117">
        <v>1243.32</v>
      </c>
    </row>
    <row r="977" spans="1:3" x14ac:dyDescent="0.25">
      <c r="A977" s="115">
        <v>1427215</v>
      </c>
      <c r="B977" s="115" t="s">
        <v>990</v>
      </c>
      <c r="C977" s="117">
        <v>1243.32</v>
      </c>
    </row>
    <row r="978" spans="1:3" x14ac:dyDescent="0.25">
      <c r="A978" s="115">
        <v>1423300</v>
      </c>
      <c r="B978" s="115" t="s">
        <v>11497</v>
      </c>
      <c r="C978" s="117">
        <v>993.98</v>
      </c>
    </row>
    <row r="979" spans="1:3" x14ac:dyDescent="0.25">
      <c r="A979" s="115">
        <v>1423400</v>
      </c>
      <c r="B979" s="115" t="s">
        <v>11498</v>
      </c>
      <c r="C979" s="117">
        <v>1192.71</v>
      </c>
    </row>
    <row r="980" spans="1:3" x14ac:dyDescent="0.25">
      <c r="A980" s="115">
        <v>1426940</v>
      </c>
      <c r="B980" s="115" t="s">
        <v>991</v>
      </c>
      <c r="C980" s="117">
        <v>781.77</v>
      </c>
    </row>
    <row r="981" spans="1:3" x14ac:dyDescent="0.25">
      <c r="A981" s="115">
        <v>1426652</v>
      </c>
      <c r="B981" s="115" t="s">
        <v>992</v>
      </c>
      <c r="C981" s="117">
        <v>493.23</v>
      </c>
    </row>
    <row r="982" spans="1:3" x14ac:dyDescent="0.25">
      <c r="A982" s="115">
        <v>1422360</v>
      </c>
      <c r="B982" s="115" t="s">
        <v>993</v>
      </c>
      <c r="C982" s="117">
        <v>781.77</v>
      </c>
    </row>
    <row r="983" spans="1:3" x14ac:dyDescent="0.25">
      <c r="A983" s="115">
        <v>1422374</v>
      </c>
      <c r="B983" s="115" t="s">
        <v>994</v>
      </c>
      <c r="C983" s="117">
        <v>1320.52</v>
      </c>
    </row>
    <row r="984" spans="1:3" x14ac:dyDescent="0.25">
      <c r="A984" s="115">
        <v>1428532</v>
      </c>
      <c r="B984" s="115" t="s">
        <v>995</v>
      </c>
      <c r="C984" s="117">
        <v>889.79</v>
      </c>
    </row>
    <row r="985" spans="1:3" x14ac:dyDescent="0.25">
      <c r="A985" s="115">
        <v>1428581</v>
      </c>
      <c r="B985" s="115" t="s">
        <v>996</v>
      </c>
      <c r="C985" s="117">
        <v>1806.07</v>
      </c>
    </row>
    <row r="986" spans="1:3" x14ac:dyDescent="0.25">
      <c r="A986" s="115">
        <v>1428582</v>
      </c>
      <c r="B986" s="115" t="s">
        <v>997</v>
      </c>
      <c r="C986" s="117">
        <v>1167</v>
      </c>
    </row>
    <row r="987" spans="1:3" x14ac:dyDescent="0.25">
      <c r="A987" s="115">
        <v>1428584</v>
      </c>
      <c r="B987" s="115" t="s">
        <v>11499</v>
      </c>
      <c r="C987" s="117">
        <v>755.85</v>
      </c>
    </row>
    <row r="988" spans="1:3" x14ac:dyDescent="0.25">
      <c r="A988" s="115">
        <v>1428564</v>
      </c>
      <c r="B988" s="115" t="s">
        <v>998</v>
      </c>
      <c r="C988" s="117">
        <v>1186.3800000000001</v>
      </c>
    </row>
    <row r="989" spans="1:3" x14ac:dyDescent="0.25">
      <c r="A989" s="115">
        <v>1428562</v>
      </c>
      <c r="B989" s="115" t="s">
        <v>999</v>
      </c>
      <c r="C989" s="117">
        <v>377.48</v>
      </c>
    </row>
    <row r="990" spans="1:3" x14ac:dyDescent="0.25">
      <c r="A990" s="115">
        <v>1428563</v>
      </c>
      <c r="B990" s="115" t="s">
        <v>1000</v>
      </c>
      <c r="C990" s="117">
        <v>566.22</v>
      </c>
    </row>
    <row r="991" spans="1:3" x14ac:dyDescent="0.25">
      <c r="A991" s="115">
        <v>1428528</v>
      </c>
      <c r="B991" s="115" t="s">
        <v>12280</v>
      </c>
      <c r="C991" s="117">
        <v>566.22</v>
      </c>
    </row>
    <row r="992" spans="1:3" x14ac:dyDescent="0.25">
      <c r="A992" s="115">
        <v>1428591</v>
      </c>
      <c r="B992" s="115" t="s">
        <v>1001</v>
      </c>
      <c r="C992" s="117">
        <v>1186.3900000000001</v>
      </c>
    </row>
    <row r="993" spans="1:3" x14ac:dyDescent="0.25">
      <c r="A993" s="115">
        <v>1428589</v>
      </c>
      <c r="B993" s="115" t="s">
        <v>1002</v>
      </c>
      <c r="C993" s="117">
        <v>377.48</v>
      </c>
    </row>
    <row r="994" spans="1:3" x14ac:dyDescent="0.25">
      <c r="A994" s="115">
        <v>1428590</v>
      </c>
      <c r="B994" s="115" t="s">
        <v>1003</v>
      </c>
      <c r="C994" s="117">
        <v>566.25</v>
      </c>
    </row>
    <row r="995" spans="1:3" x14ac:dyDescent="0.25">
      <c r="A995" s="115">
        <v>1428588</v>
      </c>
      <c r="B995" s="115" t="s">
        <v>1004</v>
      </c>
      <c r="C995" s="117">
        <v>566.22</v>
      </c>
    </row>
    <row r="996" spans="1:3" x14ac:dyDescent="0.25">
      <c r="A996" s="115">
        <v>1428533</v>
      </c>
      <c r="B996" s="115" t="s">
        <v>1005</v>
      </c>
      <c r="C996" s="117">
        <v>889.79</v>
      </c>
    </row>
    <row r="997" spans="1:3" x14ac:dyDescent="0.25">
      <c r="A997" s="115">
        <v>1428501</v>
      </c>
      <c r="B997" s="115" t="s">
        <v>1006</v>
      </c>
      <c r="C997" s="117">
        <v>889.78</v>
      </c>
    </row>
    <row r="998" spans="1:3" x14ac:dyDescent="0.25">
      <c r="A998" s="115">
        <v>1428502</v>
      </c>
      <c r="B998" s="115" t="s">
        <v>1007</v>
      </c>
      <c r="C998" s="117">
        <v>1186.3800000000001</v>
      </c>
    </row>
    <row r="999" spans="1:3" x14ac:dyDescent="0.25">
      <c r="A999" s="115">
        <v>1428515</v>
      </c>
      <c r="B999" s="115" t="s">
        <v>1008</v>
      </c>
      <c r="C999" s="117">
        <v>535.67999999999995</v>
      </c>
    </row>
    <row r="1000" spans="1:3" x14ac:dyDescent="0.25">
      <c r="A1000" s="115">
        <v>1428505</v>
      </c>
      <c r="B1000" s="115" t="s">
        <v>1009</v>
      </c>
      <c r="C1000" s="117">
        <v>889.78</v>
      </c>
    </row>
    <row r="1001" spans="1:3" x14ac:dyDescent="0.25">
      <c r="A1001" s="115">
        <v>1428506</v>
      </c>
      <c r="B1001" s="115" t="s">
        <v>1010</v>
      </c>
      <c r="C1001" s="117">
        <v>1186.3800000000001</v>
      </c>
    </row>
    <row r="1002" spans="1:3" x14ac:dyDescent="0.25">
      <c r="A1002" s="115">
        <v>1428560</v>
      </c>
      <c r="B1002" s="115" t="s">
        <v>1011</v>
      </c>
      <c r="C1002" s="117">
        <v>889.78</v>
      </c>
    </row>
    <row r="1003" spans="1:3" x14ac:dyDescent="0.25">
      <c r="A1003" s="115">
        <v>1428561</v>
      </c>
      <c r="B1003" s="115" t="s">
        <v>1012</v>
      </c>
      <c r="C1003" s="117">
        <v>1186.3800000000001</v>
      </c>
    </row>
    <row r="1004" spans="1:3" x14ac:dyDescent="0.25">
      <c r="A1004" s="115">
        <v>1428596</v>
      </c>
      <c r="B1004" s="115" t="s">
        <v>1013</v>
      </c>
      <c r="C1004" s="117">
        <v>535.67999999999995</v>
      </c>
    </row>
    <row r="1005" spans="1:3" x14ac:dyDescent="0.25">
      <c r="A1005" s="115">
        <v>1428597</v>
      </c>
      <c r="B1005" s="115" t="s">
        <v>1014</v>
      </c>
      <c r="C1005" s="117">
        <v>889.78</v>
      </c>
    </row>
    <row r="1006" spans="1:3" x14ac:dyDescent="0.25">
      <c r="A1006" s="115">
        <v>1428598</v>
      </c>
      <c r="B1006" s="115" t="s">
        <v>1015</v>
      </c>
      <c r="C1006" s="117">
        <v>1186.3800000000001</v>
      </c>
    </row>
    <row r="1007" spans="1:3" x14ac:dyDescent="0.25">
      <c r="A1007" s="115">
        <v>1428534</v>
      </c>
      <c r="B1007" s="115" t="s">
        <v>1016</v>
      </c>
      <c r="C1007" s="117">
        <v>889.79</v>
      </c>
    </row>
    <row r="1008" spans="1:3" x14ac:dyDescent="0.25">
      <c r="A1008" s="115">
        <v>1428542</v>
      </c>
      <c r="B1008" s="115" t="s">
        <v>1017</v>
      </c>
      <c r="C1008" s="117">
        <v>535.67999999999995</v>
      </c>
    </row>
    <row r="1009" spans="1:3" x14ac:dyDescent="0.25">
      <c r="A1009" s="115">
        <v>1428543</v>
      </c>
      <c r="B1009" s="115" t="s">
        <v>1018</v>
      </c>
      <c r="C1009" s="117">
        <v>889.79</v>
      </c>
    </row>
    <row r="1010" spans="1:3" x14ac:dyDescent="0.25">
      <c r="A1010" s="115">
        <v>1428527</v>
      </c>
      <c r="B1010" s="115" t="s">
        <v>12281</v>
      </c>
      <c r="C1010" s="117">
        <v>889.79</v>
      </c>
    </row>
    <row r="1011" spans="1:3" x14ac:dyDescent="0.25">
      <c r="A1011" s="115">
        <v>1420657</v>
      </c>
      <c r="B1011" s="115" t="s">
        <v>1019</v>
      </c>
      <c r="C1011" s="117">
        <v>294.76</v>
      </c>
    </row>
    <row r="1012" spans="1:3" x14ac:dyDescent="0.25">
      <c r="A1012" s="115">
        <v>1420658</v>
      </c>
      <c r="B1012" s="115" t="s">
        <v>1020</v>
      </c>
      <c r="C1012" s="117">
        <v>294.76</v>
      </c>
    </row>
    <row r="1013" spans="1:3" x14ac:dyDescent="0.25">
      <c r="A1013" s="115">
        <v>1428812</v>
      </c>
      <c r="B1013" s="115" t="s">
        <v>1021</v>
      </c>
      <c r="C1013" s="117">
        <v>194.17</v>
      </c>
    </row>
    <row r="1014" spans="1:3" x14ac:dyDescent="0.25">
      <c r="A1014" s="115">
        <v>1428803</v>
      </c>
      <c r="B1014" s="115" t="s">
        <v>1022</v>
      </c>
      <c r="C1014" s="117">
        <v>348.16</v>
      </c>
    </row>
    <row r="1015" spans="1:3" x14ac:dyDescent="0.25">
      <c r="A1015" s="144" t="s">
        <v>1023</v>
      </c>
      <c r="B1015" s="145"/>
      <c r="C1015" s="145"/>
    </row>
    <row r="1016" spans="1:3" x14ac:dyDescent="0.25">
      <c r="A1016" s="115">
        <v>2295163</v>
      </c>
      <c r="B1016" s="115" t="s">
        <v>1024</v>
      </c>
      <c r="C1016" s="117">
        <v>1635.52</v>
      </c>
    </row>
    <row r="1017" spans="1:3" x14ac:dyDescent="0.25">
      <c r="A1017" s="115">
        <v>2295063</v>
      </c>
      <c r="B1017" s="115" t="s">
        <v>1025</v>
      </c>
      <c r="C1017" s="117">
        <v>1008.15</v>
      </c>
    </row>
    <row r="1018" spans="1:3" x14ac:dyDescent="0.25">
      <c r="A1018" s="115">
        <v>2295485</v>
      </c>
      <c r="B1018" s="115" t="s">
        <v>1026</v>
      </c>
      <c r="C1018" s="117">
        <v>738.52</v>
      </c>
    </row>
    <row r="1019" spans="1:3" x14ac:dyDescent="0.25">
      <c r="A1019" s="115">
        <v>2295486</v>
      </c>
      <c r="B1019" s="115" t="s">
        <v>1027</v>
      </c>
      <c r="C1019" s="117">
        <v>783.1</v>
      </c>
    </row>
    <row r="1020" spans="1:3" x14ac:dyDescent="0.25">
      <c r="A1020" s="115">
        <v>2290537</v>
      </c>
      <c r="B1020" s="115" t="s">
        <v>12282</v>
      </c>
      <c r="C1020" s="117">
        <v>1347.82</v>
      </c>
    </row>
    <row r="1021" spans="1:3" x14ac:dyDescent="0.25">
      <c r="A1021" s="115">
        <v>2290536</v>
      </c>
      <c r="B1021" s="115" t="s">
        <v>12283</v>
      </c>
      <c r="C1021" s="117">
        <v>1310.79</v>
      </c>
    </row>
    <row r="1022" spans="1:3" x14ac:dyDescent="0.25">
      <c r="A1022" s="115">
        <v>2295110</v>
      </c>
      <c r="B1022" s="115" t="s">
        <v>1028</v>
      </c>
      <c r="C1022" s="117">
        <v>1289.0899999999999</v>
      </c>
    </row>
    <row r="1023" spans="1:3" x14ac:dyDescent="0.25">
      <c r="A1023" s="115">
        <v>2295010</v>
      </c>
      <c r="B1023" s="115" t="s">
        <v>1029</v>
      </c>
      <c r="C1023" s="117">
        <v>741.31</v>
      </c>
    </row>
    <row r="1024" spans="1:3" x14ac:dyDescent="0.25">
      <c r="A1024" s="115">
        <v>2295083</v>
      </c>
      <c r="B1024" s="115" t="s">
        <v>1030</v>
      </c>
      <c r="C1024" s="117">
        <v>649.46</v>
      </c>
    </row>
    <row r="1025" spans="1:3" x14ac:dyDescent="0.25">
      <c r="A1025" s="115">
        <v>2295183</v>
      </c>
      <c r="B1025" s="115" t="s">
        <v>1031</v>
      </c>
      <c r="C1025" s="117">
        <v>1067.51</v>
      </c>
    </row>
    <row r="1026" spans="1:3" x14ac:dyDescent="0.25">
      <c r="A1026" s="115">
        <v>2295120</v>
      </c>
      <c r="B1026" s="115" t="s">
        <v>1032</v>
      </c>
      <c r="C1026" s="117">
        <v>1467.77</v>
      </c>
    </row>
    <row r="1027" spans="1:3" x14ac:dyDescent="0.25">
      <c r="A1027" s="115">
        <v>2295030</v>
      </c>
      <c r="B1027" s="115" t="s">
        <v>1033</v>
      </c>
      <c r="C1027" s="117">
        <v>1146.54</v>
      </c>
    </row>
    <row r="1028" spans="1:3" x14ac:dyDescent="0.25">
      <c r="A1028" s="115">
        <v>2295007</v>
      </c>
      <c r="B1028" s="115" t="s">
        <v>1034</v>
      </c>
      <c r="C1028" s="117">
        <v>866.82</v>
      </c>
    </row>
    <row r="1029" spans="1:3" x14ac:dyDescent="0.25">
      <c r="A1029" s="115">
        <v>2295020</v>
      </c>
      <c r="B1029" s="115" t="s">
        <v>1035</v>
      </c>
      <c r="C1029" s="117">
        <v>866.82</v>
      </c>
    </row>
    <row r="1030" spans="1:3" x14ac:dyDescent="0.25">
      <c r="A1030" s="115">
        <v>2295600</v>
      </c>
      <c r="B1030" s="115" t="s">
        <v>1036</v>
      </c>
      <c r="C1030" s="117">
        <v>566.63</v>
      </c>
    </row>
    <row r="1031" spans="1:3" x14ac:dyDescent="0.25">
      <c r="A1031" s="115">
        <v>2295801</v>
      </c>
      <c r="B1031" s="115" t="s">
        <v>1037</v>
      </c>
      <c r="C1031" s="117">
        <v>491.2</v>
      </c>
    </row>
    <row r="1032" spans="1:3" x14ac:dyDescent="0.25">
      <c r="A1032" s="115">
        <v>2295800</v>
      </c>
      <c r="B1032" s="115" t="s">
        <v>1038</v>
      </c>
      <c r="C1032" s="117">
        <v>256.5</v>
      </c>
    </row>
    <row r="1033" spans="1:3" x14ac:dyDescent="0.25">
      <c r="A1033" s="115">
        <v>2295714</v>
      </c>
      <c r="B1033" s="115" t="s">
        <v>1039</v>
      </c>
      <c r="C1033" s="117">
        <v>998.49</v>
      </c>
    </row>
    <row r="1034" spans="1:3" x14ac:dyDescent="0.25">
      <c r="A1034" s="115">
        <v>2295700</v>
      </c>
      <c r="B1034" s="115" t="s">
        <v>1040</v>
      </c>
      <c r="C1034" s="117">
        <v>163.11000000000001</v>
      </c>
    </row>
    <row r="1035" spans="1:3" x14ac:dyDescent="0.25">
      <c r="A1035" s="144" t="s">
        <v>1041</v>
      </c>
      <c r="B1035" s="145"/>
      <c r="C1035" s="145"/>
    </row>
    <row r="1036" spans="1:3" x14ac:dyDescent="0.25">
      <c r="A1036" s="115">
        <v>2101100</v>
      </c>
      <c r="B1036" s="115" t="s">
        <v>12284</v>
      </c>
      <c r="C1036" s="117">
        <v>1565.13</v>
      </c>
    </row>
    <row r="1037" spans="1:3" x14ac:dyDescent="0.25">
      <c r="A1037" s="115">
        <v>2101200</v>
      </c>
      <c r="B1037" s="115" t="s">
        <v>12285</v>
      </c>
      <c r="C1037" s="117">
        <v>2520.5300000000002</v>
      </c>
    </row>
    <row r="1038" spans="1:3" x14ac:dyDescent="0.25">
      <c r="A1038" s="115">
        <v>2104005</v>
      </c>
      <c r="B1038" s="115" t="s">
        <v>1042</v>
      </c>
      <c r="C1038" s="117">
        <v>9999.31</v>
      </c>
    </row>
    <row r="1039" spans="1:3" x14ac:dyDescent="0.25">
      <c r="A1039" s="115">
        <v>2105015</v>
      </c>
      <c r="B1039" s="115" t="s">
        <v>12286</v>
      </c>
      <c r="C1039" s="117">
        <v>2406.39</v>
      </c>
    </row>
    <row r="1040" spans="1:3" x14ac:dyDescent="0.25">
      <c r="A1040" s="115">
        <v>2105030</v>
      </c>
      <c r="B1040" s="115" t="s">
        <v>12287</v>
      </c>
      <c r="C1040" s="117">
        <v>4572.04</v>
      </c>
    </row>
    <row r="1041" spans="1:3" x14ac:dyDescent="0.25">
      <c r="A1041" s="115">
        <v>2105009</v>
      </c>
      <c r="B1041" s="115" t="s">
        <v>12288</v>
      </c>
      <c r="C1041" s="117">
        <v>1519.86</v>
      </c>
    </row>
    <row r="1042" spans="1:3" x14ac:dyDescent="0.25">
      <c r="A1042" s="115">
        <v>2101801</v>
      </c>
      <c r="B1042" s="115" t="s">
        <v>1043</v>
      </c>
      <c r="C1042" s="117">
        <v>7197.99</v>
      </c>
    </row>
    <row r="1043" spans="1:3" x14ac:dyDescent="0.25">
      <c r="A1043" s="115">
        <v>2105115</v>
      </c>
      <c r="B1043" s="115" t="s">
        <v>1044</v>
      </c>
      <c r="C1043" s="117">
        <v>2729.48</v>
      </c>
    </row>
    <row r="1044" spans="1:3" x14ac:dyDescent="0.25">
      <c r="A1044" s="115">
        <v>2105109</v>
      </c>
      <c r="B1044" s="115" t="s">
        <v>1045</v>
      </c>
      <c r="C1044" s="117">
        <v>1694.87</v>
      </c>
    </row>
    <row r="1045" spans="1:3" x14ac:dyDescent="0.25">
      <c r="A1045" s="115">
        <v>2125150</v>
      </c>
      <c r="B1045" s="115" t="s">
        <v>1046</v>
      </c>
      <c r="C1045" s="117">
        <v>1648.78</v>
      </c>
    </row>
    <row r="1046" spans="1:3" x14ac:dyDescent="0.25">
      <c r="A1046" s="115">
        <v>2121012</v>
      </c>
      <c r="B1046" s="115" t="s">
        <v>11500</v>
      </c>
      <c r="C1046" s="117">
        <v>4708.55</v>
      </c>
    </row>
    <row r="1047" spans="1:3" x14ac:dyDescent="0.25">
      <c r="A1047" s="115">
        <v>2121025</v>
      </c>
      <c r="B1047" s="115" t="s">
        <v>11501</v>
      </c>
      <c r="C1047" s="117">
        <v>457.53</v>
      </c>
    </row>
    <row r="1048" spans="1:3" x14ac:dyDescent="0.25">
      <c r="A1048" s="115">
        <v>2120425</v>
      </c>
      <c r="B1048" s="115" t="s">
        <v>1047</v>
      </c>
      <c r="C1048" s="117">
        <v>864.09</v>
      </c>
    </row>
    <row r="1049" spans="1:3" x14ac:dyDescent="0.25">
      <c r="A1049" s="115">
        <v>2120450</v>
      </c>
      <c r="B1049" s="115" t="s">
        <v>1048</v>
      </c>
      <c r="C1049" s="117">
        <v>1346.37</v>
      </c>
    </row>
    <row r="1050" spans="1:3" x14ac:dyDescent="0.25">
      <c r="A1050" s="115">
        <v>2240510</v>
      </c>
      <c r="B1050" s="115" t="s">
        <v>1049</v>
      </c>
      <c r="C1050" s="117">
        <v>268.11</v>
      </c>
    </row>
    <row r="1051" spans="1:3" x14ac:dyDescent="0.25">
      <c r="A1051" s="115">
        <v>2110541</v>
      </c>
      <c r="B1051" s="115" t="s">
        <v>1050</v>
      </c>
      <c r="C1051" s="117">
        <v>869.73</v>
      </c>
    </row>
    <row r="1052" spans="1:3" x14ac:dyDescent="0.25">
      <c r="A1052" s="144" t="s">
        <v>1051</v>
      </c>
      <c r="B1052" s="145"/>
      <c r="C1052" s="145"/>
    </row>
    <row r="1053" spans="1:3" x14ac:dyDescent="0.25">
      <c r="A1053" s="115">
        <v>2288500</v>
      </c>
      <c r="B1053" s="115" t="s">
        <v>1052</v>
      </c>
      <c r="C1053" s="117">
        <v>848.11</v>
      </c>
    </row>
    <row r="1054" spans="1:3" x14ac:dyDescent="0.25">
      <c r="A1054" s="115">
        <v>2287200</v>
      </c>
      <c r="B1054" s="115" t="s">
        <v>11502</v>
      </c>
      <c r="C1054" s="117">
        <v>594.48</v>
      </c>
    </row>
    <row r="1055" spans="1:3" x14ac:dyDescent="0.25">
      <c r="A1055" s="115">
        <v>2281020</v>
      </c>
      <c r="B1055" s="115" t="s">
        <v>11503</v>
      </c>
      <c r="C1055" s="117">
        <v>1652.4</v>
      </c>
    </row>
    <row r="1056" spans="1:3" x14ac:dyDescent="0.25">
      <c r="A1056" s="115">
        <v>2280620</v>
      </c>
      <c r="B1056" s="115" t="s">
        <v>11504</v>
      </c>
      <c r="C1056" s="117">
        <v>1571.19</v>
      </c>
    </row>
    <row r="1057" spans="1:3" x14ac:dyDescent="0.25">
      <c r="A1057" s="115">
        <v>2280610</v>
      </c>
      <c r="B1057" s="115" t="s">
        <v>11505</v>
      </c>
      <c r="C1057" s="117">
        <v>1217.22</v>
      </c>
    </row>
    <row r="1058" spans="1:3" x14ac:dyDescent="0.25">
      <c r="A1058" s="115">
        <v>2280720</v>
      </c>
      <c r="B1058" s="115" t="s">
        <v>11506</v>
      </c>
      <c r="C1058" s="117">
        <v>2999.23</v>
      </c>
    </row>
    <row r="1059" spans="1:3" x14ac:dyDescent="0.25">
      <c r="A1059" s="115">
        <v>2280510</v>
      </c>
      <c r="B1059" s="115" t="s">
        <v>1053</v>
      </c>
      <c r="C1059" s="117">
        <v>1350.17</v>
      </c>
    </row>
    <row r="1060" spans="1:3" x14ac:dyDescent="0.25">
      <c r="A1060" s="115">
        <v>2280520</v>
      </c>
      <c r="B1060" s="115" t="s">
        <v>1054</v>
      </c>
      <c r="C1060" s="117">
        <v>1350.17</v>
      </c>
    </row>
    <row r="1061" spans="1:3" x14ac:dyDescent="0.25">
      <c r="A1061" s="115">
        <v>2281810</v>
      </c>
      <c r="B1061" s="115" t="s">
        <v>11507</v>
      </c>
      <c r="C1061" s="117">
        <v>2627.4</v>
      </c>
    </row>
    <row r="1062" spans="1:3" x14ac:dyDescent="0.25">
      <c r="A1062" s="115">
        <v>2281820</v>
      </c>
      <c r="B1062" s="115" t="s">
        <v>11508</v>
      </c>
      <c r="C1062" s="117">
        <v>2660.76</v>
      </c>
    </row>
    <row r="1063" spans="1:3" x14ac:dyDescent="0.25">
      <c r="A1063" s="115">
        <v>2283601</v>
      </c>
      <c r="B1063" s="115" t="s">
        <v>11509</v>
      </c>
      <c r="C1063" s="117">
        <v>2885.27</v>
      </c>
    </row>
    <row r="1064" spans="1:3" x14ac:dyDescent="0.25">
      <c r="A1064" s="115">
        <v>2283602</v>
      </c>
      <c r="B1064" s="115" t="s">
        <v>11510</v>
      </c>
      <c r="C1064" s="117">
        <v>2209.0300000000002</v>
      </c>
    </row>
    <row r="1065" spans="1:3" x14ac:dyDescent="0.25">
      <c r="A1065" s="115">
        <v>2286902</v>
      </c>
      <c r="B1065" s="115" t="s">
        <v>1055</v>
      </c>
      <c r="C1065" s="117">
        <v>637.30999999999995</v>
      </c>
    </row>
    <row r="1066" spans="1:3" x14ac:dyDescent="0.25">
      <c r="A1066" s="115">
        <v>2284501</v>
      </c>
      <c r="B1066" s="115" t="s">
        <v>1056</v>
      </c>
      <c r="C1066" s="117">
        <v>944.86</v>
      </c>
    </row>
    <row r="1067" spans="1:3" x14ac:dyDescent="0.25">
      <c r="A1067" s="115">
        <v>2283502</v>
      </c>
      <c r="B1067" s="115" t="s">
        <v>11511</v>
      </c>
      <c r="C1067" s="117">
        <v>649.66999999999996</v>
      </c>
    </row>
    <row r="1068" spans="1:3" x14ac:dyDescent="0.25">
      <c r="A1068" s="115">
        <v>2283501</v>
      </c>
      <c r="B1068" s="115" t="s">
        <v>11512</v>
      </c>
      <c r="C1068" s="117">
        <v>405.01</v>
      </c>
    </row>
    <row r="1069" spans="1:3" x14ac:dyDescent="0.25">
      <c r="A1069" s="115">
        <v>2283503</v>
      </c>
      <c r="B1069" s="115" t="s">
        <v>1057</v>
      </c>
      <c r="C1069" s="117">
        <v>582.97</v>
      </c>
    </row>
    <row r="1070" spans="1:3" x14ac:dyDescent="0.25">
      <c r="A1070" s="115">
        <v>2283504</v>
      </c>
      <c r="B1070" s="115" t="s">
        <v>11513</v>
      </c>
      <c r="C1070" s="117">
        <v>606.44000000000005</v>
      </c>
    </row>
    <row r="1071" spans="1:3" x14ac:dyDescent="0.25">
      <c r="A1071" s="115">
        <v>2283505</v>
      </c>
      <c r="B1071" s="115" t="s">
        <v>1058</v>
      </c>
      <c r="C1071" s="117">
        <v>405.01</v>
      </c>
    </row>
    <row r="1072" spans="1:3" x14ac:dyDescent="0.25">
      <c r="A1072" s="115">
        <v>2283155</v>
      </c>
      <c r="B1072" s="115" t="s">
        <v>12289</v>
      </c>
      <c r="C1072" s="117">
        <v>820.54</v>
      </c>
    </row>
    <row r="1073" spans="1:3" x14ac:dyDescent="0.25">
      <c r="A1073" s="115">
        <v>2283100</v>
      </c>
      <c r="B1073" s="115" t="s">
        <v>12290</v>
      </c>
      <c r="C1073" s="117">
        <v>911.71</v>
      </c>
    </row>
    <row r="1074" spans="1:3" x14ac:dyDescent="0.25">
      <c r="A1074" s="115">
        <v>2270920</v>
      </c>
      <c r="B1074" s="115" t="s">
        <v>1059</v>
      </c>
      <c r="C1074" s="117">
        <v>1632.83</v>
      </c>
    </row>
    <row r="1075" spans="1:3" x14ac:dyDescent="0.25">
      <c r="A1075" s="115">
        <v>2271000</v>
      </c>
      <c r="B1075" s="115" t="s">
        <v>11514</v>
      </c>
      <c r="C1075" s="117">
        <v>1947.55</v>
      </c>
    </row>
    <row r="1076" spans="1:3" x14ac:dyDescent="0.25">
      <c r="A1076" s="115">
        <v>2288600</v>
      </c>
      <c r="B1076" s="115" t="s">
        <v>1060</v>
      </c>
      <c r="C1076" s="117">
        <v>848.11</v>
      </c>
    </row>
    <row r="1077" spans="1:3" x14ac:dyDescent="0.25">
      <c r="A1077" s="115">
        <v>2289500</v>
      </c>
      <c r="B1077" s="115" t="s">
        <v>1061</v>
      </c>
      <c r="C1077" s="117">
        <v>683.43</v>
      </c>
    </row>
    <row r="1078" spans="1:3" x14ac:dyDescent="0.25">
      <c r="A1078" s="115">
        <v>2287500</v>
      </c>
      <c r="B1078" s="115" t="s">
        <v>1062</v>
      </c>
      <c r="C1078" s="117">
        <v>666.96</v>
      </c>
    </row>
    <row r="1079" spans="1:3" x14ac:dyDescent="0.25">
      <c r="A1079" s="115">
        <v>2287400</v>
      </c>
      <c r="B1079" s="115" t="s">
        <v>12291</v>
      </c>
      <c r="C1079" s="117">
        <v>700.53</v>
      </c>
    </row>
    <row r="1080" spans="1:3" x14ac:dyDescent="0.25">
      <c r="A1080" s="115">
        <v>2280300</v>
      </c>
      <c r="B1080" s="115" t="s">
        <v>11515</v>
      </c>
      <c r="C1080" s="117">
        <v>2969.45</v>
      </c>
    </row>
    <row r="1081" spans="1:3" x14ac:dyDescent="0.25">
      <c r="A1081" s="115">
        <v>2280301</v>
      </c>
      <c r="B1081" s="115" t="s">
        <v>11516</v>
      </c>
      <c r="C1081" s="117">
        <v>2969.45</v>
      </c>
    </row>
    <row r="1082" spans="1:3" x14ac:dyDescent="0.25">
      <c r="A1082" s="115">
        <v>2289200</v>
      </c>
      <c r="B1082" s="115" t="s">
        <v>1063</v>
      </c>
      <c r="C1082" s="117">
        <v>693.31</v>
      </c>
    </row>
    <row r="1083" spans="1:3" x14ac:dyDescent="0.25">
      <c r="A1083" s="115">
        <v>2280800</v>
      </c>
      <c r="B1083" s="115" t="s">
        <v>1064</v>
      </c>
      <c r="C1083" s="117">
        <v>44.56</v>
      </c>
    </row>
    <row r="1084" spans="1:3" x14ac:dyDescent="0.25">
      <c r="A1084" s="115">
        <v>2287600</v>
      </c>
      <c r="B1084" s="115" t="s">
        <v>1065</v>
      </c>
      <c r="C1084" s="117">
        <v>625.34</v>
      </c>
    </row>
    <row r="1085" spans="1:3" x14ac:dyDescent="0.25">
      <c r="A1085" s="115">
        <v>2287700</v>
      </c>
      <c r="B1085" s="115" t="s">
        <v>1066</v>
      </c>
      <c r="C1085" s="117">
        <v>625.34</v>
      </c>
    </row>
    <row r="1086" spans="1:3" x14ac:dyDescent="0.25">
      <c r="A1086" s="115">
        <v>2286002</v>
      </c>
      <c r="B1086" s="115" t="s">
        <v>1067</v>
      </c>
      <c r="C1086" s="117">
        <v>757.53</v>
      </c>
    </row>
    <row r="1087" spans="1:3" x14ac:dyDescent="0.25">
      <c r="A1087" s="115">
        <v>2286001</v>
      </c>
      <c r="B1087" s="115" t="s">
        <v>11517</v>
      </c>
      <c r="C1087" s="117">
        <v>884.34</v>
      </c>
    </row>
    <row r="1088" spans="1:3" x14ac:dyDescent="0.25">
      <c r="A1088" s="115">
        <v>2460412</v>
      </c>
      <c r="B1088" s="115" t="s">
        <v>1068</v>
      </c>
      <c r="C1088" s="117">
        <v>1482.71</v>
      </c>
    </row>
    <row r="1089" spans="1:3" x14ac:dyDescent="0.25">
      <c r="A1089" s="115">
        <v>2462712</v>
      </c>
      <c r="B1089" s="115" t="s">
        <v>1069</v>
      </c>
      <c r="C1089" s="117">
        <v>1216.6199999999999</v>
      </c>
    </row>
    <row r="1090" spans="1:3" x14ac:dyDescent="0.25">
      <c r="A1090" s="115">
        <v>2462720</v>
      </c>
      <c r="B1090" s="115" t="s">
        <v>1070</v>
      </c>
      <c r="C1090" s="117">
        <v>1752.05</v>
      </c>
    </row>
    <row r="1091" spans="1:3" x14ac:dyDescent="0.25">
      <c r="A1091" s="115">
        <v>2463025</v>
      </c>
      <c r="B1091" s="115" t="s">
        <v>1071</v>
      </c>
      <c r="C1091" s="117">
        <v>589.57000000000005</v>
      </c>
    </row>
    <row r="1092" spans="1:3" x14ac:dyDescent="0.25">
      <c r="A1092" s="115">
        <v>2288003</v>
      </c>
      <c r="B1092" s="115" t="s">
        <v>1072</v>
      </c>
      <c r="C1092" s="117">
        <v>683.43</v>
      </c>
    </row>
    <row r="1093" spans="1:3" x14ac:dyDescent="0.25">
      <c r="A1093" s="115">
        <v>2288002</v>
      </c>
      <c r="B1093" s="115" t="s">
        <v>1073</v>
      </c>
      <c r="C1093" s="117">
        <v>708.13</v>
      </c>
    </row>
    <row r="1094" spans="1:3" x14ac:dyDescent="0.25">
      <c r="A1094" s="115">
        <v>2280485</v>
      </c>
      <c r="B1094" s="115" t="s">
        <v>1074</v>
      </c>
      <c r="C1094" s="117">
        <v>1308.26</v>
      </c>
    </row>
    <row r="1095" spans="1:3" x14ac:dyDescent="0.25">
      <c r="A1095" s="115">
        <v>2280488</v>
      </c>
      <c r="B1095" s="115" t="s">
        <v>1075</v>
      </c>
      <c r="C1095" s="117">
        <v>3224.24</v>
      </c>
    </row>
    <row r="1096" spans="1:3" x14ac:dyDescent="0.25">
      <c r="A1096" s="115">
        <v>2280460</v>
      </c>
      <c r="B1096" s="115" t="s">
        <v>1076</v>
      </c>
      <c r="C1096" s="117">
        <v>1776.36</v>
      </c>
    </row>
    <row r="1097" spans="1:3" x14ac:dyDescent="0.25">
      <c r="A1097" s="144" t="s">
        <v>1077</v>
      </c>
      <c r="B1097" s="145"/>
      <c r="C1097" s="145"/>
    </row>
    <row r="1098" spans="1:3" x14ac:dyDescent="0.25">
      <c r="A1098" s="115">
        <v>2281604</v>
      </c>
      <c r="B1098" s="115" t="s">
        <v>1078</v>
      </c>
      <c r="C1098" s="117">
        <v>595.85</v>
      </c>
    </row>
    <row r="1099" spans="1:3" x14ac:dyDescent="0.25">
      <c r="A1099" s="115">
        <v>2281621</v>
      </c>
      <c r="B1099" s="115" t="s">
        <v>1079</v>
      </c>
      <c r="C1099" s="117">
        <v>837.01</v>
      </c>
    </row>
    <row r="1100" spans="1:3" x14ac:dyDescent="0.25">
      <c r="A1100" s="115">
        <v>2281603</v>
      </c>
      <c r="B1100" s="115" t="s">
        <v>1080</v>
      </c>
      <c r="C1100" s="117">
        <v>696.55</v>
      </c>
    </row>
    <row r="1101" spans="1:3" x14ac:dyDescent="0.25">
      <c r="A1101" s="115">
        <v>2281630</v>
      </c>
      <c r="B1101" s="115" t="s">
        <v>1081</v>
      </c>
      <c r="C1101" s="117">
        <v>1178.5999999999999</v>
      </c>
    </row>
    <row r="1102" spans="1:3" x14ac:dyDescent="0.25">
      <c r="A1102" s="115">
        <v>2290431</v>
      </c>
      <c r="B1102" s="115" t="s">
        <v>1082</v>
      </c>
      <c r="C1102" s="117">
        <v>659.58</v>
      </c>
    </row>
    <row r="1103" spans="1:3" x14ac:dyDescent="0.25">
      <c r="A1103" s="115">
        <v>2281639</v>
      </c>
      <c r="B1103" s="115" t="s">
        <v>1083</v>
      </c>
      <c r="C1103" s="117">
        <v>791.98</v>
      </c>
    </row>
    <row r="1104" spans="1:3" x14ac:dyDescent="0.25">
      <c r="A1104" s="115">
        <v>2281638</v>
      </c>
      <c r="B1104" s="115" t="s">
        <v>1084</v>
      </c>
      <c r="C1104" s="117">
        <v>541.63</v>
      </c>
    </row>
    <row r="1105" spans="1:3" x14ac:dyDescent="0.25">
      <c r="A1105" s="144" t="s">
        <v>1085</v>
      </c>
      <c r="B1105" s="145"/>
      <c r="C1105" s="145"/>
    </row>
    <row r="1106" spans="1:3" x14ac:dyDescent="0.25">
      <c r="A1106" s="115">
        <v>2267900</v>
      </c>
      <c r="B1106" s="115" t="s">
        <v>1086</v>
      </c>
      <c r="C1106" s="117">
        <v>700.07</v>
      </c>
    </row>
    <row r="1107" spans="1:3" x14ac:dyDescent="0.25">
      <c r="A1107" s="115">
        <v>2263025</v>
      </c>
      <c r="B1107" s="115" t="s">
        <v>1087</v>
      </c>
      <c r="C1107" s="117">
        <v>1325.92</v>
      </c>
    </row>
    <row r="1108" spans="1:3" x14ac:dyDescent="0.25">
      <c r="A1108" s="115">
        <v>2263050</v>
      </c>
      <c r="B1108" s="115" t="s">
        <v>1088</v>
      </c>
      <c r="C1108" s="117">
        <v>2235.81</v>
      </c>
    </row>
    <row r="1109" spans="1:3" x14ac:dyDescent="0.25">
      <c r="A1109" s="115">
        <v>2265225</v>
      </c>
      <c r="B1109" s="115" t="s">
        <v>1089</v>
      </c>
      <c r="C1109" s="117">
        <v>616.74</v>
      </c>
    </row>
    <row r="1110" spans="1:3" x14ac:dyDescent="0.25">
      <c r="A1110" s="115">
        <v>2261600</v>
      </c>
      <c r="B1110" s="115" t="s">
        <v>1090</v>
      </c>
      <c r="C1110" s="117">
        <v>1050.75</v>
      </c>
    </row>
    <row r="1111" spans="1:3" x14ac:dyDescent="0.25">
      <c r="A1111" s="115">
        <v>2268400</v>
      </c>
      <c r="B1111" s="115" t="s">
        <v>1091</v>
      </c>
      <c r="C1111" s="117">
        <v>1286.28</v>
      </c>
    </row>
    <row r="1112" spans="1:3" x14ac:dyDescent="0.25">
      <c r="A1112" s="115">
        <v>2268501</v>
      </c>
      <c r="B1112" s="115" t="s">
        <v>1092</v>
      </c>
      <c r="C1112" s="117">
        <v>1123.94</v>
      </c>
    </row>
    <row r="1113" spans="1:3" x14ac:dyDescent="0.25">
      <c r="A1113" s="115">
        <v>2268080</v>
      </c>
      <c r="B1113" s="115" t="s">
        <v>1093</v>
      </c>
      <c r="C1113" s="117">
        <v>11604.24</v>
      </c>
    </row>
    <row r="1114" spans="1:3" x14ac:dyDescent="0.25">
      <c r="A1114" s="115">
        <v>2268000</v>
      </c>
      <c r="B1114" s="115" t="s">
        <v>1094</v>
      </c>
      <c r="C1114" s="117">
        <v>848.3</v>
      </c>
    </row>
    <row r="1115" spans="1:3" x14ac:dyDescent="0.25">
      <c r="A1115" s="115">
        <v>2260720</v>
      </c>
      <c r="B1115" s="115" t="s">
        <v>1095</v>
      </c>
      <c r="C1115" s="117">
        <v>1704.63</v>
      </c>
    </row>
    <row r="1116" spans="1:3" x14ac:dyDescent="0.25">
      <c r="A1116" s="115">
        <v>2260820</v>
      </c>
      <c r="B1116" s="115" t="s">
        <v>1096</v>
      </c>
      <c r="C1116" s="117">
        <v>1035.8900000000001</v>
      </c>
    </row>
    <row r="1117" spans="1:3" x14ac:dyDescent="0.25">
      <c r="A1117" s="115">
        <v>2261707</v>
      </c>
      <c r="B1117" s="115" t="s">
        <v>11900</v>
      </c>
      <c r="C1117" s="117">
        <v>1949.4</v>
      </c>
    </row>
    <row r="1118" spans="1:3" x14ac:dyDescent="0.25">
      <c r="A1118" s="115">
        <v>2261708</v>
      </c>
      <c r="B1118" s="115" t="s">
        <v>11901</v>
      </c>
      <c r="C1118" s="117">
        <v>2558.58</v>
      </c>
    </row>
    <row r="1119" spans="1:3" x14ac:dyDescent="0.25">
      <c r="A1119" s="115">
        <v>2260105</v>
      </c>
      <c r="B1119" s="115" t="s">
        <v>1097</v>
      </c>
      <c r="C1119" s="117">
        <v>462.74</v>
      </c>
    </row>
    <row r="1120" spans="1:3" x14ac:dyDescent="0.25">
      <c r="A1120" s="115">
        <v>2260103</v>
      </c>
      <c r="B1120" s="115" t="s">
        <v>1098</v>
      </c>
      <c r="C1120" s="117">
        <v>367.82</v>
      </c>
    </row>
    <row r="1121" spans="1:3" x14ac:dyDescent="0.25">
      <c r="A1121" s="115">
        <v>2268640</v>
      </c>
      <c r="B1121" s="115" t="s">
        <v>1099</v>
      </c>
      <c r="C1121" s="117">
        <v>4021.19</v>
      </c>
    </row>
    <row r="1122" spans="1:3" x14ac:dyDescent="0.25">
      <c r="A1122" s="115">
        <v>2268606</v>
      </c>
      <c r="B1122" s="115" t="s">
        <v>1100</v>
      </c>
      <c r="C1122" s="117">
        <v>615.74</v>
      </c>
    </row>
    <row r="1123" spans="1:3" x14ac:dyDescent="0.25">
      <c r="A1123" s="115">
        <v>2262510</v>
      </c>
      <c r="B1123" s="115" t="s">
        <v>1101</v>
      </c>
      <c r="C1123" s="117">
        <v>2246.64</v>
      </c>
    </row>
    <row r="1124" spans="1:3" x14ac:dyDescent="0.25">
      <c r="A1124" s="115">
        <v>2262505</v>
      </c>
      <c r="B1124" s="115" t="s">
        <v>1102</v>
      </c>
      <c r="C1124" s="117">
        <v>1321.21</v>
      </c>
    </row>
    <row r="1125" spans="1:3" x14ac:dyDescent="0.25">
      <c r="A1125" s="115">
        <v>2262550</v>
      </c>
      <c r="B1125" s="115" t="s">
        <v>1103</v>
      </c>
      <c r="C1125" s="117">
        <v>8021.19</v>
      </c>
    </row>
    <row r="1126" spans="1:3" x14ac:dyDescent="0.25">
      <c r="A1126" s="115">
        <v>2262625</v>
      </c>
      <c r="B1126" s="115" t="s">
        <v>1104</v>
      </c>
      <c r="C1126" s="117">
        <v>1748.33</v>
      </c>
    </row>
    <row r="1127" spans="1:3" x14ac:dyDescent="0.25">
      <c r="A1127" s="115">
        <v>2262650</v>
      </c>
      <c r="B1127" s="115" t="s">
        <v>1105</v>
      </c>
      <c r="C1127" s="117">
        <v>3034.6</v>
      </c>
    </row>
    <row r="1128" spans="1:3" x14ac:dyDescent="0.25">
      <c r="A1128" s="115">
        <v>2262540</v>
      </c>
      <c r="B1128" s="115" t="s">
        <v>1106</v>
      </c>
      <c r="C1128" s="117">
        <v>5132.45</v>
      </c>
    </row>
    <row r="1129" spans="1:3" x14ac:dyDescent="0.25">
      <c r="A1129" s="115">
        <v>2262931</v>
      </c>
      <c r="B1129" s="115" t="s">
        <v>1107</v>
      </c>
      <c r="C1129" s="117">
        <v>2275.86</v>
      </c>
    </row>
    <row r="1130" spans="1:3" x14ac:dyDescent="0.25">
      <c r="A1130" s="115">
        <v>2261521</v>
      </c>
      <c r="B1130" s="115" t="s">
        <v>1108</v>
      </c>
      <c r="C1130" s="117">
        <v>3435.89</v>
      </c>
    </row>
    <row r="1131" spans="1:3" x14ac:dyDescent="0.25">
      <c r="A1131" s="115">
        <v>2262930</v>
      </c>
      <c r="B1131" s="115" t="s">
        <v>1109</v>
      </c>
      <c r="C1131" s="117">
        <v>1313.85</v>
      </c>
    </row>
    <row r="1132" spans="1:3" x14ac:dyDescent="0.25">
      <c r="A1132" s="115">
        <v>2267050</v>
      </c>
      <c r="B1132" s="115" t="s">
        <v>12292</v>
      </c>
      <c r="C1132" s="117">
        <v>1621.55</v>
      </c>
    </row>
    <row r="1133" spans="1:3" x14ac:dyDescent="0.25">
      <c r="A1133" s="115">
        <v>2262700</v>
      </c>
      <c r="B1133" s="115" t="s">
        <v>1110</v>
      </c>
      <c r="C1133" s="117">
        <v>1751.34</v>
      </c>
    </row>
    <row r="1134" spans="1:3" x14ac:dyDescent="0.25">
      <c r="A1134" s="115">
        <v>2262820</v>
      </c>
      <c r="B1134" s="115" t="s">
        <v>1111</v>
      </c>
      <c r="C1134" s="117">
        <v>437.27</v>
      </c>
    </row>
    <row r="1135" spans="1:3" x14ac:dyDescent="0.25">
      <c r="A1135" s="115">
        <v>2262705</v>
      </c>
      <c r="B1135" s="115" t="s">
        <v>1112</v>
      </c>
      <c r="C1135" s="117">
        <v>1027.2</v>
      </c>
    </row>
    <row r="1136" spans="1:3" x14ac:dyDescent="0.25">
      <c r="A1136" s="115">
        <v>2262315</v>
      </c>
      <c r="B1136" s="115" t="s">
        <v>1113</v>
      </c>
      <c r="C1136" s="117">
        <v>2348.38</v>
      </c>
    </row>
    <row r="1137" spans="1:3" x14ac:dyDescent="0.25">
      <c r="A1137" s="115">
        <v>2262112</v>
      </c>
      <c r="B1137" s="115" t="s">
        <v>12293</v>
      </c>
      <c r="C1137" s="117">
        <v>1790.91</v>
      </c>
    </row>
    <row r="1138" spans="1:3" x14ac:dyDescent="0.25">
      <c r="A1138" s="115">
        <v>2262145</v>
      </c>
      <c r="B1138" s="115" t="s">
        <v>11518</v>
      </c>
      <c r="C1138" s="117">
        <v>2982.42</v>
      </c>
    </row>
    <row r="1139" spans="1:3" x14ac:dyDescent="0.25">
      <c r="A1139" s="115">
        <v>2262305</v>
      </c>
      <c r="B1139" s="115" t="s">
        <v>12294</v>
      </c>
      <c r="C1139" s="117">
        <v>1377.37</v>
      </c>
    </row>
    <row r="1140" spans="1:3" x14ac:dyDescent="0.25">
      <c r="A1140" s="115">
        <v>2265035</v>
      </c>
      <c r="B1140" s="115" t="s">
        <v>1114</v>
      </c>
      <c r="C1140" s="117">
        <v>1943.98</v>
      </c>
    </row>
    <row r="1141" spans="1:3" x14ac:dyDescent="0.25">
      <c r="A1141" s="115">
        <v>2265041</v>
      </c>
      <c r="B1141" s="115" t="s">
        <v>1115</v>
      </c>
      <c r="C1141" s="117">
        <v>3536.01</v>
      </c>
    </row>
    <row r="1142" spans="1:3" x14ac:dyDescent="0.25">
      <c r="A1142" s="115">
        <v>2260520</v>
      </c>
      <c r="B1142" s="115" t="s">
        <v>1116</v>
      </c>
      <c r="C1142" s="117">
        <v>2044.43</v>
      </c>
    </row>
    <row r="1143" spans="1:3" x14ac:dyDescent="0.25">
      <c r="A1143" s="115">
        <v>2260550</v>
      </c>
      <c r="B1143" s="115" t="s">
        <v>1117</v>
      </c>
      <c r="C1143" s="117">
        <v>1132.49</v>
      </c>
    </row>
    <row r="1144" spans="1:3" x14ac:dyDescent="0.25">
      <c r="A1144" s="115">
        <v>2260204</v>
      </c>
      <c r="B1144" s="115" t="s">
        <v>11902</v>
      </c>
      <c r="C1144" s="117">
        <v>8078.28</v>
      </c>
    </row>
    <row r="1145" spans="1:3" x14ac:dyDescent="0.25">
      <c r="A1145" s="115">
        <v>2260248</v>
      </c>
      <c r="B1145" s="115" t="s">
        <v>1118</v>
      </c>
      <c r="C1145" s="117">
        <v>906.95</v>
      </c>
    </row>
    <row r="1146" spans="1:3" x14ac:dyDescent="0.25">
      <c r="A1146" s="115">
        <v>2260296</v>
      </c>
      <c r="B1146" s="115" t="s">
        <v>1119</v>
      </c>
      <c r="C1146" s="117">
        <v>1633.61</v>
      </c>
    </row>
    <row r="1147" spans="1:3" x14ac:dyDescent="0.25">
      <c r="A1147" s="115">
        <v>2260290</v>
      </c>
      <c r="B1147" s="115" t="s">
        <v>1120</v>
      </c>
      <c r="C1147" s="117">
        <v>615.74</v>
      </c>
    </row>
    <row r="1148" spans="1:3" x14ac:dyDescent="0.25">
      <c r="A1148" s="115">
        <v>2260320</v>
      </c>
      <c r="B1148" s="115" t="s">
        <v>1121</v>
      </c>
      <c r="C1148" s="117">
        <v>1166.51</v>
      </c>
    </row>
    <row r="1149" spans="1:3" x14ac:dyDescent="0.25">
      <c r="A1149" s="115">
        <v>2260350</v>
      </c>
      <c r="B1149" s="115" t="s">
        <v>1122</v>
      </c>
      <c r="C1149" s="117">
        <v>2177.3200000000002</v>
      </c>
    </row>
    <row r="1150" spans="1:3" x14ac:dyDescent="0.25">
      <c r="A1150" s="115">
        <v>2260360</v>
      </c>
      <c r="B1150" s="115" t="s">
        <v>1123</v>
      </c>
      <c r="C1150" s="117">
        <v>2516.0100000000002</v>
      </c>
    </row>
    <row r="1151" spans="1:3" x14ac:dyDescent="0.25">
      <c r="A1151" s="115">
        <v>2260420</v>
      </c>
      <c r="B1151" s="115" t="s">
        <v>1124</v>
      </c>
      <c r="C1151" s="117">
        <v>1248.1600000000001</v>
      </c>
    </row>
    <row r="1152" spans="1:3" x14ac:dyDescent="0.25">
      <c r="A1152" s="115">
        <v>2260450</v>
      </c>
      <c r="B1152" s="115" t="s">
        <v>1125</v>
      </c>
      <c r="C1152" s="117">
        <v>2329.7399999999998</v>
      </c>
    </row>
    <row r="1153" spans="1:3" x14ac:dyDescent="0.25">
      <c r="A1153" s="115">
        <v>2261000</v>
      </c>
      <c r="B1153" s="115" t="s">
        <v>12295</v>
      </c>
      <c r="C1153" s="117">
        <v>1055.98</v>
      </c>
    </row>
    <row r="1154" spans="1:3" x14ac:dyDescent="0.25">
      <c r="A1154" s="115">
        <v>2261001</v>
      </c>
      <c r="B1154" s="115" t="s">
        <v>11519</v>
      </c>
      <c r="C1154" s="117">
        <v>1227.71</v>
      </c>
    </row>
    <row r="1155" spans="1:3" x14ac:dyDescent="0.25">
      <c r="A1155" s="115">
        <v>2261100</v>
      </c>
      <c r="B1155" s="115" t="s">
        <v>1126</v>
      </c>
      <c r="C1155" s="117">
        <v>1967.48</v>
      </c>
    </row>
    <row r="1156" spans="1:3" x14ac:dyDescent="0.25">
      <c r="A1156" s="115">
        <v>2261110</v>
      </c>
      <c r="B1156" s="115" t="s">
        <v>1127</v>
      </c>
      <c r="C1156" s="117">
        <v>2272.6</v>
      </c>
    </row>
    <row r="1157" spans="1:3" x14ac:dyDescent="0.25">
      <c r="A1157" s="144" t="s">
        <v>1128</v>
      </c>
      <c r="B1157" s="145"/>
      <c r="C1157" s="145"/>
    </row>
    <row r="1158" spans="1:3" x14ac:dyDescent="0.25">
      <c r="A1158" s="115">
        <v>1223725</v>
      </c>
      <c r="B1158" s="115" t="s">
        <v>1129</v>
      </c>
      <c r="C1158" s="117">
        <v>1762.5</v>
      </c>
    </row>
    <row r="1159" spans="1:3" x14ac:dyDescent="0.25">
      <c r="A1159" s="115">
        <v>1223723</v>
      </c>
      <c r="B1159" s="115" t="s">
        <v>1130</v>
      </c>
      <c r="C1159" s="117">
        <v>1762.5</v>
      </c>
    </row>
    <row r="1160" spans="1:3" x14ac:dyDescent="0.25">
      <c r="A1160" s="115">
        <v>1223753</v>
      </c>
      <c r="B1160" s="115" t="s">
        <v>1131</v>
      </c>
      <c r="C1160" s="117">
        <v>1762.5</v>
      </c>
    </row>
    <row r="1161" spans="1:3" x14ac:dyDescent="0.25">
      <c r="A1161" s="115">
        <v>1223738</v>
      </c>
      <c r="B1161" s="115" t="s">
        <v>1132</v>
      </c>
      <c r="C1161" s="117">
        <v>1762.5</v>
      </c>
    </row>
    <row r="1162" spans="1:3" x14ac:dyDescent="0.25">
      <c r="A1162" s="115">
        <v>1223773</v>
      </c>
      <c r="B1162" s="115" t="s">
        <v>1133</v>
      </c>
      <c r="C1162" s="117">
        <v>1762.5</v>
      </c>
    </row>
    <row r="1163" spans="1:3" x14ac:dyDescent="0.25">
      <c r="A1163" s="115">
        <v>2188763</v>
      </c>
      <c r="B1163" s="115" t="s">
        <v>12296</v>
      </c>
      <c r="C1163" s="117">
        <v>4807.12</v>
      </c>
    </row>
    <row r="1164" spans="1:3" x14ac:dyDescent="0.25">
      <c r="A1164" s="115">
        <v>2188663</v>
      </c>
      <c r="B1164" s="115" t="s">
        <v>12297</v>
      </c>
      <c r="C1164" s="117">
        <v>3956.47</v>
      </c>
    </row>
    <row r="1165" spans="1:3" x14ac:dyDescent="0.25">
      <c r="A1165" s="115">
        <v>2188682</v>
      </c>
      <c r="B1165" s="115" t="s">
        <v>12298</v>
      </c>
      <c r="C1165" s="117">
        <v>3956.47</v>
      </c>
    </row>
    <row r="1166" spans="1:3" x14ac:dyDescent="0.25">
      <c r="A1166" s="115">
        <v>2188782</v>
      </c>
      <c r="B1166" s="115" t="s">
        <v>12299</v>
      </c>
      <c r="C1166" s="117">
        <v>4807.12</v>
      </c>
    </row>
    <row r="1167" spans="1:3" x14ac:dyDescent="0.25">
      <c r="A1167" s="115">
        <v>2189763</v>
      </c>
      <c r="B1167" s="115" t="s">
        <v>1134</v>
      </c>
      <c r="C1167" s="117">
        <v>3548.28</v>
      </c>
    </row>
    <row r="1168" spans="1:3" x14ac:dyDescent="0.25">
      <c r="A1168" s="115">
        <v>2189782</v>
      </c>
      <c r="B1168" s="115" t="s">
        <v>1135</v>
      </c>
      <c r="C1168" s="117">
        <v>3548.28</v>
      </c>
    </row>
    <row r="1169" spans="1:3" x14ac:dyDescent="0.25">
      <c r="A1169" s="115">
        <v>2189663</v>
      </c>
      <c r="B1169" s="115" t="s">
        <v>1136</v>
      </c>
      <c r="C1169" s="117">
        <v>2869.75</v>
      </c>
    </row>
    <row r="1170" spans="1:3" x14ac:dyDescent="0.25">
      <c r="A1170" s="115">
        <v>2189682</v>
      </c>
      <c r="B1170" s="115" t="s">
        <v>1137</v>
      </c>
      <c r="C1170" s="117">
        <v>2869.75</v>
      </c>
    </row>
    <row r="1171" spans="1:3" x14ac:dyDescent="0.25">
      <c r="A1171" s="115">
        <v>2180763</v>
      </c>
      <c r="B1171" s="115" t="s">
        <v>1138</v>
      </c>
      <c r="C1171" s="117">
        <v>1330.59</v>
      </c>
    </row>
    <row r="1172" spans="1:3" x14ac:dyDescent="0.25">
      <c r="A1172" s="115">
        <v>2180724</v>
      </c>
      <c r="B1172" s="115" t="s">
        <v>1139</v>
      </c>
      <c r="C1172" s="117">
        <v>1394.7</v>
      </c>
    </row>
    <row r="1173" spans="1:3" x14ac:dyDescent="0.25">
      <c r="A1173" s="115">
        <v>2180735</v>
      </c>
      <c r="B1173" s="115" t="s">
        <v>11903</v>
      </c>
      <c r="C1173" s="117">
        <v>1251.96</v>
      </c>
    </row>
    <row r="1174" spans="1:3" x14ac:dyDescent="0.25">
      <c r="A1174" s="115">
        <v>2180754</v>
      </c>
      <c r="B1174" s="115" t="s">
        <v>1140</v>
      </c>
      <c r="C1174" s="117">
        <v>1193.9000000000001</v>
      </c>
    </row>
    <row r="1175" spans="1:3" x14ac:dyDescent="0.25">
      <c r="A1175" s="115">
        <v>2180762</v>
      </c>
      <c r="B1175" s="115" t="s">
        <v>1141</v>
      </c>
      <c r="C1175" s="117">
        <v>1173.3399999999999</v>
      </c>
    </row>
    <row r="1176" spans="1:3" x14ac:dyDescent="0.25">
      <c r="A1176" s="115">
        <v>2180782</v>
      </c>
      <c r="B1176" s="115" t="s">
        <v>1142</v>
      </c>
      <c r="C1176" s="117">
        <v>1156.4000000000001</v>
      </c>
    </row>
    <row r="1177" spans="1:3" x14ac:dyDescent="0.25">
      <c r="A1177" s="115">
        <v>2180653</v>
      </c>
      <c r="B1177" s="115" t="s">
        <v>1143</v>
      </c>
      <c r="C1177" s="117">
        <v>1472.33</v>
      </c>
    </row>
    <row r="1178" spans="1:3" x14ac:dyDescent="0.25">
      <c r="A1178" s="115">
        <v>2180682</v>
      </c>
      <c r="B1178" s="115" t="s">
        <v>1144</v>
      </c>
      <c r="C1178" s="117">
        <v>1248.97</v>
      </c>
    </row>
    <row r="1179" spans="1:3" x14ac:dyDescent="0.25">
      <c r="A1179" s="115">
        <v>2180727</v>
      </c>
      <c r="B1179" s="115" t="s">
        <v>1145</v>
      </c>
      <c r="C1179" s="117">
        <v>1616.21</v>
      </c>
    </row>
    <row r="1180" spans="1:3" x14ac:dyDescent="0.25">
      <c r="A1180" s="115">
        <v>1140763</v>
      </c>
      <c r="B1180" s="115" t="s">
        <v>1146</v>
      </c>
      <c r="C1180" s="117">
        <v>2684.68</v>
      </c>
    </row>
    <row r="1181" spans="1:3" x14ac:dyDescent="0.25">
      <c r="A1181" s="115">
        <v>1148563</v>
      </c>
      <c r="B1181" s="115" t="s">
        <v>1147</v>
      </c>
      <c r="C1181" s="117">
        <v>2684.68</v>
      </c>
    </row>
    <row r="1182" spans="1:3" x14ac:dyDescent="0.25">
      <c r="A1182" s="115">
        <v>1224240</v>
      </c>
      <c r="B1182" s="115" t="s">
        <v>1148</v>
      </c>
      <c r="C1182" s="117">
        <v>2693.89</v>
      </c>
    </row>
    <row r="1183" spans="1:3" x14ac:dyDescent="0.25">
      <c r="A1183" s="115">
        <v>1224220</v>
      </c>
      <c r="B1183" s="115" t="s">
        <v>1149</v>
      </c>
      <c r="C1183" s="117">
        <v>1757.32</v>
      </c>
    </row>
    <row r="1184" spans="1:3" x14ac:dyDescent="0.25">
      <c r="A1184" s="115">
        <v>1224212</v>
      </c>
      <c r="B1184" s="115" t="s">
        <v>1150</v>
      </c>
      <c r="C1184" s="117">
        <v>989.84</v>
      </c>
    </row>
    <row r="1185" spans="1:3" x14ac:dyDescent="0.25">
      <c r="A1185" s="115">
        <v>1224200</v>
      </c>
      <c r="B1185" s="115" t="s">
        <v>1151</v>
      </c>
      <c r="C1185" s="117">
        <v>92.31</v>
      </c>
    </row>
    <row r="1186" spans="1:3" x14ac:dyDescent="0.25">
      <c r="A1186" s="115">
        <v>1224230</v>
      </c>
      <c r="B1186" s="115" t="s">
        <v>1152</v>
      </c>
      <c r="C1186" s="117">
        <v>2824.61</v>
      </c>
    </row>
    <row r="1187" spans="1:3" x14ac:dyDescent="0.25">
      <c r="A1187" s="115">
        <v>1224210</v>
      </c>
      <c r="B1187" s="115" t="s">
        <v>1153</v>
      </c>
      <c r="C1187" s="117">
        <v>1843.36</v>
      </c>
    </row>
    <row r="1188" spans="1:3" x14ac:dyDescent="0.25">
      <c r="A1188" s="115">
        <v>1140100</v>
      </c>
      <c r="B1188" s="115" t="s">
        <v>1154</v>
      </c>
      <c r="C1188" s="117">
        <v>2684.68</v>
      </c>
    </row>
    <row r="1189" spans="1:3" x14ac:dyDescent="0.25">
      <c r="A1189" s="115">
        <v>2382135</v>
      </c>
      <c r="B1189" s="115" t="s">
        <v>1155</v>
      </c>
      <c r="C1189" s="117">
        <v>622.96</v>
      </c>
    </row>
    <row r="1190" spans="1:3" x14ac:dyDescent="0.25">
      <c r="A1190" s="115">
        <v>2382182</v>
      </c>
      <c r="B1190" s="115" t="s">
        <v>1156</v>
      </c>
      <c r="C1190" s="117">
        <v>622.96</v>
      </c>
    </row>
    <row r="1191" spans="1:3" x14ac:dyDescent="0.25">
      <c r="A1191" s="115">
        <v>2382053</v>
      </c>
      <c r="B1191" s="115" t="s">
        <v>1157</v>
      </c>
      <c r="C1191" s="117">
        <v>684.65</v>
      </c>
    </row>
    <row r="1192" spans="1:3" x14ac:dyDescent="0.25">
      <c r="A1192" s="115">
        <v>2382035</v>
      </c>
      <c r="B1192" s="115" t="s">
        <v>1158</v>
      </c>
      <c r="C1192" s="117">
        <v>622.96</v>
      </c>
    </row>
    <row r="1193" spans="1:3" x14ac:dyDescent="0.25">
      <c r="A1193" s="115">
        <v>2382082</v>
      </c>
      <c r="B1193" s="115" t="s">
        <v>1159</v>
      </c>
      <c r="C1193" s="117">
        <v>562.48</v>
      </c>
    </row>
    <row r="1194" spans="1:3" x14ac:dyDescent="0.25">
      <c r="A1194" s="115">
        <v>2384082</v>
      </c>
      <c r="B1194" s="115" t="s">
        <v>11904</v>
      </c>
      <c r="C1194" s="117">
        <v>2938.06</v>
      </c>
    </row>
    <row r="1195" spans="1:3" x14ac:dyDescent="0.25">
      <c r="A1195" s="115">
        <v>2381129</v>
      </c>
      <c r="B1195" s="115" t="s">
        <v>1160</v>
      </c>
      <c r="C1195" s="117">
        <v>671.31</v>
      </c>
    </row>
    <row r="1196" spans="1:3" x14ac:dyDescent="0.25">
      <c r="A1196" s="115">
        <v>2381139</v>
      </c>
      <c r="B1196" s="115" t="s">
        <v>1161</v>
      </c>
      <c r="C1196" s="117">
        <v>671.31</v>
      </c>
    </row>
    <row r="1197" spans="1:3" x14ac:dyDescent="0.25">
      <c r="A1197" s="115">
        <v>2381138</v>
      </c>
      <c r="B1197" s="115" t="s">
        <v>1162</v>
      </c>
      <c r="C1197" s="117">
        <v>671.31</v>
      </c>
    </row>
    <row r="1198" spans="1:3" x14ac:dyDescent="0.25">
      <c r="A1198" s="115">
        <v>2381135</v>
      </c>
      <c r="B1198" s="115" t="s">
        <v>12300</v>
      </c>
      <c r="C1198" s="117">
        <v>671.31</v>
      </c>
    </row>
    <row r="1199" spans="1:3" x14ac:dyDescent="0.25">
      <c r="A1199" s="115">
        <v>2381026</v>
      </c>
      <c r="B1199" s="115" t="s">
        <v>1163</v>
      </c>
      <c r="C1199" s="117">
        <v>671.31</v>
      </c>
    </row>
    <row r="1200" spans="1:3" x14ac:dyDescent="0.25">
      <c r="A1200" s="115">
        <v>2381029</v>
      </c>
      <c r="B1200" s="115" t="s">
        <v>1164</v>
      </c>
      <c r="C1200" s="117">
        <v>671.31</v>
      </c>
    </row>
    <row r="1201" spans="1:3" x14ac:dyDescent="0.25">
      <c r="A1201" s="115">
        <v>2381039</v>
      </c>
      <c r="B1201" s="115" t="s">
        <v>1165</v>
      </c>
      <c r="C1201" s="117">
        <v>671.31</v>
      </c>
    </row>
    <row r="1202" spans="1:3" x14ac:dyDescent="0.25">
      <c r="A1202" s="115">
        <v>2381035</v>
      </c>
      <c r="B1202" s="115" t="s">
        <v>1166</v>
      </c>
      <c r="C1202" s="117">
        <v>671.31</v>
      </c>
    </row>
    <row r="1203" spans="1:3" x14ac:dyDescent="0.25">
      <c r="A1203" s="115">
        <v>2381038</v>
      </c>
      <c r="B1203" s="115" t="s">
        <v>1167</v>
      </c>
      <c r="C1203" s="117">
        <v>671.31</v>
      </c>
    </row>
    <row r="1204" spans="1:3" x14ac:dyDescent="0.25">
      <c r="A1204" s="115">
        <v>2381062</v>
      </c>
      <c r="B1204" s="115" t="s">
        <v>1168</v>
      </c>
      <c r="C1204" s="117">
        <v>671.31</v>
      </c>
    </row>
    <row r="1205" spans="1:3" x14ac:dyDescent="0.25">
      <c r="A1205" s="115">
        <v>2243529</v>
      </c>
      <c r="B1205" s="115" t="s">
        <v>11520</v>
      </c>
      <c r="C1205" s="117">
        <v>4091</v>
      </c>
    </row>
    <row r="1206" spans="1:3" x14ac:dyDescent="0.25">
      <c r="A1206" s="115">
        <v>1224252</v>
      </c>
      <c r="B1206" s="115" t="s">
        <v>1169</v>
      </c>
      <c r="C1206" s="117">
        <v>563.91999999999996</v>
      </c>
    </row>
    <row r="1207" spans="1:3" x14ac:dyDescent="0.25">
      <c r="A1207" s="115">
        <v>1146200</v>
      </c>
      <c r="B1207" s="115" t="s">
        <v>1170</v>
      </c>
      <c r="C1207" s="117">
        <v>2971.25</v>
      </c>
    </row>
    <row r="1208" spans="1:3" x14ac:dyDescent="0.25">
      <c r="A1208" s="115">
        <v>1146235</v>
      </c>
      <c r="B1208" s="115" t="s">
        <v>11521</v>
      </c>
      <c r="C1208" s="117">
        <v>6040</v>
      </c>
    </row>
    <row r="1209" spans="1:3" x14ac:dyDescent="0.25">
      <c r="A1209" s="115">
        <v>2384577</v>
      </c>
      <c r="B1209" s="115" t="s">
        <v>1171</v>
      </c>
      <c r="C1209" s="117">
        <v>929.08</v>
      </c>
    </row>
    <row r="1210" spans="1:3" x14ac:dyDescent="0.25">
      <c r="A1210" s="115">
        <v>2384582</v>
      </c>
      <c r="B1210" s="115" t="s">
        <v>1172</v>
      </c>
      <c r="C1210" s="117">
        <v>929.08</v>
      </c>
    </row>
    <row r="1211" spans="1:3" x14ac:dyDescent="0.25">
      <c r="A1211" s="115">
        <v>2380465</v>
      </c>
      <c r="B1211" s="115" t="s">
        <v>1173</v>
      </c>
      <c r="C1211" s="117">
        <v>1500.14</v>
      </c>
    </row>
    <row r="1212" spans="1:3" x14ac:dyDescent="0.25">
      <c r="A1212" s="115">
        <v>2380474</v>
      </c>
      <c r="B1212" s="115" t="s">
        <v>11905</v>
      </c>
      <c r="C1212" s="117">
        <v>1500.14</v>
      </c>
    </row>
    <row r="1213" spans="1:3" x14ac:dyDescent="0.25">
      <c r="A1213" s="115">
        <v>1140228</v>
      </c>
      <c r="B1213" s="115" t="s">
        <v>1174</v>
      </c>
      <c r="C1213" s="117">
        <v>2684.68</v>
      </c>
    </row>
    <row r="1214" spans="1:3" x14ac:dyDescent="0.25">
      <c r="A1214" s="115">
        <v>2990742</v>
      </c>
      <c r="B1214" s="115" t="s">
        <v>1175</v>
      </c>
      <c r="C1214" s="117">
        <v>2220.2800000000002</v>
      </c>
    </row>
    <row r="1215" spans="1:3" x14ac:dyDescent="0.25">
      <c r="A1215" s="115">
        <v>2990743</v>
      </c>
      <c r="B1215" s="115" t="s">
        <v>1176</v>
      </c>
      <c r="C1215" s="117">
        <v>2220.2800000000002</v>
      </c>
    </row>
    <row r="1216" spans="1:3" x14ac:dyDescent="0.25">
      <c r="A1216" s="115">
        <v>2990836</v>
      </c>
      <c r="B1216" s="115" t="s">
        <v>1177</v>
      </c>
      <c r="C1216" s="117">
        <v>3272.06</v>
      </c>
    </row>
    <row r="1217" spans="1:3" x14ac:dyDescent="0.25">
      <c r="A1217" s="115">
        <v>2990838</v>
      </c>
      <c r="B1217" s="115" t="s">
        <v>1178</v>
      </c>
      <c r="C1217" s="117">
        <v>3272.06</v>
      </c>
    </row>
    <row r="1218" spans="1:3" x14ac:dyDescent="0.25">
      <c r="A1218" s="115">
        <v>2990840</v>
      </c>
      <c r="B1218" s="115" t="s">
        <v>11522</v>
      </c>
      <c r="C1218" s="117">
        <v>3272.06</v>
      </c>
    </row>
    <row r="1219" spans="1:3" x14ac:dyDescent="0.25">
      <c r="A1219" s="115">
        <v>2992130</v>
      </c>
      <c r="B1219" s="115" t="s">
        <v>1179</v>
      </c>
      <c r="C1219" s="117">
        <v>26393.599999999999</v>
      </c>
    </row>
    <row r="1220" spans="1:3" x14ac:dyDescent="0.25">
      <c r="A1220" s="115">
        <v>2992150</v>
      </c>
      <c r="B1220" s="115" t="s">
        <v>1180</v>
      </c>
      <c r="C1220" s="117">
        <v>4750.46</v>
      </c>
    </row>
    <row r="1221" spans="1:3" x14ac:dyDescent="0.25">
      <c r="A1221" s="115">
        <v>2992109</v>
      </c>
      <c r="B1221" s="115" t="s">
        <v>1181</v>
      </c>
      <c r="C1221" s="117">
        <v>2468.4</v>
      </c>
    </row>
    <row r="1222" spans="1:3" x14ac:dyDescent="0.25">
      <c r="A1222" s="115">
        <v>2991502</v>
      </c>
      <c r="B1222" s="115" t="s">
        <v>1182</v>
      </c>
      <c r="C1222" s="117">
        <v>2128.19</v>
      </c>
    </row>
    <row r="1223" spans="1:3" x14ac:dyDescent="0.25">
      <c r="A1223" s="115">
        <v>2990334</v>
      </c>
      <c r="B1223" s="115" t="s">
        <v>1183</v>
      </c>
      <c r="C1223" s="117">
        <v>5410.98</v>
      </c>
    </row>
    <row r="1224" spans="1:3" x14ac:dyDescent="0.25">
      <c r="A1224" s="115">
        <v>2992051</v>
      </c>
      <c r="B1224" s="115" t="s">
        <v>1184</v>
      </c>
      <c r="C1224" s="117">
        <v>6360.5</v>
      </c>
    </row>
    <row r="1225" spans="1:3" x14ac:dyDescent="0.25">
      <c r="A1225" s="115">
        <v>2992050</v>
      </c>
      <c r="B1225" s="115" t="s">
        <v>1185</v>
      </c>
      <c r="C1225" s="117">
        <v>5298.14</v>
      </c>
    </row>
    <row r="1226" spans="1:3" x14ac:dyDescent="0.25">
      <c r="A1226" s="115">
        <v>2990250</v>
      </c>
      <c r="B1226" s="115" t="s">
        <v>1186</v>
      </c>
      <c r="C1226" s="117">
        <v>6362.98</v>
      </c>
    </row>
    <row r="1227" spans="1:3" x14ac:dyDescent="0.25">
      <c r="A1227" s="115">
        <v>1140024</v>
      </c>
      <c r="B1227" s="115" t="s">
        <v>1187</v>
      </c>
      <c r="C1227" s="117">
        <v>4555.2299999999996</v>
      </c>
    </row>
    <row r="1228" spans="1:3" x14ac:dyDescent="0.25">
      <c r="A1228" s="144" t="s">
        <v>1188</v>
      </c>
      <c r="B1228" s="145"/>
      <c r="C1228" s="145"/>
    </row>
    <row r="1229" spans="1:3" x14ac:dyDescent="0.25">
      <c r="A1229" s="115">
        <v>2991500</v>
      </c>
      <c r="B1229" s="115" t="s">
        <v>1189</v>
      </c>
      <c r="C1229" s="117">
        <v>1880.06</v>
      </c>
    </row>
    <row r="1230" spans="1:3" x14ac:dyDescent="0.25">
      <c r="A1230" s="115">
        <v>2222000</v>
      </c>
      <c r="B1230" s="115" t="s">
        <v>1190</v>
      </c>
      <c r="C1230" s="117">
        <v>521.41999999999996</v>
      </c>
    </row>
    <row r="1231" spans="1:3" x14ac:dyDescent="0.25">
      <c r="A1231" s="115">
        <v>2201618</v>
      </c>
      <c r="B1231" s="115" t="s">
        <v>1191</v>
      </c>
      <c r="C1231" s="117">
        <v>896.97</v>
      </c>
    </row>
    <row r="1232" spans="1:3" x14ac:dyDescent="0.25">
      <c r="A1232" s="115">
        <v>2201636</v>
      </c>
      <c r="B1232" s="115" t="s">
        <v>1192</v>
      </c>
      <c r="C1232" s="117">
        <v>1638.52</v>
      </c>
    </row>
    <row r="1233" spans="1:3" x14ac:dyDescent="0.25">
      <c r="A1233" s="115">
        <v>2201900</v>
      </c>
      <c r="B1233" s="115" t="s">
        <v>1193</v>
      </c>
      <c r="C1233" s="117">
        <v>137.34</v>
      </c>
    </row>
    <row r="1234" spans="1:3" x14ac:dyDescent="0.25">
      <c r="A1234" s="115">
        <v>2201018</v>
      </c>
      <c r="B1234" s="115" t="s">
        <v>1194</v>
      </c>
      <c r="C1234" s="117">
        <v>741.44</v>
      </c>
    </row>
    <row r="1235" spans="1:3" x14ac:dyDescent="0.25">
      <c r="A1235" s="115">
        <v>2201036</v>
      </c>
      <c r="B1235" s="115" t="s">
        <v>1195</v>
      </c>
      <c r="C1235" s="117">
        <v>1477</v>
      </c>
    </row>
    <row r="1236" spans="1:3" x14ac:dyDescent="0.25">
      <c r="A1236" s="115">
        <v>2201080</v>
      </c>
      <c r="B1236" s="115" t="s">
        <v>1196</v>
      </c>
      <c r="C1236" s="117">
        <v>3027.1</v>
      </c>
    </row>
    <row r="1237" spans="1:3" x14ac:dyDescent="0.25">
      <c r="A1237" s="115">
        <v>2221400</v>
      </c>
      <c r="B1237" s="115" t="s">
        <v>1197</v>
      </c>
      <c r="C1237" s="117">
        <v>158.37</v>
      </c>
    </row>
    <row r="1238" spans="1:3" x14ac:dyDescent="0.25">
      <c r="A1238" s="115">
        <v>2225612</v>
      </c>
      <c r="B1238" s="115" t="s">
        <v>1198</v>
      </c>
      <c r="C1238" s="117">
        <v>1443.06</v>
      </c>
    </row>
    <row r="1239" spans="1:3" x14ac:dyDescent="0.25">
      <c r="A1239" s="115">
        <v>2225625</v>
      </c>
      <c r="B1239" s="115" t="s">
        <v>1199</v>
      </c>
      <c r="C1239" s="117">
        <v>2596.0300000000002</v>
      </c>
    </row>
    <row r="1240" spans="1:3" x14ac:dyDescent="0.25">
      <c r="A1240" s="115">
        <v>2225650</v>
      </c>
      <c r="B1240" s="115" t="s">
        <v>1200</v>
      </c>
      <c r="C1240" s="117">
        <v>5129.95</v>
      </c>
    </row>
    <row r="1241" spans="1:3" x14ac:dyDescent="0.25">
      <c r="A1241" s="115">
        <v>2225512</v>
      </c>
      <c r="B1241" s="115" t="s">
        <v>1201</v>
      </c>
      <c r="C1241" s="117">
        <v>1443.06</v>
      </c>
    </row>
    <row r="1242" spans="1:3" x14ac:dyDescent="0.25">
      <c r="A1242" s="115">
        <v>2225501</v>
      </c>
      <c r="B1242" s="115" t="s">
        <v>1202</v>
      </c>
      <c r="C1242" s="117">
        <v>10109.15</v>
      </c>
    </row>
    <row r="1243" spans="1:3" x14ac:dyDescent="0.25">
      <c r="A1243" s="115">
        <v>2225525</v>
      </c>
      <c r="B1243" s="115" t="s">
        <v>1203</v>
      </c>
      <c r="C1243" s="117">
        <v>2596.0300000000002</v>
      </c>
    </row>
    <row r="1244" spans="1:3" x14ac:dyDescent="0.25">
      <c r="A1244" s="115">
        <v>2225550</v>
      </c>
      <c r="B1244" s="115" t="s">
        <v>1204</v>
      </c>
      <c r="C1244" s="117">
        <v>5129.95</v>
      </c>
    </row>
    <row r="1245" spans="1:3" x14ac:dyDescent="0.25">
      <c r="A1245" s="115">
        <v>2226000</v>
      </c>
      <c r="B1245" s="115" t="s">
        <v>1205</v>
      </c>
      <c r="C1245" s="117">
        <v>2441.89</v>
      </c>
    </row>
    <row r="1246" spans="1:3" x14ac:dyDescent="0.25">
      <c r="A1246" s="115">
        <v>2222003</v>
      </c>
      <c r="B1246" s="115" t="s">
        <v>1206</v>
      </c>
      <c r="C1246" s="117">
        <v>1916.43</v>
      </c>
    </row>
    <row r="1247" spans="1:3" x14ac:dyDescent="0.25">
      <c r="A1247" s="115">
        <v>2222001</v>
      </c>
      <c r="B1247" s="115" t="s">
        <v>1207</v>
      </c>
      <c r="C1247" s="117">
        <v>1916.43</v>
      </c>
    </row>
    <row r="1248" spans="1:3" x14ac:dyDescent="0.25">
      <c r="A1248" s="115">
        <v>2220245</v>
      </c>
      <c r="B1248" s="115" t="s">
        <v>1208</v>
      </c>
      <c r="C1248" s="117">
        <v>2175.7800000000002</v>
      </c>
    </row>
    <row r="1249" spans="1:3" x14ac:dyDescent="0.25">
      <c r="A1249" s="115">
        <v>2220244</v>
      </c>
      <c r="B1249" s="115" t="s">
        <v>1209</v>
      </c>
      <c r="C1249" s="117">
        <v>2175.7800000000002</v>
      </c>
    </row>
    <row r="1250" spans="1:3" x14ac:dyDescent="0.25">
      <c r="A1250" s="115">
        <v>2220150</v>
      </c>
      <c r="B1250" s="115" t="s">
        <v>1210</v>
      </c>
      <c r="C1250" s="117">
        <v>2356.65</v>
      </c>
    </row>
    <row r="1251" spans="1:3" x14ac:dyDescent="0.25">
      <c r="A1251" s="115">
        <v>2220146</v>
      </c>
      <c r="B1251" s="115" t="s">
        <v>1211</v>
      </c>
      <c r="C1251" s="117">
        <v>2356.65</v>
      </c>
    </row>
    <row r="1252" spans="1:3" x14ac:dyDescent="0.25">
      <c r="A1252" s="115">
        <v>2220145</v>
      </c>
      <c r="B1252" s="115" t="s">
        <v>1212</v>
      </c>
      <c r="C1252" s="117">
        <v>2356.65</v>
      </c>
    </row>
    <row r="1253" spans="1:3" x14ac:dyDescent="0.25">
      <c r="A1253" s="115">
        <v>2220151</v>
      </c>
      <c r="B1253" s="115" t="s">
        <v>1213</v>
      </c>
      <c r="C1253" s="117">
        <v>2356.65</v>
      </c>
    </row>
    <row r="1254" spans="1:3" x14ac:dyDescent="0.25">
      <c r="A1254" s="115">
        <v>2220243</v>
      </c>
      <c r="B1254" s="115" t="s">
        <v>1214</v>
      </c>
      <c r="C1254" s="117">
        <v>2175.7800000000002</v>
      </c>
    </row>
    <row r="1255" spans="1:3" x14ac:dyDescent="0.25">
      <c r="A1255" s="115">
        <v>2220132</v>
      </c>
      <c r="B1255" s="115" t="s">
        <v>1215</v>
      </c>
      <c r="C1255" s="117">
        <v>2356.65</v>
      </c>
    </row>
    <row r="1256" spans="1:3" x14ac:dyDescent="0.25">
      <c r="A1256" s="115">
        <v>2220136</v>
      </c>
      <c r="B1256" s="115" t="s">
        <v>1216</v>
      </c>
      <c r="C1256" s="117">
        <v>2356.65</v>
      </c>
    </row>
    <row r="1257" spans="1:3" x14ac:dyDescent="0.25">
      <c r="A1257" s="115">
        <v>2220131</v>
      </c>
      <c r="B1257" s="115" t="s">
        <v>1217</v>
      </c>
      <c r="C1257" s="117">
        <v>2356.65</v>
      </c>
    </row>
    <row r="1258" spans="1:3" x14ac:dyDescent="0.25">
      <c r="A1258" s="115">
        <v>2220137</v>
      </c>
      <c r="B1258" s="115" t="s">
        <v>1218</v>
      </c>
      <c r="C1258" s="117">
        <v>2356.65</v>
      </c>
    </row>
    <row r="1259" spans="1:3" x14ac:dyDescent="0.25">
      <c r="A1259" s="115">
        <v>2222002</v>
      </c>
      <c r="B1259" s="115" t="s">
        <v>1219</v>
      </c>
      <c r="C1259" s="117">
        <v>1916.43</v>
      </c>
    </row>
    <row r="1260" spans="1:3" x14ac:dyDescent="0.25">
      <c r="A1260" s="115">
        <v>2223100</v>
      </c>
      <c r="B1260" s="115" t="s">
        <v>1220</v>
      </c>
      <c r="C1260" s="117">
        <v>5309.09</v>
      </c>
    </row>
    <row r="1261" spans="1:3" x14ac:dyDescent="0.25">
      <c r="A1261" s="115">
        <v>2225210</v>
      </c>
      <c r="B1261" s="115" t="s">
        <v>12301</v>
      </c>
      <c r="C1261" s="117">
        <v>976.06</v>
      </c>
    </row>
    <row r="1262" spans="1:3" x14ac:dyDescent="0.25">
      <c r="A1262" s="115">
        <v>2225218</v>
      </c>
      <c r="B1262" s="115" t="s">
        <v>12302</v>
      </c>
      <c r="C1262" s="117">
        <v>1615.98</v>
      </c>
    </row>
    <row r="1263" spans="1:3" x14ac:dyDescent="0.25">
      <c r="A1263" s="115">
        <v>2225211</v>
      </c>
      <c r="B1263" s="115" t="s">
        <v>12303</v>
      </c>
      <c r="C1263" s="117">
        <v>976.06</v>
      </c>
    </row>
    <row r="1264" spans="1:3" x14ac:dyDescent="0.25">
      <c r="A1264" s="115">
        <v>2225217</v>
      </c>
      <c r="B1264" s="115" t="s">
        <v>12304</v>
      </c>
      <c r="C1264" s="117">
        <v>1615.87</v>
      </c>
    </row>
    <row r="1265" spans="1:3" x14ac:dyDescent="0.25">
      <c r="A1265" s="115">
        <v>2500576</v>
      </c>
      <c r="B1265" s="115" t="s">
        <v>1221</v>
      </c>
      <c r="C1265" s="117">
        <v>350.79</v>
      </c>
    </row>
    <row r="1266" spans="1:3" x14ac:dyDescent="0.25">
      <c r="A1266" s="115">
        <v>2503041</v>
      </c>
      <c r="B1266" s="115" t="s">
        <v>1222</v>
      </c>
      <c r="C1266" s="117">
        <v>1017.59</v>
      </c>
    </row>
    <row r="1267" spans="1:3" x14ac:dyDescent="0.25">
      <c r="A1267" s="115">
        <v>2503042</v>
      </c>
      <c r="B1267" s="115" t="s">
        <v>1223</v>
      </c>
      <c r="C1267" s="117">
        <v>1831.24</v>
      </c>
    </row>
    <row r="1268" spans="1:3" x14ac:dyDescent="0.25">
      <c r="A1268" s="115">
        <v>2503025</v>
      </c>
      <c r="B1268" s="115" t="s">
        <v>1224</v>
      </c>
      <c r="C1268" s="117">
        <v>1017.59</v>
      </c>
    </row>
    <row r="1269" spans="1:3" x14ac:dyDescent="0.25">
      <c r="A1269" s="115">
        <v>2503061</v>
      </c>
      <c r="B1269" s="115" t="s">
        <v>1225</v>
      </c>
      <c r="C1269" s="117">
        <v>1017.59</v>
      </c>
    </row>
    <row r="1270" spans="1:3" x14ac:dyDescent="0.25">
      <c r="A1270" s="115">
        <v>2503062</v>
      </c>
      <c r="B1270" s="115" t="s">
        <v>1226</v>
      </c>
      <c r="C1270" s="117">
        <v>1831.24</v>
      </c>
    </row>
    <row r="1271" spans="1:3" x14ac:dyDescent="0.25">
      <c r="A1271" s="115">
        <v>2503125</v>
      </c>
      <c r="B1271" s="115" t="s">
        <v>1227</v>
      </c>
      <c r="C1271" s="117">
        <v>1017.59</v>
      </c>
    </row>
    <row r="1272" spans="1:3" x14ac:dyDescent="0.25">
      <c r="A1272" s="115">
        <v>2991400</v>
      </c>
      <c r="B1272" s="115" t="s">
        <v>1228</v>
      </c>
      <c r="C1272" s="117">
        <v>1260.31</v>
      </c>
    </row>
    <row r="1273" spans="1:3" x14ac:dyDescent="0.25">
      <c r="A1273" s="115">
        <v>2221310</v>
      </c>
      <c r="B1273" s="115" t="s">
        <v>1229</v>
      </c>
      <c r="C1273" s="117">
        <v>3294.03</v>
      </c>
    </row>
    <row r="1274" spans="1:3" x14ac:dyDescent="0.25">
      <c r="A1274" s="115">
        <v>2221305</v>
      </c>
      <c r="B1274" s="115" t="s">
        <v>1230</v>
      </c>
      <c r="C1274" s="117">
        <v>2182.91</v>
      </c>
    </row>
    <row r="1275" spans="1:3" x14ac:dyDescent="0.25">
      <c r="A1275" s="115">
        <v>2221210</v>
      </c>
      <c r="B1275" s="115" t="s">
        <v>1231</v>
      </c>
      <c r="C1275" s="117">
        <v>3294.03</v>
      </c>
    </row>
    <row r="1276" spans="1:3" x14ac:dyDescent="0.25">
      <c r="A1276" s="115">
        <v>2221205</v>
      </c>
      <c r="B1276" s="115" t="s">
        <v>1232</v>
      </c>
      <c r="C1276" s="117">
        <v>2182.91</v>
      </c>
    </row>
    <row r="1277" spans="1:3" x14ac:dyDescent="0.25">
      <c r="A1277" s="115">
        <v>2221010</v>
      </c>
      <c r="B1277" s="115" t="s">
        <v>1233</v>
      </c>
      <c r="C1277" s="117">
        <v>3294.03</v>
      </c>
    </row>
    <row r="1278" spans="1:3" x14ac:dyDescent="0.25">
      <c r="A1278" s="115">
        <v>2500577</v>
      </c>
      <c r="B1278" s="115" t="s">
        <v>1234</v>
      </c>
      <c r="C1278" s="117">
        <v>295.10000000000002</v>
      </c>
    </row>
    <row r="1279" spans="1:3" x14ac:dyDescent="0.25">
      <c r="A1279" s="115">
        <v>2501035</v>
      </c>
      <c r="B1279" s="115" t="s">
        <v>1235</v>
      </c>
      <c r="C1279" s="117">
        <v>2432.92</v>
      </c>
    </row>
    <row r="1280" spans="1:3" x14ac:dyDescent="0.25">
      <c r="A1280" s="115">
        <v>2501041</v>
      </c>
      <c r="B1280" s="115" t="s">
        <v>1236</v>
      </c>
      <c r="C1280" s="117">
        <v>746.11</v>
      </c>
    </row>
    <row r="1281" spans="1:3" x14ac:dyDescent="0.25">
      <c r="A1281" s="115">
        <v>2501034</v>
      </c>
      <c r="B1281" s="115" t="s">
        <v>1237</v>
      </c>
      <c r="C1281" s="117">
        <v>1344.4</v>
      </c>
    </row>
    <row r="1282" spans="1:3" x14ac:dyDescent="0.25">
      <c r="A1282" s="115">
        <v>2501625</v>
      </c>
      <c r="B1282" s="115" t="s">
        <v>1238</v>
      </c>
      <c r="C1282" s="117">
        <v>705.67</v>
      </c>
    </row>
    <row r="1283" spans="1:3" x14ac:dyDescent="0.25">
      <c r="A1283" s="115">
        <v>2501669</v>
      </c>
      <c r="B1283" s="115" t="s">
        <v>1239</v>
      </c>
      <c r="C1283" s="117">
        <v>663.73</v>
      </c>
    </row>
    <row r="1284" spans="1:3" x14ac:dyDescent="0.25">
      <c r="A1284" s="115">
        <v>2501643</v>
      </c>
      <c r="B1284" s="115" t="s">
        <v>1240</v>
      </c>
      <c r="C1284" s="117">
        <v>648.01</v>
      </c>
    </row>
    <row r="1285" spans="1:3" x14ac:dyDescent="0.25">
      <c r="A1285" s="115">
        <v>2501685</v>
      </c>
      <c r="B1285" s="115" t="s">
        <v>1241</v>
      </c>
      <c r="C1285" s="117">
        <v>983.58</v>
      </c>
    </row>
    <row r="1286" spans="1:3" x14ac:dyDescent="0.25">
      <c r="A1286" s="115">
        <v>2501025</v>
      </c>
      <c r="B1286" s="115" t="s">
        <v>12305</v>
      </c>
      <c r="C1286" s="117">
        <v>746.11</v>
      </c>
    </row>
    <row r="1287" spans="1:3" x14ac:dyDescent="0.25">
      <c r="A1287" s="115">
        <v>2501050</v>
      </c>
      <c r="B1287" s="115" t="s">
        <v>1242</v>
      </c>
      <c r="C1287" s="117">
        <v>1344.4</v>
      </c>
    </row>
    <row r="1288" spans="1:3" x14ac:dyDescent="0.25">
      <c r="A1288" s="115">
        <v>2520481</v>
      </c>
      <c r="B1288" s="115" t="s">
        <v>1243</v>
      </c>
      <c r="C1288" s="117">
        <v>1221.77</v>
      </c>
    </row>
    <row r="1289" spans="1:3" x14ac:dyDescent="0.25">
      <c r="A1289" s="115">
        <v>2520951</v>
      </c>
      <c r="B1289" s="115" t="s">
        <v>1244</v>
      </c>
      <c r="C1289" s="117">
        <v>7380.86</v>
      </c>
    </row>
    <row r="1290" spans="1:3" x14ac:dyDescent="0.25">
      <c r="A1290" s="115">
        <v>2520952</v>
      </c>
      <c r="B1290" s="115" t="s">
        <v>12306</v>
      </c>
      <c r="C1290" s="117">
        <v>1916.27</v>
      </c>
    </row>
    <row r="1291" spans="1:3" x14ac:dyDescent="0.25">
      <c r="A1291" s="115">
        <v>2520950</v>
      </c>
      <c r="B1291" s="115" t="s">
        <v>1245</v>
      </c>
      <c r="C1291" s="117">
        <v>3891.74</v>
      </c>
    </row>
    <row r="1292" spans="1:3" x14ac:dyDescent="0.25">
      <c r="A1292" s="115">
        <v>2527030</v>
      </c>
      <c r="B1292" s="115" t="s">
        <v>1246</v>
      </c>
      <c r="C1292" s="117">
        <v>980.01</v>
      </c>
    </row>
    <row r="1293" spans="1:3" x14ac:dyDescent="0.25">
      <c r="A1293" s="115">
        <v>2527040</v>
      </c>
      <c r="B1293" s="115" t="s">
        <v>1247</v>
      </c>
      <c r="C1293" s="117">
        <v>980.01</v>
      </c>
    </row>
    <row r="1294" spans="1:3" x14ac:dyDescent="0.25">
      <c r="A1294" s="115">
        <v>2527035</v>
      </c>
      <c r="B1294" s="115" t="s">
        <v>1248</v>
      </c>
      <c r="C1294" s="117">
        <v>980.01</v>
      </c>
    </row>
    <row r="1295" spans="1:3" x14ac:dyDescent="0.25">
      <c r="A1295" s="115">
        <v>2526010</v>
      </c>
      <c r="B1295" s="115" t="s">
        <v>1249</v>
      </c>
      <c r="C1295" s="117">
        <v>1856.37</v>
      </c>
    </row>
    <row r="1296" spans="1:3" x14ac:dyDescent="0.25">
      <c r="A1296" s="115">
        <v>2527099</v>
      </c>
      <c r="B1296" s="115" t="s">
        <v>1250</v>
      </c>
      <c r="C1296" s="117">
        <v>980.01</v>
      </c>
    </row>
    <row r="1297" spans="1:3" x14ac:dyDescent="0.25">
      <c r="A1297" s="115">
        <v>2527076</v>
      </c>
      <c r="B1297" s="115" t="s">
        <v>1251</v>
      </c>
      <c r="C1297" s="117">
        <v>980.01</v>
      </c>
    </row>
    <row r="1298" spans="1:3" x14ac:dyDescent="0.25">
      <c r="A1298" s="115">
        <v>2521801</v>
      </c>
      <c r="B1298" s="115" t="s">
        <v>1252</v>
      </c>
      <c r="C1298" s="117">
        <v>1855.75</v>
      </c>
    </row>
    <row r="1299" spans="1:3" x14ac:dyDescent="0.25">
      <c r="A1299" s="115">
        <v>2521802</v>
      </c>
      <c r="B1299" s="115" t="s">
        <v>11523</v>
      </c>
      <c r="C1299" s="117">
        <v>1712.22</v>
      </c>
    </row>
    <row r="1300" spans="1:3" x14ac:dyDescent="0.25">
      <c r="A1300" s="115">
        <v>2527200</v>
      </c>
      <c r="B1300" s="115" t="s">
        <v>1253</v>
      </c>
      <c r="C1300" s="117">
        <v>2276.13</v>
      </c>
    </row>
    <row r="1301" spans="1:3" x14ac:dyDescent="0.25">
      <c r="A1301" s="115">
        <v>2520850</v>
      </c>
      <c r="B1301" s="115" t="s">
        <v>1254</v>
      </c>
      <c r="C1301" s="117">
        <v>2212.91</v>
      </c>
    </row>
    <row r="1302" spans="1:3" x14ac:dyDescent="0.25">
      <c r="A1302" s="115">
        <v>2520305</v>
      </c>
      <c r="B1302" s="115" t="s">
        <v>12307</v>
      </c>
      <c r="C1302" s="117">
        <v>2857.82</v>
      </c>
    </row>
    <row r="1303" spans="1:3" x14ac:dyDescent="0.25">
      <c r="A1303" s="115">
        <v>2521000</v>
      </c>
      <c r="B1303" s="115" t="s">
        <v>1255</v>
      </c>
      <c r="C1303" s="117">
        <v>535.57000000000005</v>
      </c>
    </row>
    <row r="1304" spans="1:3" x14ac:dyDescent="0.25">
      <c r="A1304" s="115">
        <v>2521901</v>
      </c>
      <c r="B1304" s="115" t="s">
        <v>1256</v>
      </c>
      <c r="C1304" s="117">
        <v>1570.73</v>
      </c>
    </row>
    <row r="1305" spans="1:3" x14ac:dyDescent="0.25">
      <c r="A1305" s="115">
        <v>2520275</v>
      </c>
      <c r="B1305" s="115" t="s">
        <v>12308</v>
      </c>
      <c r="C1305" s="117">
        <v>2886.02</v>
      </c>
    </row>
    <row r="1306" spans="1:3" x14ac:dyDescent="0.25">
      <c r="A1306" s="115">
        <v>2520245</v>
      </c>
      <c r="B1306" s="115" t="s">
        <v>12309</v>
      </c>
      <c r="C1306" s="117">
        <v>2886.02</v>
      </c>
    </row>
    <row r="1307" spans="1:3" x14ac:dyDescent="0.25">
      <c r="A1307" s="115">
        <v>2527050</v>
      </c>
      <c r="B1307" s="115" t="s">
        <v>1257</v>
      </c>
      <c r="C1307" s="117">
        <v>2276.13</v>
      </c>
    </row>
    <row r="1308" spans="1:3" x14ac:dyDescent="0.25">
      <c r="A1308" s="115">
        <v>2527150</v>
      </c>
      <c r="B1308" s="115" t="s">
        <v>1258</v>
      </c>
      <c r="C1308" s="117">
        <v>2276.13</v>
      </c>
    </row>
    <row r="1309" spans="1:3" x14ac:dyDescent="0.25">
      <c r="A1309" s="144" t="s">
        <v>1259</v>
      </c>
      <c r="B1309" s="145"/>
      <c r="C1309" s="145"/>
    </row>
    <row r="1310" spans="1:3" x14ac:dyDescent="0.25">
      <c r="A1310" s="115">
        <v>2401958</v>
      </c>
      <c r="B1310" s="115" t="s">
        <v>1260</v>
      </c>
      <c r="C1310" s="117">
        <v>670.65</v>
      </c>
    </row>
    <row r="1311" spans="1:3" x14ac:dyDescent="0.25">
      <c r="A1311" s="115">
        <v>2291550</v>
      </c>
      <c r="B1311" s="115" t="s">
        <v>11906</v>
      </c>
      <c r="C1311" s="117">
        <v>581.75</v>
      </c>
    </row>
    <row r="1312" spans="1:3" x14ac:dyDescent="0.25">
      <c r="A1312" s="115">
        <v>2291200</v>
      </c>
      <c r="B1312" s="115" t="s">
        <v>11907</v>
      </c>
      <c r="C1312" s="117">
        <v>897.94</v>
      </c>
    </row>
    <row r="1313" spans="1:3" x14ac:dyDescent="0.25">
      <c r="A1313" s="115">
        <v>2400423</v>
      </c>
      <c r="B1313" s="115" t="s">
        <v>1261</v>
      </c>
      <c r="C1313" s="117">
        <v>721.51</v>
      </c>
    </row>
    <row r="1314" spans="1:3" x14ac:dyDescent="0.25">
      <c r="A1314" s="115">
        <v>2400424</v>
      </c>
      <c r="B1314" s="115" t="s">
        <v>1262</v>
      </c>
      <c r="C1314" s="117">
        <v>869.91</v>
      </c>
    </row>
    <row r="1315" spans="1:3" x14ac:dyDescent="0.25">
      <c r="A1315" s="115">
        <v>2400425</v>
      </c>
      <c r="B1315" s="115" t="s">
        <v>1263</v>
      </c>
      <c r="C1315" s="117">
        <v>986.66</v>
      </c>
    </row>
    <row r="1316" spans="1:3" x14ac:dyDescent="0.25">
      <c r="A1316" s="115">
        <v>2291100</v>
      </c>
      <c r="B1316" s="115" t="s">
        <v>1264</v>
      </c>
      <c r="C1316" s="117">
        <v>186.64</v>
      </c>
    </row>
    <row r="1317" spans="1:3" x14ac:dyDescent="0.25">
      <c r="A1317" s="115">
        <v>2401600</v>
      </c>
      <c r="B1317" s="115" t="s">
        <v>1265</v>
      </c>
      <c r="C1317" s="117">
        <v>704.18</v>
      </c>
    </row>
    <row r="1318" spans="1:3" x14ac:dyDescent="0.25">
      <c r="A1318" s="115">
        <v>2402257</v>
      </c>
      <c r="B1318" s="115" t="s">
        <v>12310</v>
      </c>
      <c r="C1318" s="117">
        <v>856.94</v>
      </c>
    </row>
    <row r="1319" spans="1:3" x14ac:dyDescent="0.25">
      <c r="A1319" s="115">
        <v>2402200</v>
      </c>
      <c r="B1319" s="115" t="s">
        <v>1266</v>
      </c>
      <c r="C1319" s="117">
        <v>856.94</v>
      </c>
    </row>
    <row r="1320" spans="1:3" x14ac:dyDescent="0.25">
      <c r="A1320" s="115">
        <v>2402601</v>
      </c>
      <c r="B1320" s="115" t="s">
        <v>1267</v>
      </c>
      <c r="C1320" s="117">
        <v>1307.77</v>
      </c>
    </row>
    <row r="1321" spans="1:3" x14ac:dyDescent="0.25">
      <c r="A1321" s="115">
        <v>2402600</v>
      </c>
      <c r="B1321" s="115" t="s">
        <v>1268</v>
      </c>
      <c r="C1321" s="117">
        <v>1089.81</v>
      </c>
    </row>
    <row r="1322" spans="1:3" x14ac:dyDescent="0.25">
      <c r="A1322" s="115">
        <v>2402110</v>
      </c>
      <c r="B1322" s="115" t="s">
        <v>1269</v>
      </c>
      <c r="C1322" s="117">
        <v>1386.01</v>
      </c>
    </row>
    <row r="1323" spans="1:3" x14ac:dyDescent="0.25">
      <c r="A1323" s="115">
        <v>2402100</v>
      </c>
      <c r="B1323" s="115" t="s">
        <v>1270</v>
      </c>
      <c r="C1323" s="117">
        <v>1155.01</v>
      </c>
    </row>
    <row r="1324" spans="1:3" x14ac:dyDescent="0.25">
      <c r="A1324" s="115">
        <v>2403100</v>
      </c>
      <c r="B1324" s="115" t="s">
        <v>1271</v>
      </c>
      <c r="C1324" s="117">
        <v>1017.16</v>
      </c>
    </row>
    <row r="1325" spans="1:3" x14ac:dyDescent="0.25">
      <c r="A1325" s="115">
        <v>2402301</v>
      </c>
      <c r="B1325" s="115" t="s">
        <v>1272</v>
      </c>
      <c r="C1325" s="117">
        <v>1017.16</v>
      </c>
    </row>
    <row r="1326" spans="1:3" x14ac:dyDescent="0.25">
      <c r="A1326" s="115">
        <v>2402400</v>
      </c>
      <c r="B1326" s="115" t="s">
        <v>1273</v>
      </c>
      <c r="C1326" s="117">
        <v>1202.3</v>
      </c>
    </row>
    <row r="1327" spans="1:3" x14ac:dyDescent="0.25">
      <c r="A1327" s="115">
        <v>2402526</v>
      </c>
      <c r="B1327" s="115" t="s">
        <v>12311</v>
      </c>
      <c r="C1327" s="117">
        <v>1683.8</v>
      </c>
    </row>
    <row r="1328" spans="1:3" x14ac:dyDescent="0.25">
      <c r="A1328" s="115">
        <v>2402572</v>
      </c>
      <c r="B1328" s="115" t="s">
        <v>1274</v>
      </c>
      <c r="C1328" s="117">
        <v>1317.62</v>
      </c>
    </row>
    <row r="1329" spans="1:3" x14ac:dyDescent="0.25">
      <c r="A1329" s="115">
        <v>2401300</v>
      </c>
      <c r="B1329" s="115" t="s">
        <v>1275</v>
      </c>
      <c r="C1329" s="117">
        <v>719.49</v>
      </c>
    </row>
    <row r="1330" spans="1:3" x14ac:dyDescent="0.25">
      <c r="A1330" s="144" t="s">
        <v>1276</v>
      </c>
      <c r="B1330" s="145"/>
      <c r="C1330" s="145"/>
    </row>
    <row r="1331" spans="1:3" x14ac:dyDescent="0.25">
      <c r="A1331" s="115">
        <v>2991100</v>
      </c>
      <c r="B1331" s="115" t="s">
        <v>1277</v>
      </c>
      <c r="C1331" s="117">
        <v>793.44</v>
      </c>
    </row>
    <row r="1332" spans="1:3" x14ac:dyDescent="0.25">
      <c r="A1332" s="115">
        <v>2991158</v>
      </c>
      <c r="B1332" s="115" t="s">
        <v>1278</v>
      </c>
      <c r="C1332" s="117">
        <v>721.87</v>
      </c>
    </row>
    <row r="1333" spans="1:3" x14ac:dyDescent="0.25">
      <c r="A1333" s="115">
        <v>2990640</v>
      </c>
      <c r="B1333" s="115" t="s">
        <v>1279</v>
      </c>
      <c r="C1333" s="117">
        <v>580.54</v>
      </c>
    </row>
    <row r="1334" spans="1:3" x14ac:dyDescent="0.25">
      <c r="A1334" s="115">
        <v>2990540</v>
      </c>
      <c r="B1334" s="115" t="s">
        <v>1280</v>
      </c>
      <c r="C1334" s="117">
        <v>1046.0899999999999</v>
      </c>
    </row>
    <row r="1335" spans="1:3" x14ac:dyDescent="0.25">
      <c r="A1335" s="115">
        <v>2991211</v>
      </c>
      <c r="B1335" s="115" t="s">
        <v>1281</v>
      </c>
      <c r="C1335" s="117">
        <v>847.63</v>
      </c>
    </row>
    <row r="1336" spans="1:3" x14ac:dyDescent="0.25">
      <c r="A1336" s="115">
        <v>2991300</v>
      </c>
      <c r="B1336" s="115" t="s">
        <v>1282</v>
      </c>
      <c r="C1336" s="117">
        <v>1113.42</v>
      </c>
    </row>
    <row r="1337" spans="1:3" x14ac:dyDescent="0.25">
      <c r="A1337" s="144" t="s">
        <v>1283</v>
      </c>
      <c r="B1337" s="145"/>
      <c r="C1337" s="145"/>
    </row>
    <row r="1338" spans="1:3" x14ac:dyDescent="0.25">
      <c r="A1338" s="115">
        <v>2460302</v>
      </c>
      <c r="B1338" s="115" t="s">
        <v>1284</v>
      </c>
      <c r="C1338" s="117">
        <v>291.26</v>
      </c>
    </row>
    <row r="1339" spans="1:3" x14ac:dyDescent="0.25">
      <c r="A1339" s="115">
        <v>2460303</v>
      </c>
      <c r="B1339" s="115" t="s">
        <v>1285</v>
      </c>
      <c r="C1339" s="117">
        <v>519.21</v>
      </c>
    </row>
    <row r="1340" spans="1:3" x14ac:dyDescent="0.25">
      <c r="A1340" s="115">
        <v>2460606</v>
      </c>
      <c r="B1340" s="115" t="s">
        <v>1286</v>
      </c>
      <c r="C1340" s="117">
        <v>647.78</v>
      </c>
    </row>
    <row r="1341" spans="1:3" x14ac:dyDescent="0.25">
      <c r="A1341" s="115">
        <v>2460200</v>
      </c>
      <c r="B1341" s="115" t="s">
        <v>12312</v>
      </c>
      <c r="C1341" s="117">
        <v>658.09</v>
      </c>
    </row>
    <row r="1342" spans="1:3" x14ac:dyDescent="0.25">
      <c r="A1342" s="115">
        <v>2462113</v>
      </c>
      <c r="B1342" s="115" t="s">
        <v>1287</v>
      </c>
      <c r="C1342" s="117">
        <v>292.74</v>
      </c>
    </row>
    <row r="1343" spans="1:3" x14ac:dyDescent="0.25">
      <c r="A1343" s="115">
        <v>2462110</v>
      </c>
      <c r="B1343" s="115" t="s">
        <v>1288</v>
      </c>
      <c r="C1343" s="117">
        <v>1244.8599999999999</v>
      </c>
    </row>
    <row r="1344" spans="1:3" x14ac:dyDescent="0.25">
      <c r="A1344" s="115">
        <v>2462121</v>
      </c>
      <c r="B1344" s="115" t="s">
        <v>1289</v>
      </c>
      <c r="C1344" s="117">
        <v>390.62</v>
      </c>
    </row>
    <row r="1345" spans="1:3" x14ac:dyDescent="0.25">
      <c r="A1345" s="115">
        <v>2462100</v>
      </c>
      <c r="B1345" s="115" t="s">
        <v>1290</v>
      </c>
      <c r="C1345" s="117">
        <v>668.1</v>
      </c>
    </row>
    <row r="1346" spans="1:3" x14ac:dyDescent="0.25">
      <c r="A1346" s="115">
        <v>2460734</v>
      </c>
      <c r="B1346" s="115" t="s">
        <v>12313</v>
      </c>
      <c r="C1346" s="117">
        <v>670.77</v>
      </c>
    </row>
    <row r="1347" spans="1:3" x14ac:dyDescent="0.25">
      <c r="A1347" s="115">
        <v>2460744</v>
      </c>
      <c r="B1347" s="115" t="s">
        <v>12314</v>
      </c>
      <c r="C1347" s="117">
        <v>670.77</v>
      </c>
    </row>
    <row r="1348" spans="1:3" x14ac:dyDescent="0.25">
      <c r="A1348" s="115">
        <v>2462200</v>
      </c>
      <c r="B1348" s="115" t="s">
        <v>1291</v>
      </c>
      <c r="C1348" s="117">
        <v>65.430000000000007</v>
      </c>
    </row>
    <row r="1349" spans="1:3" x14ac:dyDescent="0.25">
      <c r="A1349" s="115">
        <v>2462026</v>
      </c>
      <c r="B1349" s="115" t="s">
        <v>1292</v>
      </c>
      <c r="C1349" s="117">
        <v>517.49</v>
      </c>
    </row>
    <row r="1350" spans="1:3" x14ac:dyDescent="0.25">
      <c r="A1350" s="115">
        <v>2462000</v>
      </c>
      <c r="B1350" s="115" t="s">
        <v>1293</v>
      </c>
      <c r="C1350" s="117">
        <v>517.49</v>
      </c>
    </row>
    <row r="1351" spans="1:3" x14ac:dyDescent="0.25">
      <c r="A1351" s="115">
        <v>2462076</v>
      </c>
      <c r="B1351" s="115" t="s">
        <v>1294</v>
      </c>
      <c r="C1351" s="117">
        <v>517.49</v>
      </c>
    </row>
    <row r="1352" spans="1:3" x14ac:dyDescent="0.25">
      <c r="A1352" s="115">
        <v>2462034</v>
      </c>
      <c r="B1352" s="115" t="s">
        <v>1295</v>
      </c>
      <c r="C1352" s="117">
        <v>517.49</v>
      </c>
    </row>
    <row r="1353" spans="1:3" x14ac:dyDescent="0.25">
      <c r="A1353" s="115">
        <v>2463200</v>
      </c>
      <c r="B1353" s="115" t="s">
        <v>12315</v>
      </c>
      <c r="C1353" s="117">
        <v>936.97</v>
      </c>
    </row>
    <row r="1354" spans="1:3" x14ac:dyDescent="0.25">
      <c r="A1354" s="115">
        <v>2461100</v>
      </c>
      <c r="B1354" s="115" t="s">
        <v>1296</v>
      </c>
      <c r="C1354" s="117">
        <v>722.86</v>
      </c>
    </row>
    <row r="1355" spans="1:3" x14ac:dyDescent="0.25">
      <c r="A1355" s="115">
        <v>2460601</v>
      </c>
      <c r="B1355" s="115" t="s">
        <v>1297</v>
      </c>
      <c r="C1355" s="117">
        <v>1354.25</v>
      </c>
    </row>
    <row r="1356" spans="1:3" x14ac:dyDescent="0.25">
      <c r="A1356" s="115">
        <v>2460607</v>
      </c>
      <c r="B1356" s="115" t="s">
        <v>1298</v>
      </c>
      <c r="C1356" s="117">
        <v>7747.7</v>
      </c>
    </row>
    <row r="1357" spans="1:3" x14ac:dyDescent="0.25">
      <c r="A1357" s="144" t="s">
        <v>1299</v>
      </c>
      <c r="B1357" s="145"/>
      <c r="C1357" s="145"/>
    </row>
    <row r="1358" spans="1:3" x14ac:dyDescent="0.25">
      <c r="A1358" s="115">
        <v>2342050</v>
      </c>
      <c r="B1358" s="115" t="s">
        <v>1300</v>
      </c>
      <c r="C1358" s="117">
        <v>1227.4100000000001</v>
      </c>
    </row>
    <row r="1359" spans="1:3" x14ac:dyDescent="0.25">
      <c r="A1359" s="115">
        <v>2346030</v>
      </c>
      <c r="B1359" s="115" t="s">
        <v>1301</v>
      </c>
      <c r="C1359" s="117">
        <v>2457.94</v>
      </c>
    </row>
    <row r="1360" spans="1:3" x14ac:dyDescent="0.25">
      <c r="A1360" s="115">
        <v>2344404</v>
      </c>
      <c r="B1360" s="115" t="s">
        <v>1302</v>
      </c>
      <c r="C1360" s="117">
        <v>2216.56</v>
      </c>
    </row>
    <row r="1361" spans="1:3" x14ac:dyDescent="0.25">
      <c r="A1361" s="115">
        <v>2344351</v>
      </c>
      <c r="B1361" s="115" t="s">
        <v>1303</v>
      </c>
      <c r="C1361" s="117">
        <v>1739.91</v>
      </c>
    </row>
    <row r="1362" spans="1:3" x14ac:dyDescent="0.25">
      <c r="A1362" s="115">
        <v>2344304</v>
      </c>
      <c r="B1362" s="115" t="s">
        <v>1304</v>
      </c>
      <c r="C1362" s="117">
        <v>2457.94</v>
      </c>
    </row>
    <row r="1363" spans="1:3" x14ac:dyDescent="0.25">
      <c r="A1363" s="115">
        <v>2344441</v>
      </c>
      <c r="B1363" s="115" t="s">
        <v>1305</v>
      </c>
      <c r="C1363" s="117">
        <v>2595.06</v>
      </c>
    </row>
    <row r="1364" spans="1:3" x14ac:dyDescent="0.25">
      <c r="A1364" s="115">
        <v>2344455</v>
      </c>
      <c r="B1364" s="115" t="s">
        <v>1306</v>
      </c>
      <c r="C1364" s="117">
        <v>2327.33</v>
      </c>
    </row>
    <row r="1365" spans="1:3" x14ac:dyDescent="0.25">
      <c r="A1365" s="115">
        <v>2342073</v>
      </c>
      <c r="B1365" s="115" t="s">
        <v>1307</v>
      </c>
      <c r="C1365" s="117">
        <v>1387.07</v>
      </c>
    </row>
    <row r="1366" spans="1:3" x14ac:dyDescent="0.25">
      <c r="A1366" s="115">
        <v>2241100</v>
      </c>
      <c r="B1366" s="115" t="s">
        <v>1308</v>
      </c>
      <c r="C1366" s="117">
        <v>7106.48</v>
      </c>
    </row>
    <row r="1367" spans="1:3" x14ac:dyDescent="0.25">
      <c r="A1367" s="115">
        <v>2241000</v>
      </c>
      <c r="B1367" s="115" t="s">
        <v>1309</v>
      </c>
      <c r="C1367" s="117">
        <v>7106.48</v>
      </c>
    </row>
    <row r="1368" spans="1:3" x14ac:dyDescent="0.25">
      <c r="A1368" s="115">
        <v>2345145</v>
      </c>
      <c r="B1368" s="115" t="s">
        <v>1310</v>
      </c>
      <c r="C1368" s="117">
        <v>2411.0500000000002</v>
      </c>
    </row>
    <row r="1369" spans="1:3" x14ac:dyDescent="0.25">
      <c r="A1369" s="115">
        <v>2342400</v>
      </c>
      <c r="B1369" s="115" t="s">
        <v>1311</v>
      </c>
      <c r="C1369" s="117">
        <v>180.92</v>
      </c>
    </row>
    <row r="1370" spans="1:3" x14ac:dyDescent="0.25">
      <c r="A1370" s="115">
        <v>2241900</v>
      </c>
      <c r="B1370" s="115" t="s">
        <v>1312</v>
      </c>
      <c r="C1370" s="117">
        <v>1210.8900000000001</v>
      </c>
    </row>
    <row r="1371" spans="1:3" x14ac:dyDescent="0.25">
      <c r="A1371" s="115">
        <v>2241200</v>
      </c>
      <c r="B1371" s="115" t="s">
        <v>1313</v>
      </c>
      <c r="C1371" s="117">
        <v>9367.02</v>
      </c>
    </row>
    <row r="1372" spans="1:3" x14ac:dyDescent="0.25">
      <c r="A1372" s="115">
        <v>2244063</v>
      </c>
      <c r="B1372" s="115" t="s">
        <v>1314</v>
      </c>
      <c r="C1372" s="117">
        <v>1626.34</v>
      </c>
    </row>
    <row r="1373" spans="1:3" x14ac:dyDescent="0.25">
      <c r="A1373" s="115">
        <v>2245040</v>
      </c>
      <c r="B1373" s="115" t="s">
        <v>1315</v>
      </c>
      <c r="C1373" s="117">
        <v>1148.77</v>
      </c>
    </row>
    <row r="1374" spans="1:3" x14ac:dyDescent="0.25">
      <c r="A1374" s="115">
        <v>2240227</v>
      </c>
      <c r="B1374" s="115" t="s">
        <v>12316</v>
      </c>
      <c r="C1374" s="117">
        <v>1684.73</v>
      </c>
    </row>
    <row r="1375" spans="1:3" x14ac:dyDescent="0.25">
      <c r="A1375" s="115">
        <v>2240236</v>
      </c>
      <c r="B1375" s="115" t="s">
        <v>12317</v>
      </c>
      <c r="C1375" s="117">
        <v>1684.73</v>
      </c>
    </row>
    <row r="1376" spans="1:3" x14ac:dyDescent="0.25">
      <c r="A1376" s="115">
        <v>2240239</v>
      </c>
      <c r="B1376" s="115" t="s">
        <v>12318</v>
      </c>
      <c r="C1376" s="117">
        <v>1684.73</v>
      </c>
    </row>
    <row r="1377" spans="1:3" x14ac:dyDescent="0.25">
      <c r="A1377" s="115">
        <v>2240238</v>
      </c>
      <c r="B1377" s="115" t="s">
        <v>12319</v>
      </c>
      <c r="C1377" s="117">
        <v>2070.23</v>
      </c>
    </row>
    <row r="1378" spans="1:3" x14ac:dyDescent="0.25">
      <c r="A1378" s="115">
        <v>2247027</v>
      </c>
      <c r="B1378" s="115" t="s">
        <v>1316</v>
      </c>
      <c r="C1378" s="117">
        <v>718.52</v>
      </c>
    </row>
    <row r="1379" spans="1:3" x14ac:dyDescent="0.25">
      <c r="A1379" s="115">
        <v>2247036</v>
      </c>
      <c r="B1379" s="115" t="s">
        <v>1317</v>
      </c>
      <c r="C1379" s="117">
        <v>718.52</v>
      </c>
    </row>
    <row r="1380" spans="1:3" x14ac:dyDescent="0.25">
      <c r="A1380" s="115">
        <v>2247039</v>
      </c>
      <c r="B1380" s="115" t="s">
        <v>1318</v>
      </c>
      <c r="C1380" s="117">
        <v>718.52</v>
      </c>
    </row>
    <row r="1381" spans="1:3" x14ac:dyDescent="0.25">
      <c r="A1381" s="115">
        <v>2247038</v>
      </c>
      <c r="B1381" s="115" t="s">
        <v>1319</v>
      </c>
      <c r="C1381" s="117">
        <v>762.06</v>
      </c>
    </row>
    <row r="1382" spans="1:3" x14ac:dyDescent="0.25">
      <c r="A1382" s="115">
        <v>2247032</v>
      </c>
      <c r="B1382" s="115" t="s">
        <v>1320</v>
      </c>
      <c r="C1382" s="117">
        <v>1034.23</v>
      </c>
    </row>
    <row r="1383" spans="1:3" x14ac:dyDescent="0.25">
      <c r="A1383" s="115">
        <v>2247035</v>
      </c>
      <c r="B1383" s="115" t="s">
        <v>1321</v>
      </c>
      <c r="C1383" s="117">
        <v>1034.23</v>
      </c>
    </row>
    <row r="1384" spans="1:3" x14ac:dyDescent="0.25">
      <c r="A1384" s="115">
        <v>2247069</v>
      </c>
      <c r="B1384" s="115" t="s">
        <v>1322</v>
      </c>
      <c r="C1384" s="117">
        <v>718.52</v>
      </c>
    </row>
    <row r="1385" spans="1:3" x14ac:dyDescent="0.25">
      <c r="A1385" s="115">
        <v>2247062</v>
      </c>
      <c r="B1385" s="115" t="s">
        <v>1323</v>
      </c>
      <c r="C1385" s="117">
        <v>718.52</v>
      </c>
    </row>
    <row r="1386" spans="1:3" x14ac:dyDescent="0.25">
      <c r="A1386" s="115">
        <v>2247227</v>
      </c>
      <c r="B1386" s="115" t="s">
        <v>1324</v>
      </c>
      <c r="C1386" s="117">
        <v>743.92</v>
      </c>
    </row>
    <row r="1387" spans="1:3" x14ac:dyDescent="0.25">
      <c r="A1387" s="115">
        <v>2247239</v>
      </c>
      <c r="B1387" s="115" t="s">
        <v>1325</v>
      </c>
      <c r="C1387" s="117">
        <v>743.92</v>
      </c>
    </row>
    <row r="1388" spans="1:3" x14ac:dyDescent="0.25">
      <c r="A1388" s="115">
        <v>2247238</v>
      </c>
      <c r="B1388" s="115" t="s">
        <v>1326</v>
      </c>
      <c r="C1388" s="117">
        <v>756.88</v>
      </c>
    </row>
    <row r="1389" spans="1:3" x14ac:dyDescent="0.25">
      <c r="A1389" s="115">
        <v>2247232</v>
      </c>
      <c r="B1389" s="115" t="s">
        <v>1327</v>
      </c>
      <c r="C1389" s="117">
        <v>1024.1500000000001</v>
      </c>
    </row>
    <row r="1390" spans="1:3" x14ac:dyDescent="0.25">
      <c r="A1390" s="115">
        <v>2247269</v>
      </c>
      <c r="B1390" s="115" t="s">
        <v>1328</v>
      </c>
      <c r="C1390" s="117">
        <v>743.92</v>
      </c>
    </row>
    <row r="1391" spans="1:3" x14ac:dyDescent="0.25">
      <c r="A1391" s="115">
        <v>2247262</v>
      </c>
      <c r="B1391" s="115" t="s">
        <v>1329</v>
      </c>
      <c r="C1391" s="117">
        <v>743.92</v>
      </c>
    </row>
    <row r="1392" spans="1:3" x14ac:dyDescent="0.25">
      <c r="A1392" s="115">
        <v>2248099</v>
      </c>
      <c r="B1392" s="115" t="s">
        <v>1330</v>
      </c>
      <c r="C1392" s="117">
        <v>1643.88</v>
      </c>
    </row>
    <row r="1393" spans="1:3" x14ac:dyDescent="0.25">
      <c r="A1393" s="115">
        <v>2248027</v>
      </c>
      <c r="B1393" s="115" t="s">
        <v>1331</v>
      </c>
      <c r="C1393" s="117">
        <v>1349.94</v>
      </c>
    </row>
    <row r="1394" spans="1:3" x14ac:dyDescent="0.25">
      <c r="A1394" s="115">
        <v>2248299</v>
      </c>
      <c r="B1394" s="115" t="s">
        <v>1332</v>
      </c>
      <c r="C1394" s="117">
        <v>2137.41</v>
      </c>
    </row>
    <row r="1395" spans="1:3" x14ac:dyDescent="0.25">
      <c r="A1395" s="115">
        <v>2248227</v>
      </c>
      <c r="B1395" s="115" t="s">
        <v>1333</v>
      </c>
      <c r="C1395" s="117">
        <v>1920.89</v>
      </c>
    </row>
    <row r="1396" spans="1:3" x14ac:dyDescent="0.25">
      <c r="A1396" s="115">
        <v>2248236</v>
      </c>
      <c r="B1396" s="115" t="s">
        <v>1334</v>
      </c>
      <c r="C1396" s="117">
        <v>1920.89</v>
      </c>
    </row>
    <row r="1397" spans="1:3" x14ac:dyDescent="0.25">
      <c r="A1397" s="115">
        <v>2248239</v>
      </c>
      <c r="B1397" s="115" t="s">
        <v>1335</v>
      </c>
      <c r="C1397" s="117">
        <v>1920.89</v>
      </c>
    </row>
    <row r="1398" spans="1:3" x14ac:dyDescent="0.25">
      <c r="A1398" s="115">
        <v>2248238</v>
      </c>
      <c r="B1398" s="115" t="s">
        <v>1336</v>
      </c>
      <c r="C1398" s="117">
        <v>2156.7600000000002</v>
      </c>
    </row>
    <row r="1399" spans="1:3" x14ac:dyDescent="0.25">
      <c r="A1399" s="115">
        <v>2248232</v>
      </c>
      <c r="B1399" s="115" t="s">
        <v>1337</v>
      </c>
      <c r="C1399" s="117">
        <v>2156.7600000000002</v>
      </c>
    </row>
    <row r="1400" spans="1:3" x14ac:dyDescent="0.25">
      <c r="A1400" s="115">
        <v>2248235</v>
      </c>
      <c r="B1400" s="115" t="s">
        <v>1338</v>
      </c>
      <c r="C1400" s="117">
        <v>2137.41</v>
      </c>
    </row>
    <row r="1401" spans="1:3" x14ac:dyDescent="0.25">
      <c r="A1401" s="115">
        <v>2248270</v>
      </c>
      <c r="B1401" s="115" t="s">
        <v>1339</v>
      </c>
      <c r="C1401" s="117">
        <v>2137.41</v>
      </c>
    </row>
    <row r="1402" spans="1:3" x14ac:dyDescent="0.25">
      <c r="A1402" s="115">
        <v>2248262</v>
      </c>
      <c r="B1402" s="115" t="s">
        <v>1340</v>
      </c>
      <c r="C1402" s="117">
        <v>1920.89</v>
      </c>
    </row>
    <row r="1403" spans="1:3" x14ac:dyDescent="0.25">
      <c r="A1403" s="115">
        <v>2248036</v>
      </c>
      <c r="B1403" s="115" t="s">
        <v>1341</v>
      </c>
      <c r="C1403" s="117">
        <v>1349.94</v>
      </c>
    </row>
    <row r="1404" spans="1:3" x14ac:dyDescent="0.25">
      <c r="A1404" s="115">
        <v>2248039</v>
      </c>
      <c r="B1404" s="115" t="s">
        <v>1342</v>
      </c>
      <c r="C1404" s="117">
        <v>1349.94</v>
      </c>
    </row>
    <row r="1405" spans="1:3" x14ac:dyDescent="0.25">
      <c r="A1405" s="115">
        <v>2248038</v>
      </c>
      <c r="B1405" s="115" t="s">
        <v>1343</v>
      </c>
      <c r="C1405" s="117">
        <v>1694.69</v>
      </c>
    </row>
    <row r="1406" spans="1:3" x14ac:dyDescent="0.25">
      <c r="A1406" s="115">
        <v>2248032</v>
      </c>
      <c r="B1406" s="115" t="s">
        <v>1344</v>
      </c>
      <c r="C1406" s="117">
        <v>1694.69</v>
      </c>
    </row>
    <row r="1407" spans="1:3" x14ac:dyDescent="0.25">
      <c r="A1407" s="115">
        <v>2248035</v>
      </c>
      <c r="B1407" s="115" t="s">
        <v>1345</v>
      </c>
      <c r="C1407" s="117">
        <v>1643.88</v>
      </c>
    </row>
    <row r="1408" spans="1:3" x14ac:dyDescent="0.25">
      <c r="A1408" s="115">
        <v>2248070</v>
      </c>
      <c r="B1408" s="115" t="s">
        <v>1346</v>
      </c>
      <c r="C1408" s="117">
        <v>1876.13</v>
      </c>
    </row>
    <row r="1409" spans="1:3" x14ac:dyDescent="0.25">
      <c r="A1409" s="115">
        <v>2248062</v>
      </c>
      <c r="B1409" s="115" t="s">
        <v>1347</v>
      </c>
      <c r="C1409" s="117">
        <v>1349.94</v>
      </c>
    </row>
    <row r="1410" spans="1:3" x14ac:dyDescent="0.25">
      <c r="A1410" s="115">
        <v>2240136</v>
      </c>
      <c r="B1410" s="115" t="s">
        <v>12320</v>
      </c>
      <c r="C1410" s="117">
        <v>1724.75</v>
      </c>
    </row>
    <row r="1411" spans="1:3" x14ac:dyDescent="0.25">
      <c r="A1411" s="115">
        <v>2240139</v>
      </c>
      <c r="B1411" s="115" t="s">
        <v>12321</v>
      </c>
      <c r="C1411" s="117">
        <v>1724.75</v>
      </c>
    </row>
    <row r="1412" spans="1:3" x14ac:dyDescent="0.25">
      <c r="A1412" s="115">
        <v>2241627</v>
      </c>
      <c r="B1412" s="115" t="s">
        <v>1348</v>
      </c>
      <c r="C1412" s="117">
        <v>1066.28</v>
      </c>
    </row>
    <row r="1413" spans="1:3" x14ac:dyDescent="0.25">
      <c r="A1413" s="115">
        <v>2241636</v>
      </c>
      <c r="B1413" s="115" t="s">
        <v>1349</v>
      </c>
      <c r="C1413" s="117">
        <v>1066.28</v>
      </c>
    </row>
    <row r="1414" spans="1:3" x14ac:dyDescent="0.25">
      <c r="A1414" s="115">
        <v>2241639</v>
      </c>
      <c r="B1414" s="115" t="s">
        <v>1350</v>
      </c>
      <c r="C1414" s="117">
        <v>1066.28</v>
      </c>
    </row>
    <row r="1415" spans="1:3" x14ac:dyDescent="0.25">
      <c r="A1415" s="115">
        <v>2241638</v>
      </c>
      <c r="B1415" s="115" t="s">
        <v>1351</v>
      </c>
      <c r="C1415" s="117">
        <v>1319.33</v>
      </c>
    </row>
    <row r="1416" spans="1:3" x14ac:dyDescent="0.25">
      <c r="A1416" s="115">
        <v>2241662</v>
      </c>
      <c r="B1416" s="115" t="s">
        <v>1352</v>
      </c>
      <c r="C1416" s="117">
        <v>1066.28</v>
      </c>
    </row>
    <row r="1417" spans="1:3" x14ac:dyDescent="0.25">
      <c r="A1417" s="115">
        <v>2241727</v>
      </c>
      <c r="B1417" s="115" t="s">
        <v>1353</v>
      </c>
      <c r="C1417" s="117">
        <v>1068.07</v>
      </c>
    </row>
    <row r="1418" spans="1:3" x14ac:dyDescent="0.25">
      <c r="A1418" s="115">
        <v>2241736</v>
      </c>
      <c r="B1418" s="115" t="s">
        <v>1354</v>
      </c>
      <c r="C1418" s="117">
        <v>1068.07</v>
      </c>
    </row>
    <row r="1419" spans="1:3" x14ac:dyDescent="0.25">
      <c r="A1419" s="115">
        <v>2241739</v>
      </c>
      <c r="B1419" s="115" t="s">
        <v>1355</v>
      </c>
      <c r="C1419" s="117">
        <v>1068.07</v>
      </c>
    </row>
    <row r="1420" spans="1:3" x14ac:dyDescent="0.25">
      <c r="A1420" s="115">
        <v>2241738</v>
      </c>
      <c r="B1420" s="115" t="s">
        <v>1356</v>
      </c>
      <c r="C1420" s="117">
        <v>1321.55</v>
      </c>
    </row>
    <row r="1421" spans="1:3" x14ac:dyDescent="0.25">
      <c r="A1421" s="115">
        <v>2241762</v>
      </c>
      <c r="B1421" s="115" t="s">
        <v>1357</v>
      </c>
      <c r="C1421" s="117">
        <v>1068.07</v>
      </c>
    </row>
    <row r="1422" spans="1:3" x14ac:dyDescent="0.25">
      <c r="A1422" s="144" t="s">
        <v>1358</v>
      </c>
      <c r="B1422" s="145"/>
      <c r="C1422" s="145"/>
    </row>
    <row r="1423" spans="1:3" x14ac:dyDescent="0.25">
      <c r="A1423" s="115">
        <v>2161705</v>
      </c>
      <c r="B1423" s="115" t="s">
        <v>11908</v>
      </c>
      <c r="C1423" s="117">
        <v>708.92</v>
      </c>
    </row>
    <row r="1424" spans="1:3" x14ac:dyDescent="0.25">
      <c r="A1424" s="115">
        <v>2162602</v>
      </c>
      <c r="B1424" s="115" t="s">
        <v>1359</v>
      </c>
      <c r="C1424" s="117">
        <v>1336.83</v>
      </c>
    </row>
    <row r="1425" spans="1:3" x14ac:dyDescent="0.25">
      <c r="A1425" s="115">
        <v>2162700</v>
      </c>
      <c r="B1425" s="115" t="s">
        <v>1360</v>
      </c>
      <c r="C1425" s="117">
        <v>1665.64</v>
      </c>
    </row>
    <row r="1426" spans="1:3" x14ac:dyDescent="0.25">
      <c r="A1426" s="115">
        <v>2162600</v>
      </c>
      <c r="B1426" s="115" t="s">
        <v>1361</v>
      </c>
      <c r="C1426" s="117">
        <v>930.26</v>
      </c>
    </row>
    <row r="1427" spans="1:3" x14ac:dyDescent="0.25">
      <c r="A1427" s="115">
        <v>2162711</v>
      </c>
      <c r="B1427" s="115" t="s">
        <v>1362</v>
      </c>
      <c r="C1427" s="117">
        <v>1672.67</v>
      </c>
    </row>
    <row r="1428" spans="1:3" x14ac:dyDescent="0.25">
      <c r="A1428" s="115">
        <v>2162701</v>
      </c>
      <c r="B1428" s="115" t="s">
        <v>1363</v>
      </c>
      <c r="C1428" s="117">
        <v>1511.84</v>
      </c>
    </row>
    <row r="1429" spans="1:3" x14ac:dyDescent="0.25">
      <c r="A1429" s="115">
        <v>2162601</v>
      </c>
      <c r="B1429" s="115" t="s">
        <v>1364</v>
      </c>
      <c r="C1429" s="117">
        <v>813.62</v>
      </c>
    </row>
    <row r="1430" spans="1:3" x14ac:dyDescent="0.25">
      <c r="A1430" s="115">
        <v>2162050</v>
      </c>
      <c r="B1430" s="115" t="s">
        <v>1365</v>
      </c>
      <c r="C1430" s="117">
        <v>225.73</v>
      </c>
    </row>
    <row r="1431" spans="1:3" x14ac:dyDescent="0.25">
      <c r="A1431" s="115">
        <v>2161910</v>
      </c>
      <c r="B1431" s="115" t="s">
        <v>1366</v>
      </c>
      <c r="C1431" s="117">
        <v>1679.5</v>
      </c>
    </row>
    <row r="1432" spans="1:3" x14ac:dyDescent="0.25">
      <c r="A1432" s="115">
        <v>2161911</v>
      </c>
      <c r="B1432" s="115" t="s">
        <v>1367</v>
      </c>
      <c r="C1432" s="117">
        <v>1715.35</v>
      </c>
    </row>
    <row r="1433" spans="1:3" x14ac:dyDescent="0.25">
      <c r="A1433" s="115">
        <v>2164200</v>
      </c>
      <c r="B1433" s="115" t="s">
        <v>1368</v>
      </c>
      <c r="C1433" s="117">
        <v>194.11</v>
      </c>
    </row>
    <row r="1434" spans="1:3" x14ac:dyDescent="0.25">
      <c r="A1434" s="115">
        <v>2163600</v>
      </c>
      <c r="B1434" s="115" t="s">
        <v>1369</v>
      </c>
      <c r="C1434" s="117">
        <v>1862.69</v>
      </c>
    </row>
    <row r="1435" spans="1:3" x14ac:dyDescent="0.25">
      <c r="A1435" s="115">
        <v>2163400</v>
      </c>
      <c r="B1435" s="115" t="s">
        <v>1370</v>
      </c>
      <c r="C1435" s="117">
        <v>1067.67</v>
      </c>
    </row>
    <row r="1436" spans="1:3" x14ac:dyDescent="0.25">
      <c r="A1436" s="115">
        <v>2161815</v>
      </c>
      <c r="B1436" s="115" t="s">
        <v>11909</v>
      </c>
      <c r="C1436" s="117">
        <v>1864.77</v>
      </c>
    </row>
    <row r="1437" spans="1:3" x14ac:dyDescent="0.25">
      <c r="A1437" s="115">
        <v>2161836</v>
      </c>
      <c r="B1437" s="115" t="s">
        <v>11910</v>
      </c>
      <c r="C1437" s="117">
        <v>988.7</v>
      </c>
    </row>
    <row r="1438" spans="1:3" x14ac:dyDescent="0.25">
      <c r="A1438" s="115">
        <v>2161814</v>
      </c>
      <c r="B1438" s="115" t="s">
        <v>11911</v>
      </c>
      <c r="C1438" s="117">
        <v>1326.61</v>
      </c>
    </row>
    <row r="1439" spans="1:3" x14ac:dyDescent="0.25">
      <c r="A1439" s="115">
        <v>2161835</v>
      </c>
      <c r="B1439" s="115" t="s">
        <v>11912</v>
      </c>
      <c r="C1439" s="117">
        <v>722.53</v>
      </c>
    </row>
    <row r="1440" spans="1:3" x14ac:dyDescent="0.25">
      <c r="A1440" s="115">
        <v>2163804</v>
      </c>
      <c r="B1440" s="115" t="s">
        <v>1371</v>
      </c>
      <c r="C1440" s="117">
        <v>413.17</v>
      </c>
    </row>
    <row r="1441" spans="1:3" x14ac:dyDescent="0.25">
      <c r="A1441" s="115">
        <v>2301028</v>
      </c>
      <c r="B1441" s="115" t="s">
        <v>1372</v>
      </c>
      <c r="C1441" s="117">
        <v>916.58</v>
      </c>
    </row>
    <row r="1442" spans="1:3" x14ac:dyDescent="0.25">
      <c r="A1442" s="115">
        <v>2302536</v>
      </c>
      <c r="B1442" s="115" t="s">
        <v>1373</v>
      </c>
      <c r="C1442" s="117">
        <v>654.72</v>
      </c>
    </row>
    <row r="1443" spans="1:3" x14ac:dyDescent="0.25">
      <c r="A1443" s="115">
        <v>2301100</v>
      </c>
      <c r="B1443" s="115" t="s">
        <v>1374</v>
      </c>
      <c r="C1443" s="117">
        <v>916.58</v>
      </c>
    </row>
    <row r="1444" spans="1:3" x14ac:dyDescent="0.25">
      <c r="A1444" s="115">
        <v>2301500</v>
      </c>
      <c r="B1444" s="115" t="s">
        <v>1375</v>
      </c>
      <c r="C1444" s="117">
        <v>654.72</v>
      </c>
    </row>
    <row r="1445" spans="1:3" x14ac:dyDescent="0.25">
      <c r="A1445" s="115">
        <v>2302527</v>
      </c>
      <c r="B1445" s="115" t="s">
        <v>1376</v>
      </c>
      <c r="C1445" s="117">
        <v>654.72</v>
      </c>
    </row>
    <row r="1446" spans="1:3" x14ac:dyDescent="0.25">
      <c r="A1446" s="115">
        <v>2301900</v>
      </c>
      <c r="B1446" s="115" t="s">
        <v>1377</v>
      </c>
      <c r="C1446" s="117">
        <v>654.72</v>
      </c>
    </row>
    <row r="1447" spans="1:3" x14ac:dyDescent="0.25">
      <c r="A1447" s="115">
        <v>2301228</v>
      </c>
      <c r="B1447" s="115" t="s">
        <v>1378</v>
      </c>
      <c r="C1447" s="117">
        <v>654.72</v>
      </c>
    </row>
    <row r="1448" spans="1:3" x14ac:dyDescent="0.25">
      <c r="A1448" s="115">
        <v>2302000</v>
      </c>
      <c r="B1448" s="115" t="s">
        <v>1379</v>
      </c>
      <c r="C1448" s="117">
        <v>654.72</v>
      </c>
    </row>
    <row r="1449" spans="1:3" x14ac:dyDescent="0.25">
      <c r="A1449" s="115">
        <v>2301200</v>
      </c>
      <c r="B1449" s="115" t="s">
        <v>1380</v>
      </c>
      <c r="C1449" s="117">
        <v>916.58</v>
      </c>
    </row>
    <row r="1450" spans="1:3" x14ac:dyDescent="0.25">
      <c r="A1450" s="115">
        <v>2301300</v>
      </c>
      <c r="B1450" s="115" t="s">
        <v>1381</v>
      </c>
      <c r="C1450" s="117">
        <v>916.58</v>
      </c>
    </row>
    <row r="1451" spans="1:3" x14ac:dyDescent="0.25">
      <c r="A1451" s="115">
        <v>2301400</v>
      </c>
      <c r="B1451" s="115" t="s">
        <v>1382</v>
      </c>
      <c r="C1451" s="117">
        <v>654.72</v>
      </c>
    </row>
    <row r="1452" spans="1:3" x14ac:dyDescent="0.25">
      <c r="A1452" s="115">
        <v>2302100</v>
      </c>
      <c r="B1452" s="115" t="s">
        <v>1383</v>
      </c>
      <c r="C1452" s="117">
        <v>654.72</v>
      </c>
    </row>
    <row r="1453" spans="1:3" x14ac:dyDescent="0.25">
      <c r="A1453" s="115">
        <v>2302520</v>
      </c>
      <c r="B1453" s="115" t="s">
        <v>1384</v>
      </c>
      <c r="C1453" s="117">
        <v>752.46</v>
      </c>
    </row>
    <row r="1454" spans="1:3" x14ac:dyDescent="0.25">
      <c r="A1454" s="115">
        <v>2301221</v>
      </c>
      <c r="B1454" s="115" t="s">
        <v>1385</v>
      </c>
      <c r="C1454" s="117">
        <v>752.46</v>
      </c>
    </row>
    <row r="1455" spans="1:3" x14ac:dyDescent="0.25">
      <c r="A1455" s="115">
        <v>2302530</v>
      </c>
      <c r="B1455" s="115" t="s">
        <v>1386</v>
      </c>
      <c r="C1455" s="117">
        <v>654.72</v>
      </c>
    </row>
    <row r="1456" spans="1:3" x14ac:dyDescent="0.25">
      <c r="A1456" s="115">
        <v>2163806</v>
      </c>
      <c r="B1456" s="115" t="s">
        <v>1387</v>
      </c>
      <c r="C1456" s="117">
        <v>1884.58</v>
      </c>
    </row>
    <row r="1457" spans="1:3" x14ac:dyDescent="0.25">
      <c r="A1457" s="115">
        <v>2163802</v>
      </c>
      <c r="B1457" s="115" t="s">
        <v>1388</v>
      </c>
      <c r="C1457" s="117">
        <v>1884.58</v>
      </c>
    </row>
    <row r="1458" spans="1:3" x14ac:dyDescent="0.25">
      <c r="A1458" s="115">
        <v>2163800</v>
      </c>
      <c r="B1458" s="115" t="s">
        <v>1389</v>
      </c>
      <c r="C1458" s="117">
        <v>1978.81</v>
      </c>
    </row>
    <row r="1459" spans="1:3" x14ac:dyDescent="0.25">
      <c r="A1459" s="115">
        <v>2163801</v>
      </c>
      <c r="B1459" s="115" t="s">
        <v>1390</v>
      </c>
      <c r="C1459" s="117">
        <v>1884.58</v>
      </c>
    </row>
    <row r="1460" spans="1:3" x14ac:dyDescent="0.25">
      <c r="A1460" s="115">
        <v>2163803</v>
      </c>
      <c r="B1460" s="115" t="s">
        <v>1391</v>
      </c>
      <c r="C1460" s="117">
        <v>1884.58</v>
      </c>
    </row>
    <row r="1461" spans="1:3" x14ac:dyDescent="0.25">
      <c r="A1461" s="115">
        <v>2163831</v>
      </c>
      <c r="B1461" s="115" t="s">
        <v>1392</v>
      </c>
      <c r="C1461" s="117">
        <v>1978.86</v>
      </c>
    </row>
    <row r="1462" spans="1:3" x14ac:dyDescent="0.25">
      <c r="A1462" s="115">
        <v>2164131</v>
      </c>
      <c r="B1462" s="115" t="s">
        <v>1393</v>
      </c>
      <c r="C1462" s="117">
        <v>1978.86</v>
      </c>
    </row>
    <row r="1463" spans="1:3" x14ac:dyDescent="0.25">
      <c r="A1463" s="115">
        <v>2163828</v>
      </c>
      <c r="B1463" s="115" t="s">
        <v>1394</v>
      </c>
      <c r="C1463" s="117">
        <v>1978.86</v>
      </c>
    </row>
    <row r="1464" spans="1:3" x14ac:dyDescent="0.25">
      <c r="A1464" s="115">
        <v>2164130</v>
      </c>
      <c r="B1464" s="115" t="s">
        <v>1395</v>
      </c>
      <c r="C1464" s="117">
        <v>1978.86</v>
      </c>
    </row>
    <row r="1465" spans="1:3" x14ac:dyDescent="0.25">
      <c r="A1465" s="144" t="s">
        <v>1396</v>
      </c>
      <c r="B1465" s="145"/>
      <c r="C1465" s="145"/>
    </row>
    <row r="1466" spans="1:3" x14ac:dyDescent="0.25">
      <c r="A1466" s="115">
        <v>1268013</v>
      </c>
      <c r="B1466" s="115" t="s">
        <v>1397</v>
      </c>
      <c r="C1466" s="117">
        <v>716.99</v>
      </c>
    </row>
    <row r="1467" spans="1:3" x14ac:dyDescent="0.25">
      <c r="A1467" s="115">
        <v>2323776</v>
      </c>
      <c r="B1467" s="115" t="s">
        <v>1398</v>
      </c>
      <c r="C1467" s="117">
        <v>638.07000000000005</v>
      </c>
    </row>
    <row r="1468" spans="1:3" x14ac:dyDescent="0.25">
      <c r="A1468" s="115">
        <v>2321186</v>
      </c>
      <c r="B1468" s="115" t="s">
        <v>1399</v>
      </c>
      <c r="C1468" s="117">
        <v>1010.57</v>
      </c>
    </row>
    <row r="1469" spans="1:3" x14ac:dyDescent="0.25">
      <c r="A1469" s="115">
        <v>1268007</v>
      </c>
      <c r="B1469" s="115" t="s">
        <v>1400</v>
      </c>
      <c r="C1469" s="117">
        <v>1743.6</v>
      </c>
    </row>
    <row r="1470" spans="1:3" x14ac:dyDescent="0.25">
      <c r="A1470" s="115">
        <v>1268003</v>
      </c>
      <c r="B1470" s="115" t="s">
        <v>1401</v>
      </c>
      <c r="C1470" s="117">
        <v>989.44</v>
      </c>
    </row>
    <row r="1471" spans="1:3" x14ac:dyDescent="0.25">
      <c r="A1471" s="115">
        <v>1265370</v>
      </c>
      <c r="B1471" s="115" t="s">
        <v>1402</v>
      </c>
      <c r="C1471" s="117">
        <v>504.79</v>
      </c>
    </row>
    <row r="1472" spans="1:3" x14ac:dyDescent="0.25">
      <c r="A1472" s="115">
        <v>2186637</v>
      </c>
      <c r="B1472" s="115" t="s">
        <v>1403</v>
      </c>
      <c r="C1472" s="117">
        <v>728.01</v>
      </c>
    </row>
    <row r="1473" spans="1:3" x14ac:dyDescent="0.25">
      <c r="A1473" s="115">
        <v>2186667</v>
      </c>
      <c r="B1473" s="115" t="s">
        <v>1404</v>
      </c>
      <c r="C1473" s="117">
        <v>728.01</v>
      </c>
    </row>
    <row r="1474" spans="1:3" x14ac:dyDescent="0.25">
      <c r="A1474" s="115">
        <v>2186724</v>
      </c>
      <c r="B1474" s="115" t="s">
        <v>1405</v>
      </c>
      <c r="C1474" s="117">
        <v>808.9</v>
      </c>
    </row>
    <row r="1475" spans="1:3" x14ac:dyDescent="0.25">
      <c r="A1475" s="115">
        <v>2186737</v>
      </c>
      <c r="B1475" s="115" t="s">
        <v>1406</v>
      </c>
      <c r="C1475" s="117">
        <v>808.9</v>
      </c>
    </row>
    <row r="1476" spans="1:3" x14ac:dyDescent="0.25">
      <c r="A1476" s="115">
        <v>2186754</v>
      </c>
      <c r="B1476" s="115" t="s">
        <v>1407</v>
      </c>
      <c r="C1476" s="117">
        <v>808.9</v>
      </c>
    </row>
    <row r="1477" spans="1:3" x14ac:dyDescent="0.25">
      <c r="A1477" s="115">
        <v>2186767</v>
      </c>
      <c r="B1477" s="115" t="s">
        <v>1408</v>
      </c>
      <c r="C1477" s="117">
        <v>808.9</v>
      </c>
    </row>
    <row r="1478" spans="1:3" x14ac:dyDescent="0.25">
      <c r="A1478" s="115">
        <v>2186782</v>
      </c>
      <c r="B1478" s="115" t="s">
        <v>1409</v>
      </c>
      <c r="C1478" s="117">
        <v>808.9</v>
      </c>
    </row>
    <row r="1479" spans="1:3" x14ac:dyDescent="0.25">
      <c r="A1479" s="115">
        <v>2189524</v>
      </c>
      <c r="B1479" s="115" t="s">
        <v>1410</v>
      </c>
      <c r="C1479" s="117">
        <v>1190.83</v>
      </c>
    </row>
    <row r="1480" spans="1:3" x14ac:dyDescent="0.25">
      <c r="A1480" s="115">
        <v>2189537</v>
      </c>
      <c r="B1480" s="115" t="s">
        <v>1411</v>
      </c>
      <c r="C1480" s="117">
        <v>1190.83</v>
      </c>
    </row>
    <row r="1481" spans="1:3" x14ac:dyDescent="0.25">
      <c r="A1481" s="115">
        <v>2189554</v>
      </c>
      <c r="B1481" s="115" t="s">
        <v>1412</v>
      </c>
      <c r="C1481" s="117">
        <v>1190.83</v>
      </c>
    </row>
    <row r="1482" spans="1:3" x14ac:dyDescent="0.25">
      <c r="A1482" s="115">
        <v>2189567</v>
      </c>
      <c r="B1482" s="115" t="s">
        <v>1413</v>
      </c>
      <c r="C1482" s="117">
        <v>1190.83</v>
      </c>
    </row>
    <row r="1483" spans="1:3" x14ac:dyDescent="0.25">
      <c r="A1483" s="115">
        <v>2189582</v>
      </c>
      <c r="B1483" s="115" t="s">
        <v>1414</v>
      </c>
      <c r="C1483" s="117">
        <v>1190.83</v>
      </c>
    </row>
    <row r="1484" spans="1:3" x14ac:dyDescent="0.25">
      <c r="A1484" s="115">
        <v>2184337</v>
      </c>
      <c r="B1484" s="115" t="s">
        <v>1415</v>
      </c>
      <c r="C1484" s="117">
        <v>812.82</v>
      </c>
    </row>
    <row r="1485" spans="1:3" x14ac:dyDescent="0.25">
      <c r="A1485" s="115">
        <v>2184367</v>
      </c>
      <c r="B1485" s="115" t="s">
        <v>1416</v>
      </c>
      <c r="C1485" s="117">
        <v>812.82</v>
      </c>
    </row>
    <row r="1486" spans="1:3" x14ac:dyDescent="0.25">
      <c r="A1486" s="115">
        <v>2184324</v>
      </c>
      <c r="B1486" s="115" t="s">
        <v>1417</v>
      </c>
      <c r="C1486" s="117">
        <v>812.82</v>
      </c>
    </row>
    <row r="1487" spans="1:3" x14ac:dyDescent="0.25">
      <c r="A1487" s="115">
        <v>2184382</v>
      </c>
      <c r="B1487" s="115" t="s">
        <v>1418</v>
      </c>
      <c r="C1487" s="117">
        <v>812.82</v>
      </c>
    </row>
    <row r="1488" spans="1:3" x14ac:dyDescent="0.25">
      <c r="A1488" s="115">
        <v>2183837</v>
      </c>
      <c r="B1488" s="115" t="s">
        <v>1419</v>
      </c>
      <c r="C1488" s="117">
        <v>430.2</v>
      </c>
    </row>
    <row r="1489" spans="1:3" x14ac:dyDescent="0.25">
      <c r="A1489" s="115">
        <v>2183824</v>
      </c>
      <c r="B1489" s="115" t="s">
        <v>1420</v>
      </c>
      <c r="C1489" s="117">
        <v>430.2</v>
      </c>
    </row>
    <row r="1490" spans="1:3" x14ac:dyDescent="0.25">
      <c r="A1490" s="115">
        <v>2183867</v>
      </c>
      <c r="B1490" s="115" t="s">
        <v>1421</v>
      </c>
      <c r="C1490" s="117">
        <v>430.2</v>
      </c>
    </row>
    <row r="1491" spans="1:3" x14ac:dyDescent="0.25">
      <c r="A1491" s="115">
        <v>2183882</v>
      </c>
      <c r="B1491" s="115" t="s">
        <v>1422</v>
      </c>
      <c r="C1491" s="117">
        <v>430.2</v>
      </c>
    </row>
    <row r="1492" spans="1:3" x14ac:dyDescent="0.25">
      <c r="A1492" s="115">
        <v>2182624</v>
      </c>
      <c r="B1492" s="115" t="s">
        <v>1423</v>
      </c>
      <c r="C1492" s="117">
        <v>672.13</v>
      </c>
    </row>
    <row r="1493" spans="1:3" x14ac:dyDescent="0.25">
      <c r="A1493" s="115">
        <v>2182637</v>
      </c>
      <c r="B1493" s="115" t="s">
        <v>1424</v>
      </c>
      <c r="C1493" s="117">
        <v>672.13</v>
      </c>
    </row>
    <row r="1494" spans="1:3" x14ac:dyDescent="0.25">
      <c r="A1494" s="115">
        <v>2182667</v>
      </c>
      <c r="B1494" s="115" t="s">
        <v>1425</v>
      </c>
      <c r="C1494" s="117">
        <v>610.29</v>
      </c>
    </row>
    <row r="1495" spans="1:3" x14ac:dyDescent="0.25">
      <c r="A1495" s="115">
        <v>2182682</v>
      </c>
      <c r="B1495" s="115" t="s">
        <v>1426</v>
      </c>
      <c r="C1495" s="117">
        <v>610.29</v>
      </c>
    </row>
    <row r="1496" spans="1:3" x14ac:dyDescent="0.25">
      <c r="A1496" s="115">
        <v>2185937</v>
      </c>
      <c r="B1496" s="115" t="s">
        <v>1427</v>
      </c>
      <c r="C1496" s="117">
        <v>547.92999999999995</v>
      </c>
    </row>
    <row r="1497" spans="1:3" x14ac:dyDescent="0.25">
      <c r="A1497" s="115">
        <v>2185982</v>
      </c>
      <c r="B1497" s="115" t="s">
        <v>1428</v>
      </c>
      <c r="C1497" s="117">
        <v>547.92999999999995</v>
      </c>
    </row>
    <row r="1498" spans="1:3" x14ac:dyDescent="0.25">
      <c r="A1498" s="115">
        <v>2189135</v>
      </c>
      <c r="B1498" s="115" t="s">
        <v>1429</v>
      </c>
      <c r="C1498" s="117">
        <v>1388.46</v>
      </c>
    </row>
    <row r="1499" spans="1:3" x14ac:dyDescent="0.25">
      <c r="A1499" s="115">
        <v>2182724</v>
      </c>
      <c r="B1499" s="115" t="s">
        <v>1430</v>
      </c>
      <c r="C1499" s="117">
        <v>1388.46</v>
      </c>
    </row>
    <row r="1500" spans="1:3" x14ac:dyDescent="0.25">
      <c r="A1500" s="115">
        <v>2182737</v>
      </c>
      <c r="B1500" s="115" t="s">
        <v>1431</v>
      </c>
      <c r="C1500" s="117">
        <v>1388.46</v>
      </c>
    </row>
    <row r="1501" spans="1:3" x14ac:dyDescent="0.25">
      <c r="A1501" s="115">
        <v>2182754</v>
      </c>
      <c r="B1501" s="115" t="s">
        <v>12322</v>
      </c>
      <c r="C1501" s="117">
        <v>1388.47</v>
      </c>
    </row>
    <row r="1502" spans="1:3" x14ac:dyDescent="0.25">
      <c r="A1502" s="115">
        <v>2182767</v>
      </c>
      <c r="B1502" s="115" t="s">
        <v>1432</v>
      </c>
      <c r="C1502" s="117">
        <v>1388.46</v>
      </c>
    </row>
    <row r="1503" spans="1:3" x14ac:dyDescent="0.25">
      <c r="A1503" s="115">
        <v>2182782</v>
      </c>
      <c r="B1503" s="115" t="s">
        <v>1433</v>
      </c>
      <c r="C1503" s="117">
        <v>1388.46</v>
      </c>
    </row>
    <row r="1504" spans="1:3" x14ac:dyDescent="0.25">
      <c r="A1504" s="115">
        <v>2323804</v>
      </c>
      <c r="B1504" s="115" t="s">
        <v>1434</v>
      </c>
      <c r="C1504" s="117">
        <v>19683.599999999999</v>
      </c>
    </row>
    <row r="1505" spans="1:3" x14ac:dyDescent="0.25">
      <c r="A1505" s="115">
        <v>9999518</v>
      </c>
      <c r="B1505" s="115" t="s">
        <v>1435</v>
      </c>
      <c r="C1505" s="117">
        <v>4852.4799999999996</v>
      </c>
    </row>
    <row r="1506" spans="1:3" x14ac:dyDescent="0.25">
      <c r="A1506" s="115">
        <v>2323803</v>
      </c>
      <c r="B1506" s="115" t="s">
        <v>1436</v>
      </c>
      <c r="C1506" s="117">
        <v>10096.66</v>
      </c>
    </row>
    <row r="1507" spans="1:3" x14ac:dyDescent="0.25">
      <c r="A1507" s="115">
        <v>999535</v>
      </c>
      <c r="B1507" s="115" t="s">
        <v>1437</v>
      </c>
      <c r="C1507" s="117">
        <v>6599.92</v>
      </c>
    </row>
    <row r="1508" spans="1:3" x14ac:dyDescent="0.25">
      <c r="A1508" s="115">
        <v>999534</v>
      </c>
      <c r="B1508" s="115" t="s">
        <v>1438</v>
      </c>
      <c r="C1508" s="117">
        <v>14421.58</v>
      </c>
    </row>
    <row r="1509" spans="1:3" x14ac:dyDescent="0.25">
      <c r="A1509" s="115">
        <v>2323800</v>
      </c>
      <c r="B1509" s="115" t="s">
        <v>1439</v>
      </c>
      <c r="C1509" s="117">
        <v>11397.06</v>
      </c>
    </row>
    <row r="1510" spans="1:3" x14ac:dyDescent="0.25">
      <c r="A1510" s="115">
        <v>2323797</v>
      </c>
      <c r="B1510" s="115" t="s">
        <v>1440</v>
      </c>
      <c r="C1510" s="117">
        <v>4725.8999999999996</v>
      </c>
    </row>
    <row r="1511" spans="1:3" x14ac:dyDescent="0.25">
      <c r="A1511" s="115">
        <v>2323799</v>
      </c>
      <c r="B1511" s="115" t="s">
        <v>1441</v>
      </c>
      <c r="C1511" s="117">
        <v>9455.58</v>
      </c>
    </row>
    <row r="1512" spans="1:3" x14ac:dyDescent="0.25">
      <c r="A1512" s="115">
        <v>2323704</v>
      </c>
      <c r="B1512" s="115" t="s">
        <v>1442</v>
      </c>
      <c r="C1512" s="117">
        <v>18589.91</v>
      </c>
    </row>
    <row r="1513" spans="1:3" x14ac:dyDescent="0.25">
      <c r="A1513" s="115">
        <v>2323798</v>
      </c>
      <c r="B1513" s="115" t="s">
        <v>1443</v>
      </c>
      <c r="C1513" s="117">
        <v>5484.15</v>
      </c>
    </row>
    <row r="1514" spans="1:3" x14ac:dyDescent="0.25">
      <c r="A1514" s="115">
        <v>2323802</v>
      </c>
      <c r="B1514" s="115" t="s">
        <v>1444</v>
      </c>
      <c r="C1514" s="117">
        <v>10880.04</v>
      </c>
    </row>
    <row r="1515" spans="1:3" x14ac:dyDescent="0.25">
      <c r="A1515" s="115">
        <v>2324002</v>
      </c>
      <c r="B1515" s="115" t="s">
        <v>1445</v>
      </c>
      <c r="C1515" s="117">
        <v>1100.3800000000001</v>
      </c>
    </row>
    <row r="1516" spans="1:3" x14ac:dyDescent="0.25">
      <c r="A1516" s="115">
        <v>9999520</v>
      </c>
      <c r="B1516" s="115" t="s">
        <v>1446</v>
      </c>
      <c r="C1516" s="117">
        <v>15000.51</v>
      </c>
    </row>
    <row r="1517" spans="1:3" x14ac:dyDescent="0.25">
      <c r="A1517" s="115">
        <v>9999519</v>
      </c>
      <c r="B1517" s="115" t="s">
        <v>1447</v>
      </c>
      <c r="C1517" s="117">
        <v>8653.7999999999993</v>
      </c>
    </row>
    <row r="1518" spans="1:3" x14ac:dyDescent="0.25">
      <c r="A1518" s="115">
        <v>1268008</v>
      </c>
      <c r="B1518" s="115" t="s">
        <v>1448</v>
      </c>
      <c r="C1518" s="117">
        <v>716.99</v>
      </c>
    </row>
    <row r="1519" spans="1:3" x14ac:dyDescent="0.25">
      <c r="A1519" s="115">
        <v>1268014</v>
      </c>
      <c r="B1519" s="115" t="s">
        <v>1449</v>
      </c>
      <c r="C1519" s="117">
        <v>448.89</v>
      </c>
    </row>
    <row r="1520" spans="1:3" x14ac:dyDescent="0.25">
      <c r="A1520" s="115">
        <v>2323778</v>
      </c>
      <c r="B1520" s="115" t="s">
        <v>1450</v>
      </c>
      <c r="C1520" s="117">
        <v>564.45000000000005</v>
      </c>
    </row>
    <row r="1521" spans="1:3" x14ac:dyDescent="0.25">
      <c r="A1521" s="115">
        <v>2320101</v>
      </c>
      <c r="B1521" s="115" t="s">
        <v>1451</v>
      </c>
      <c r="C1521" s="117">
        <v>504.79</v>
      </c>
    </row>
    <row r="1522" spans="1:3" x14ac:dyDescent="0.25">
      <c r="A1522" s="115">
        <v>2323782</v>
      </c>
      <c r="B1522" s="115" t="s">
        <v>1452</v>
      </c>
      <c r="C1522" s="117">
        <v>384.22</v>
      </c>
    </row>
    <row r="1523" spans="1:3" x14ac:dyDescent="0.25">
      <c r="A1523" s="115">
        <v>2321608</v>
      </c>
      <c r="B1523" s="115" t="s">
        <v>1453</v>
      </c>
      <c r="C1523" s="117">
        <v>322.10000000000002</v>
      </c>
    </row>
    <row r="1524" spans="1:3" x14ac:dyDescent="0.25">
      <c r="A1524" s="115">
        <v>2321188</v>
      </c>
      <c r="B1524" s="115" t="s">
        <v>1454</v>
      </c>
      <c r="C1524" s="117">
        <v>609.38</v>
      </c>
    </row>
    <row r="1525" spans="1:3" x14ac:dyDescent="0.25">
      <c r="A1525" s="115">
        <v>1342338</v>
      </c>
      <c r="B1525" s="115" t="s">
        <v>12323</v>
      </c>
      <c r="C1525" s="117">
        <v>19044</v>
      </c>
    </row>
    <row r="1526" spans="1:3" x14ac:dyDescent="0.25">
      <c r="A1526" s="115">
        <v>2327510</v>
      </c>
      <c r="B1526" s="115" t="s">
        <v>1455</v>
      </c>
      <c r="C1526" s="117">
        <v>593.71</v>
      </c>
    </row>
    <row r="1527" spans="1:3" x14ac:dyDescent="0.25">
      <c r="A1527" s="115">
        <v>2327580</v>
      </c>
      <c r="B1527" s="115" t="s">
        <v>1456</v>
      </c>
      <c r="C1527" s="117">
        <v>487.37</v>
      </c>
    </row>
    <row r="1528" spans="1:3" x14ac:dyDescent="0.25">
      <c r="A1528" s="115">
        <v>2323781</v>
      </c>
      <c r="B1528" s="115" t="s">
        <v>1457</v>
      </c>
      <c r="C1528" s="117">
        <v>628.02</v>
      </c>
    </row>
    <row r="1529" spans="1:3" x14ac:dyDescent="0.25">
      <c r="A1529" s="115">
        <v>2321429</v>
      </c>
      <c r="B1529" s="115" t="s">
        <v>1458</v>
      </c>
      <c r="C1529" s="117">
        <v>686.78</v>
      </c>
    </row>
    <row r="1530" spans="1:3" x14ac:dyDescent="0.25">
      <c r="A1530" s="115">
        <v>2323770</v>
      </c>
      <c r="B1530" s="115" t="s">
        <v>1459</v>
      </c>
      <c r="C1530" s="117">
        <v>304.49</v>
      </c>
    </row>
    <row r="1531" spans="1:3" x14ac:dyDescent="0.25">
      <c r="A1531" s="115">
        <v>2321460</v>
      </c>
      <c r="B1531" s="115" t="s">
        <v>1460</v>
      </c>
      <c r="C1531" s="117">
        <v>200.16</v>
      </c>
    </row>
    <row r="1532" spans="1:3" x14ac:dyDescent="0.25">
      <c r="A1532" s="115">
        <v>2324165</v>
      </c>
      <c r="B1532" s="115" t="s">
        <v>1461</v>
      </c>
      <c r="C1532" s="117">
        <v>260.60000000000002</v>
      </c>
    </row>
    <row r="1533" spans="1:3" x14ac:dyDescent="0.25">
      <c r="A1533" s="115">
        <v>2323499</v>
      </c>
      <c r="B1533" s="115" t="s">
        <v>1462</v>
      </c>
      <c r="C1533" s="117">
        <v>323.55</v>
      </c>
    </row>
    <row r="1534" spans="1:3" x14ac:dyDescent="0.25">
      <c r="A1534" s="115">
        <v>2321189</v>
      </c>
      <c r="B1534" s="115" t="s">
        <v>1463</v>
      </c>
      <c r="C1534" s="117">
        <v>847.07</v>
      </c>
    </row>
    <row r="1535" spans="1:3" x14ac:dyDescent="0.25">
      <c r="A1535" s="115">
        <v>2323788</v>
      </c>
      <c r="B1535" s="115" t="s">
        <v>1464</v>
      </c>
      <c r="C1535" s="117">
        <v>727.07</v>
      </c>
    </row>
    <row r="1536" spans="1:3" x14ac:dyDescent="0.25">
      <c r="A1536" s="115">
        <v>2321469</v>
      </c>
      <c r="B1536" s="115" t="s">
        <v>1465</v>
      </c>
      <c r="C1536" s="117">
        <v>381.65</v>
      </c>
    </row>
    <row r="1537" spans="1:3" x14ac:dyDescent="0.25">
      <c r="A1537" s="115">
        <v>1268011</v>
      </c>
      <c r="B1537" s="115" t="s">
        <v>1466</v>
      </c>
      <c r="C1537" s="117">
        <v>727.74</v>
      </c>
    </row>
    <row r="1538" spans="1:3" x14ac:dyDescent="0.25">
      <c r="A1538" s="115">
        <v>1268006</v>
      </c>
      <c r="B1538" s="115" t="s">
        <v>1467</v>
      </c>
      <c r="C1538" s="117">
        <v>444.53</v>
      </c>
    </row>
    <row r="1539" spans="1:3" x14ac:dyDescent="0.25">
      <c r="A1539" s="115">
        <v>1340420</v>
      </c>
      <c r="B1539" s="115" t="s">
        <v>1468</v>
      </c>
      <c r="C1539" s="117">
        <v>463.19</v>
      </c>
    </row>
    <row r="1540" spans="1:3" x14ac:dyDescent="0.25">
      <c r="A1540" s="115">
        <v>1342330</v>
      </c>
      <c r="B1540" s="115" t="s">
        <v>1469</v>
      </c>
      <c r="C1540" s="117">
        <v>34906.94</v>
      </c>
    </row>
    <row r="1541" spans="1:3" x14ac:dyDescent="0.25">
      <c r="A1541" s="115">
        <v>1341250</v>
      </c>
      <c r="B1541" s="115" t="s">
        <v>1470</v>
      </c>
      <c r="C1541" s="117">
        <v>5593.52</v>
      </c>
    </row>
    <row r="1542" spans="1:3" x14ac:dyDescent="0.25">
      <c r="A1542" s="115">
        <v>1342011</v>
      </c>
      <c r="B1542" s="115" t="s">
        <v>1471</v>
      </c>
      <c r="C1542" s="117">
        <v>1413.88</v>
      </c>
    </row>
    <row r="1543" spans="1:3" x14ac:dyDescent="0.25">
      <c r="A1543" s="115">
        <v>1341212</v>
      </c>
      <c r="B1543" s="115" t="s">
        <v>1472</v>
      </c>
      <c r="C1543" s="117">
        <v>1194.6600000000001</v>
      </c>
    </row>
    <row r="1544" spans="1:3" x14ac:dyDescent="0.25">
      <c r="A1544" s="115">
        <v>1341025</v>
      </c>
      <c r="B1544" s="115" t="s">
        <v>1473</v>
      </c>
      <c r="C1544" s="117">
        <v>463.18</v>
      </c>
    </row>
    <row r="1545" spans="1:3" x14ac:dyDescent="0.25">
      <c r="A1545" s="115">
        <v>1341241</v>
      </c>
      <c r="B1545" s="115" t="s">
        <v>1474</v>
      </c>
      <c r="C1545" s="117">
        <v>3464.07</v>
      </c>
    </row>
    <row r="1546" spans="1:3" x14ac:dyDescent="0.25">
      <c r="A1546" s="115">
        <v>1341240</v>
      </c>
      <c r="B1546" s="115" t="s">
        <v>1475</v>
      </c>
      <c r="C1546" s="117">
        <v>668.42</v>
      </c>
    </row>
    <row r="1547" spans="1:3" x14ac:dyDescent="0.25">
      <c r="A1547" s="115">
        <v>1341263</v>
      </c>
      <c r="B1547" s="115" t="s">
        <v>1476</v>
      </c>
      <c r="C1547" s="117">
        <v>782.79</v>
      </c>
    </row>
    <row r="1548" spans="1:3" x14ac:dyDescent="0.25">
      <c r="A1548" s="115">
        <v>1345010</v>
      </c>
      <c r="B1548" s="115" t="s">
        <v>1477</v>
      </c>
      <c r="C1548" s="117">
        <v>608.35</v>
      </c>
    </row>
    <row r="1549" spans="1:3" x14ac:dyDescent="0.25">
      <c r="A1549" s="115">
        <v>1345015</v>
      </c>
      <c r="B1549" s="115" t="s">
        <v>1478</v>
      </c>
      <c r="C1549" s="117">
        <v>869.05</v>
      </c>
    </row>
    <row r="1550" spans="1:3" x14ac:dyDescent="0.25">
      <c r="A1550" s="115">
        <v>1345035</v>
      </c>
      <c r="B1550" s="115" t="s">
        <v>1479</v>
      </c>
      <c r="C1550" s="117">
        <v>3.43</v>
      </c>
    </row>
    <row r="1551" spans="1:3" x14ac:dyDescent="0.25">
      <c r="A1551" s="115">
        <v>1345084</v>
      </c>
      <c r="B1551" s="115" t="s">
        <v>1480</v>
      </c>
      <c r="C1551" s="117">
        <v>589.39</v>
      </c>
    </row>
    <row r="1552" spans="1:3" x14ac:dyDescent="0.25">
      <c r="A1552" s="115">
        <v>1268005</v>
      </c>
      <c r="B1552" s="115" t="s">
        <v>1481</v>
      </c>
      <c r="C1552" s="117">
        <v>695.16</v>
      </c>
    </row>
    <row r="1553" spans="1:3" x14ac:dyDescent="0.25">
      <c r="A1553" s="115">
        <v>1268009</v>
      </c>
      <c r="B1553" s="115" t="s">
        <v>1482</v>
      </c>
      <c r="C1553" s="117">
        <v>561.12</v>
      </c>
    </row>
    <row r="1554" spans="1:3" x14ac:dyDescent="0.25">
      <c r="A1554" s="115">
        <v>2322924</v>
      </c>
      <c r="B1554" s="115" t="s">
        <v>1483</v>
      </c>
      <c r="C1554" s="117">
        <v>1832.21</v>
      </c>
    </row>
    <row r="1555" spans="1:3" x14ac:dyDescent="0.25">
      <c r="A1555" s="115">
        <v>2322500</v>
      </c>
      <c r="B1555" s="115" t="s">
        <v>1484</v>
      </c>
      <c r="C1555" s="117">
        <v>1431.41</v>
      </c>
    </row>
    <row r="1556" spans="1:3" x14ac:dyDescent="0.25">
      <c r="A1556" s="115">
        <v>2323624</v>
      </c>
      <c r="B1556" s="115" t="s">
        <v>1485</v>
      </c>
      <c r="C1556" s="117">
        <v>2003.98</v>
      </c>
    </row>
    <row r="1557" spans="1:3" x14ac:dyDescent="0.25">
      <c r="A1557" s="115">
        <v>2323637</v>
      </c>
      <c r="B1557" s="115" t="s">
        <v>1486</v>
      </c>
      <c r="C1557" s="117">
        <v>1603.18</v>
      </c>
    </row>
    <row r="1558" spans="1:3" x14ac:dyDescent="0.25">
      <c r="A1558" s="115">
        <v>2320263</v>
      </c>
      <c r="B1558" s="115" t="s">
        <v>1487</v>
      </c>
      <c r="C1558" s="117">
        <v>2404.5500000000002</v>
      </c>
    </row>
    <row r="1559" spans="1:3" x14ac:dyDescent="0.25">
      <c r="A1559" s="115">
        <v>2320240</v>
      </c>
      <c r="B1559" s="115" t="s">
        <v>1488</v>
      </c>
      <c r="C1559" s="117">
        <v>2404.5500000000002</v>
      </c>
    </row>
    <row r="1560" spans="1:3" x14ac:dyDescent="0.25">
      <c r="A1560" s="115">
        <v>2320210</v>
      </c>
      <c r="B1560" s="115" t="s">
        <v>1489</v>
      </c>
      <c r="C1560" s="117">
        <v>2284.3200000000002</v>
      </c>
    </row>
    <row r="1561" spans="1:3" x14ac:dyDescent="0.25">
      <c r="A1561" s="115">
        <v>2324424</v>
      </c>
      <c r="B1561" s="115" t="s">
        <v>1490</v>
      </c>
      <c r="C1561" s="117">
        <v>1098.2</v>
      </c>
    </row>
    <row r="1562" spans="1:3" x14ac:dyDescent="0.25">
      <c r="A1562" s="115">
        <v>2324437</v>
      </c>
      <c r="B1562" s="115" t="s">
        <v>1491</v>
      </c>
      <c r="C1562" s="117">
        <v>998.37</v>
      </c>
    </row>
    <row r="1563" spans="1:3" x14ac:dyDescent="0.25">
      <c r="A1563" s="115">
        <v>2324423</v>
      </c>
      <c r="B1563" s="115" t="s">
        <v>1492</v>
      </c>
      <c r="C1563" s="117">
        <v>898.53</v>
      </c>
    </row>
    <row r="1564" spans="1:3" x14ac:dyDescent="0.25">
      <c r="A1564" s="115">
        <v>2322640</v>
      </c>
      <c r="B1564" s="115" t="s">
        <v>1493</v>
      </c>
      <c r="C1564" s="117">
        <v>1088.3900000000001</v>
      </c>
    </row>
    <row r="1565" spans="1:3" x14ac:dyDescent="0.25">
      <c r="A1565" s="115">
        <v>2322620</v>
      </c>
      <c r="B1565" s="115" t="s">
        <v>1494</v>
      </c>
      <c r="C1565" s="117">
        <v>1134.7</v>
      </c>
    </row>
    <row r="1566" spans="1:3" x14ac:dyDescent="0.25">
      <c r="A1566" s="115">
        <v>2322667</v>
      </c>
      <c r="B1566" s="115" t="s">
        <v>1495</v>
      </c>
      <c r="C1566" s="117">
        <v>1065.23</v>
      </c>
    </row>
    <row r="1567" spans="1:3" x14ac:dyDescent="0.25">
      <c r="A1567" s="115">
        <v>2322600</v>
      </c>
      <c r="B1567" s="115" t="s">
        <v>1496</v>
      </c>
      <c r="C1567" s="117">
        <v>1018.92</v>
      </c>
    </row>
    <row r="1568" spans="1:3" x14ac:dyDescent="0.25">
      <c r="A1568" s="115">
        <v>2329563</v>
      </c>
      <c r="B1568" s="115" t="s">
        <v>1497</v>
      </c>
      <c r="C1568" s="117">
        <v>2035.12</v>
      </c>
    </row>
    <row r="1569" spans="1:3" x14ac:dyDescent="0.25">
      <c r="A1569" s="115">
        <v>2329540</v>
      </c>
      <c r="B1569" s="115" t="s">
        <v>1498</v>
      </c>
      <c r="C1569" s="117">
        <v>2035.12</v>
      </c>
    </row>
    <row r="1570" spans="1:3" x14ac:dyDescent="0.25">
      <c r="A1570" s="115">
        <v>2329541</v>
      </c>
      <c r="B1570" s="115" t="s">
        <v>1499</v>
      </c>
      <c r="C1570" s="117">
        <v>1933.37</v>
      </c>
    </row>
    <row r="1571" spans="1:3" x14ac:dyDescent="0.25">
      <c r="A1571" s="115">
        <v>2327024</v>
      </c>
      <c r="B1571" s="115" t="s">
        <v>1500</v>
      </c>
      <c r="C1571" s="117">
        <v>3062.27</v>
      </c>
    </row>
    <row r="1572" spans="1:3" x14ac:dyDescent="0.25">
      <c r="A1572" s="115">
        <v>2322780</v>
      </c>
      <c r="B1572" s="115" t="s">
        <v>1501</v>
      </c>
      <c r="C1572" s="117">
        <v>2785.39</v>
      </c>
    </row>
    <row r="1573" spans="1:3" x14ac:dyDescent="0.25">
      <c r="A1573" s="115">
        <v>2322781</v>
      </c>
      <c r="B1573" s="115" t="s">
        <v>1502</v>
      </c>
      <c r="C1573" s="117">
        <v>3990.44</v>
      </c>
    </row>
    <row r="1574" spans="1:3" x14ac:dyDescent="0.25">
      <c r="A1574" s="115">
        <v>2327010</v>
      </c>
      <c r="B1574" s="115" t="s">
        <v>1503</v>
      </c>
      <c r="C1574" s="117">
        <v>2450.2600000000002</v>
      </c>
    </row>
    <row r="1575" spans="1:3" x14ac:dyDescent="0.25">
      <c r="A1575" s="115">
        <v>2323777</v>
      </c>
      <c r="B1575" s="115" t="s">
        <v>1504</v>
      </c>
      <c r="C1575" s="117">
        <v>604.04</v>
      </c>
    </row>
    <row r="1576" spans="1:3" x14ac:dyDescent="0.25">
      <c r="A1576" s="115">
        <v>2323700</v>
      </c>
      <c r="B1576" s="115" t="s">
        <v>1505</v>
      </c>
      <c r="C1576" s="117">
        <v>897.07</v>
      </c>
    </row>
    <row r="1577" spans="1:3" x14ac:dyDescent="0.25">
      <c r="A1577" s="115">
        <v>2320601</v>
      </c>
      <c r="B1577" s="115" t="s">
        <v>1506</v>
      </c>
      <c r="C1577" s="117">
        <v>328.27</v>
      </c>
    </row>
    <row r="1578" spans="1:3" x14ac:dyDescent="0.25">
      <c r="A1578" s="115">
        <v>1268017</v>
      </c>
      <c r="B1578" s="115" t="s">
        <v>1507</v>
      </c>
      <c r="C1578" s="117">
        <v>544.91</v>
      </c>
    </row>
    <row r="1579" spans="1:3" x14ac:dyDescent="0.25">
      <c r="A1579" s="115">
        <v>1268004</v>
      </c>
      <c r="B1579" s="115" t="s">
        <v>1508</v>
      </c>
      <c r="C1579" s="117">
        <v>716.99</v>
      </c>
    </row>
    <row r="1580" spans="1:3" x14ac:dyDescent="0.25">
      <c r="A1580" s="115">
        <v>2320477</v>
      </c>
      <c r="B1580" s="115" t="s">
        <v>1509</v>
      </c>
      <c r="C1580" s="117">
        <v>577.41999999999996</v>
      </c>
    </row>
    <row r="1581" spans="1:3" x14ac:dyDescent="0.25">
      <c r="A1581" s="115">
        <v>1260196</v>
      </c>
      <c r="B1581" s="115" t="s">
        <v>1510</v>
      </c>
      <c r="C1581" s="117">
        <v>1334.4</v>
      </c>
    </row>
    <row r="1582" spans="1:3" x14ac:dyDescent="0.25">
      <c r="A1582" s="115">
        <v>1260195</v>
      </c>
      <c r="B1582" s="115" t="s">
        <v>1511</v>
      </c>
      <c r="C1582" s="117">
        <v>486.87</v>
      </c>
    </row>
    <row r="1583" spans="1:3" x14ac:dyDescent="0.25">
      <c r="A1583" s="115">
        <v>1260180</v>
      </c>
      <c r="B1583" s="115" t="s">
        <v>1512</v>
      </c>
      <c r="C1583" s="117">
        <v>577.89</v>
      </c>
    </row>
    <row r="1584" spans="1:3" x14ac:dyDescent="0.25">
      <c r="A1584" s="115">
        <v>1260122</v>
      </c>
      <c r="B1584" s="115" t="s">
        <v>1513</v>
      </c>
      <c r="C1584" s="117">
        <v>649.11</v>
      </c>
    </row>
    <row r="1585" spans="1:3" x14ac:dyDescent="0.25">
      <c r="A1585" s="115">
        <v>1260123</v>
      </c>
      <c r="B1585" s="115" t="s">
        <v>1514</v>
      </c>
      <c r="C1585" s="117">
        <v>1442.74</v>
      </c>
    </row>
    <row r="1586" spans="1:3" x14ac:dyDescent="0.25">
      <c r="A1586" s="115">
        <v>1267683</v>
      </c>
      <c r="B1586" s="115" t="s">
        <v>1515</v>
      </c>
      <c r="C1586" s="117">
        <v>366.98</v>
      </c>
    </row>
    <row r="1587" spans="1:3" x14ac:dyDescent="0.25">
      <c r="A1587" s="115">
        <v>1268010</v>
      </c>
      <c r="B1587" s="115" t="s">
        <v>1516</v>
      </c>
      <c r="C1587" s="117">
        <v>737.86</v>
      </c>
    </row>
    <row r="1588" spans="1:3" x14ac:dyDescent="0.25">
      <c r="A1588" s="115">
        <v>1268075</v>
      </c>
      <c r="B1588" s="115" t="s">
        <v>1517</v>
      </c>
      <c r="C1588" s="117">
        <v>556.98</v>
      </c>
    </row>
    <row r="1589" spans="1:3" x14ac:dyDescent="0.25">
      <c r="A1589" s="115">
        <v>2321095</v>
      </c>
      <c r="B1589" s="115" t="s">
        <v>1518</v>
      </c>
      <c r="C1589" s="117">
        <v>460.22</v>
      </c>
    </row>
    <row r="1590" spans="1:3" x14ac:dyDescent="0.25">
      <c r="A1590" s="115">
        <v>1269510</v>
      </c>
      <c r="B1590" s="115" t="s">
        <v>1519</v>
      </c>
      <c r="C1590" s="117">
        <v>1801.04</v>
      </c>
    </row>
    <row r="1591" spans="1:3" x14ac:dyDescent="0.25">
      <c r="A1591" s="115">
        <v>2322831</v>
      </c>
      <c r="B1591" s="115" t="s">
        <v>1520</v>
      </c>
      <c r="C1591" s="117">
        <v>504.86</v>
      </c>
    </row>
    <row r="1592" spans="1:3" x14ac:dyDescent="0.25">
      <c r="A1592" s="115">
        <v>2329212</v>
      </c>
      <c r="B1592" s="115" t="s">
        <v>1521</v>
      </c>
      <c r="C1592" s="117">
        <v>504.86</v>
      </c>
    </row>
    <row r="1593" spans="1:3" x14ac:dyDescent="0.25">
      <c r="A1593" s="115">
        <v>2322402</v>
      </c>
      <c r="B1593" s="115" t="s">
        <v>1522</v>
      </c>
      <c r="C1593" s="117">
        <v>1027.78</v>
      </c>
    </row>
    <row r="1594" spans="1:3" x14ac:dyDescent="0.25">
      <c r="A1594" s="115">
        <v>2322404</v>
      </c>
      <c r="B1594" s="115" t="s">
        <v>1523</v>
      </c>
      <c r="C1594" s="117">
        <v>302.11</v>
      </c>
    </row>
    <row r="1595" spans="1:3" x14ac:dyDescent="0.25">
      <c r="A1595" s="115">
        <v>2321301</v>
      </c>
      <c r="B1595" s="115" t="s">
        <v>1524</v>
      </c>
      <c r="C1595" s="117">
        <v>703.94</v>
      </c>
    </row>
    <row r="1596" spans="1:3" x14ac:dyDescent="0.25">
      <c r="A1596" s="115">
        <v>2320920</v>
      </c>
      <c r="B1596" s="115" t="s">
        <v>1525</v>
      </c>
      <c r="C1596" s="117">
        <v>1090.3599999999999</v>
      </c>
    </row>
    <row r="1597" spans="1:3" x14ac:dyDescent="0.25">
      <c r="A1597" s="115">
        <v>2320906</v>
      </c>
      <c r="B1597" s="115" t="s">
        <v>1526</v>
      </c>
      <c r="C1597" s="117">
        <v>366.57</v>
      </c>
    </row>
    <row r="1598" spans="1:3" x14ac:dyDescent="0.25">
      <c r="A1598" s="115">
        <v>2320956</v>
      </c>
      <c r="B1598" s="115" t="s">
        <v>1527</v>
      </c>
      <c r="C1598" s="117">
        <v>409.89</v>
      </c>
    </row>
    <row r="1599" spans="1:3" x14ac:dyDescent="0.25">
      <c r="A1599" s="115">
        <v>2320960</v>
      </c>
      <c r="B1599" s="115" t="s">
        <v>1528</v>
      </c>
      <c r="C1599" s="117">
        <v>270.33</v>
      </c>
    </row>
    <row r="1600" spans="1:3" x14ac:dyDescent="0.25">
      <c r="A1600" s="115">
        <v>2320926</v>
      </c>
      <c r="B1600" s="115" t="s">
        <v>1529</v>
      </c>
      <c r="C1600" s="117">
        <v>605.05999999999995</v>
      </c>
    </row>
    <row r="1601" spans="1:3" x14ac:dyDescent="0.25">
      <c r="A1601" s="115">
        <v>2320912</v>
      </c>
      <c r="B1601" s="115" t="s">
        <v>1530</v>
      </c>
      <c r="C1601" s="117">
        <v>330.66</v>
      </c>
    </row>
    <row r="1602" spans="1:3" x14ac:dyDescent="0.25">
      <c r="A1602" s="115">
        <v>2320925</v>
      </c>
      <c r="B1602" s="115" t="s">
        <v>1531</v>
      </c>
      <c r="C1602" s="117">
        <v>671.69</v>
      </c>
    </row>
    <row r="1603" spans="1:3" x14ac:dyDescent="0.25">
      <c r="A1603" s="115">
        <v>2320930</v>
      </c>
      <c r="B1603" s="115" t="s">
        <v>1532</v>
      </c>
      <c r="C1603" s="117">
        <v>811.89</v>
      </c>
    </row>
    <row r="1604" spans="1:3" x14ac:dyDescent="0.25">
      <c r="A1604" s="115">
        <v>2322826</v>
      </c>
      <c r="B1604" s="115" t="s">
        <v>1533</v>
      </c>
      <c r="C1604" s="117">
        <v>877.31</v>
      </c>
    </row>
    <row r="1605" spans="1:3" x14ac:dyDescent="0.25">
      <c r="A1605" s="115">
        <v>2321365</v>
      </c>
      <c r="B1605" s="115" t="s">
        <v>1534</v>
      </c>
      <c r="C1605" s="117">
        <v>877.31</v>
      </c>
    </row>
    <row r="1606" spans="1:3" x14ac:dyDescent="0.25">
      <c r="A1606" s="115">
        <v>2321363</v>
      </c>
      <c r="B1606" s="115" t="s">
        <v>1535</v>
      </c>
      <c r="C1606" s="117">
        <v>877.31</v>
      </c>
    </row>
    <row r="1607" spans="1:3" x14ac:dyDescent="0.25">
      <c r="A1607" s="115">
        <v>2322871</v>
      </c>
      <c r="B1607" s="115" t="s">
        <v>1536</v>
      </c>
      <c r="C1607" s="117">
        <v>877.31</v>
      </c>
    </row>
    <row r="1608" spans="1:3" x14ac:dyDescent="0.25">
      <c r="A1608" s="115">
        <v>2321344</v>
      </c>
      <c r="B1608" s="115" t="s">
        <v>1537</v>
      </c>
      <c r="C1608" s="117">
        <v>877.31</v>
      </c>
    </row>
    <row r="1609" spans="1:3" x14ac:dyDescent="0.25">
      <c r="A1609" s="115">
        <v>2321346</v>
      </c>
      <c r="B1609" s="115" t="s">
        <v>1538</v>
      </c>
      <c r="C1609" s="117">
        <v>877.31</v>
      </c>
    </row>
    <row r="1610" spans="1:3" x14ac:dyDescent="0.25">
      <c r="A1610" s="115">
        <v>2321306</v>
      </c>
      <c r="B1610" s="115" t="s">
        <v>1539</v>
      </c>
      <c r="C1610" s="117">
        <v>576.34</v>
      </c>
    </row>
    <row r="1611" spans="1:3" x14ac:dyDescent="0.25">
      <c r="A1611" s="115">
        <v>2321352</v>
      </c>
      <c r="B1611" s="115" t="s">
        <v>1540</v>
      </c>
      <c r="C1611" s="117">
        <v>576.34</v>
      </c>
    </row>
    <row r="1612" spans="1:3" x14ac:dyDescent="0.25">
      <c r="A1612" s="115">
        <v>2321305</v>
      </c>
      <c r="B1612" s="115" t="s">
        <v>1541</v>
      </c>
      <c r="C1612" s="117">
        <v>576.34</v>
      </c>
    </row>
    <row r="1613" spans="1:3" x14ac:dyDescent="0.25">
      <c r="A1613" s="115">
        <v>2321377</v>
      </c>
      <c r="B1613" s="115" t="s">
        <v>1542</v>
      </c>
      <c r="C1613" s="117">
        <v>896.92</v>
      </c>
    </row>
    <row r="1614" spans="1:3" x14ac:dyDescent="0.25">
      <c r="A1614" s="115">
        <v>2321213</v>
      </c>
      <c r="B1614" s="115" t="s">
        <v>1543</v>
      </c>
      <c r="C1614" s="117">
        <v>328.71</v>
      </c>
    </row>
    <row r="1615" spans="1:3" x14ac:dyDescent="0.25">
      <c r="A1615" s="115">
        <v>2321207</v>
      </c>
      <c r="B1615" s="115" t="s">
        <v>1544</v>
      </c>
      <c r="C1615" s="117">
        <v>639.22</v>
      </c>
    </row>
    <row r="1616" spans="1:3" x14ac:dyDescent="0.25">
      <c r="A1616" s="115">
        <v>2321358</v>
      </c>
      <c r="B1616" s="115" t="s">
        <v>1545</v>
      </c>
      <c r="C1616" s="117">
        <v>379.31</v>
      </c>
    </row>
    <row r="1617" spans="1:3" x14ac:dyDescent="0.25">
      <c r="A1617" s="115">
        <v>2321206</v>
      </c>
      <c r="B1617" s="115" t="s">
        <v>1546</v>
      </c>
      <c r="C1617" s="117">
        <v>553.66999999999996</v>
      </c>
    </row>
    <row r="1618" spans="1:3" x14ac:dyDescent="0.25">
      <c r="A1618" s="115">
        <v>2323401</v>
      </c>
      <c r="B1618" s="115" t="s">
        <v>1547</v>
      </c>
      <c r="C1618" s="117">
        <v>343.29</v>
      </c>
    </row>
    <row r="1619" spans="1:3" x14ac:dyDescent="0.25">
      <c r="A1619" s="115">
        <v>2321210</v>
      </c>
      <c r="B1619" s="115" t="s">
        <v>1548</v>
      </c>
      <c r="C1619" s="117">
        <v>451.87</v>
      </c>
    </row>
    <row r="1620" spans="1:3" x14ac:dyDescent="0.25">
      <c r="A1620" s="115">
        <v>2321212</v>
      </c>
      <c r="B1620" s="115" t="s">
        <v>1549</v>
      </c>
      <c r="C1620" s="117">
        <v>265.8</v>
      </c>
    </row>
    <row r="1621" spans="1:3" x14ac:dyDescent="0.25">
      <c r="A1621" s="115">
        <v>2321190</v>
      </c>
      <c r="B1621" s="115" t="s">
        <v>1550</v>
      </c>
      <c r="C1621" s="117">
        <v>420.83</v>
      </c>
    </row>
    <row r="1622" spans="1:3" x14ac:dyDescent="0.25">
      <c r="A1622" s="115">
        <v>2321357</v>
      </c>
      <c r="B1622" s="115" t="s">
        <v>1551</v>
      </c>
      <c r="C1622" s="117">
        <v>1038.8499999999999</v>
      </c>
    </row>
    <row r="1623" spans="1:3" x14ac:dyDescent="0.25">
      <c r="A1623" s="115">
        <v>2329000</v>
      </c>
      <c r="B1623" s="115" t="s">
        <v>1552</v>
      </c>
      <c r="C1623" s="117">
        <v>886.21</v>
      </c>
    </row>
    <row r="1624" spans="1:3" x14ac:dyDescent="0.25">
      <c r="A1624" s="115">
        <v>2329880</v>
      </c>
      <c r="B1624" s="115" t="s">
        <v>1553</v>
      </c>
      <c r="C1624" s="117">
        <v>204.48</v>
      </c>
    </row>
    <row r="1625" spans="1:3" x14ac:dyDescent="0.25">
      <c r="A1625" s="115">
        <v>2321378</v>
      </c>
      <c r="B1625" s="115" t="s">
        <v>1554</v>
      </c>
      <c r="C1625" s="117">
        <v>292.08999999999997</v>
      </c>
    </row>
    <row r="1626" spans="1:3" x14ac:dyDescent="0.25">
      <c r="A1626" s="115">
        <v>2321672</v>
      </c>
      <c r="B1626" s="115" t="s">
        <v>1555</v>
      </c>
      <c r="C1626" s="117">
        <v>191.54</v>
      </c>
    </row>
    <row r="1627" spans="1:3" x14ac:dyDescent="0.25">
      <c r="A1627" s="115">
        <v>2320946</v>
      </c>
      <c r="B1627" s="115" t="s">
        <v>1556</v>
      </c>
      <c r="C1627" s="117">
        <v>1222.3800000000001</v>
      </c>
    </row>
    <row r="1628" spans="1:3" x14ac:dyDescent="0.25">
      <c r="A1628" s="115">
        <v>2320916</v>
      </c>
      <c r="B1628" s="115" t="s">
        <v>1557</v>
      </c>
      <c r="C1628" s="117">
        <v>938.15</v>
      </c>
    </row>
    <row r="1629" spans="1:3" x14ac:dyDescent="0.25">
      <c r="A1629" s="115">
        <v>2320913</v>
      </c>
      <c r="B1629" s="115" t="s">
        <v>1558</v>
      </c>
      <c r="C1629" s="117">
        <v>1287.31</v>
      </c>
    </row>
    <row r="1630" spans="1:3" x14ac:dyDescent="0.25">
      <c r="A1630" s="144" t="s">
        <v>1559</v>
      </c>
      <c r="B1630" s="145"/>
      <c r="C1630" s="145"/>
    </row>
    <row r="1631" spans="1:3" x14ac:dyDescent="0.25">
      <c r="A1631" s="115">
        <v>3321100</v>
      </c>
      <c r="B1631" s="115" t="s">
        <v>1560</v>
      </c>
      <c r="C1631" s="117">
        <v>1083.18</v>
      </c>
    </row>
    <row r="1632" spans="1:3" x14ac:dyDescent="0.25">
      <c r="A1632" s="115">
        <v>3639108</v>
      </c>
      <c r="B1632" s="115" t="s">
        <v>1561</v>
      </c>
      <c r="C1632" s="117">
        <v>1384.67</v>
      </c>
    </row>
    <row r="1633" spans="1:3" x14ac:dyDescent="0.25">
      <c r="A1633" s="115">
        <v>3639115</v>
      </c>
      <c r="B1633" s="115" t="s">
        <v>1562</v>
      </c>
      <c r="C1633" s="117">
        <v>1723.82</v>
      </c>
    </row>
    <row r="1634" spans="1:3" x14ac:dyDescent="0.25">
      <c r="A1634" s="115">
        <v>3639114</v>
      </c>
      <c r="B1634" s="115" t="s">
        <v>1563</v>
      </c>
      <c r="C1634" s="117">
        <v>1723.82</v>
      </c>
    </row>
    <row r="1635" spans="1:3" x14ac:dyDescent="0.25">
      <c r="A1635" s="115">
        <v>3639131</v>
      </c>
      <c r="B1635" s="115" t="s">
        <v>1564</v>
      </c>
      <c r="C1635" s="117">
        <v>1723.82</v>
      </c>
    </row>
    <row r="1636" spans="1:3" x14ac:dyDescent="0.25">
      <c r="A1636" s="115">
        <v>3638612</v>
      </c>
      <c r="B1636" s="115" t="s">
        <v>1565</v>
      </c>
      <c r="C1636" s="117">
        <v>1434.45</v>
      </c>
    </row>
    <row r="1637" spans="1:3" x14ac:dyDescent="0.25">
      <c r="A1637" s="115">
        <v>3635926</v>
      </c>
      <c r="B1637" s="115" t="s">
        <v>1566</v>
      </c>
      <c r="C1637" s="117">
        <v>1303.68</v>
      </c>
    </row>
    <row r="1638" spans="1:3" x14ac:dyDescent="0.25">
      <c r="A1638" s="115">
        <v>3635922</v>
      </c>
      <c r="B1638" s="115" t="s">
        <v>1567</v>
      </c>
      <c r="C1638" s="117">
        <v>1434.05</v>
      </c>
    </row>
    <row r="1639" spans="1:3" x14ac:dyDescent="0.25">
      <c r="A1639" s="115">
        <v>3635995</v>
      </c>
      <c r="B1639" s="115" t="s">
        <v>1568</v>
      </c>
      <c r="C1639" s="117">
        <v>1874.23</v>
      </c>
    </row>
    <row r="1640" spans="1:3" x14ac:dyDescent="0.25">
      <c r="A1640" s="115">
        <v>3635900</v>
      </c>
      <c r="B1640" s="115" t="s">
        <v>1569</v>
      </c>
      <c r="C1640" s="117">
        <v>108.64</v>
      </c>
    </row>
    <row r="1641" spans="1:3" x14ac:dyDescent="0.25">
      <c r="A1641" s="115">
        <v>3321000</v>
      </c>
      <c r="B1641" s="115" t="s">
        <v>1570</v>
      </c>
      <c r="C1641" s="117">
        <v>863.05</v>
      </c>
    </row>
    <row r="1642" spans="1:3" x14ac:dyDescent="0.25">
      <c r="A1642" s="115">
        <v>3638804</v>
      </c>
      <c r="B1642" s="115" t="s">
        <v>1571</v>
      </c>
      <c r="C1642" s="117">
        <v>2996.12</v>
      </c>
    </row>
    <row r="1643" spans="1:3" x14ac:dyDescent="0.25">
      <c r="A1643" s="115">
        <v>3638300</v>
      </c>
      <c r="B1643" s="115" t="s">
        <v>1572</v>
      </c>
      <c r="C1643" s="117">
        <v>9857.7199999999993</v>
      </c>
    </row>
    <row r="1644" spans="1:3" x14ac:dyDescent="0.25">
      <c r="A1644" s="115">
        <v>3638201</v>
      </c>
      <c r="B1644" s="115" t="s">
        <v>1573</v>
      </c>
      <c r="C1644" s="117">
        <v>297.35000000000002</v>
      </c>
    </row>
    <row r="1645" spans="1:3" x14ac:dyDescent="0.25">
      <c r="A1645" s="115">
        <v>3630613</v>
      </c>
      <c r="B1645" s="115" t="s">
        <v>1574</v>
      </c>
      <c r="C1645" s="117">
        <v>355.52</v>
      </c>
    </row>
    <row r="1646" spans="1:3" x14ac:dyDescent="0.25">
      <c r="A1646" s="115">
        <v>3630612</v>
      </c>
      <c r="B1646" s="115" t="s">
        <v>1575</v>
      </c>
      <c r="C1646" s="117">
        <v>355.52</v>
      </c>
    </row>
    <row r="1647" spans="1:3" x14ac:dyDescent="0.25">
      <c r="A1647" s="115">
        <v>3636201</v>
      </c>
      <c r="B1647" s="115" t="s">
        <v>1576</v>
      </c>
      <c r="C1647" s="117">
        <v>23199.48</v>
      </c>
    </row>
    <row r="1648" spans="1:3" x14ac:dyDescent="0.25">
      <c r="A1648" s="115">
        <v>3634103</v>
      </c>
      <c r="B1648" s="115" t="s">
        <v>1577</v>
      </c>
      <c r="C1648" s="117">
        <v>8305.0400000000009</v>
      </c>
    </row>
    <row r="1649" spans="1:3" x14ac:dyDescent="0.25">
      <c r="A1649" s="115">
        <v>3634101</v>
      </c>
      <c r="B1649" s="115" t="s">
        <v>1578</v>
      </c>
      <c r="C1649" s="117">
        <v>9629.0300000000007</v>
      </c>
    </row>
    <row r="1650" spans="1:3" x14ac:dyDescent="0.25">
      <c r="A1650" s="115">
        <v>3634102</v>
      </c>
      <c r="B1650" s="115" t="s">
        <v>1579</v>
      </c>
      <c r="C1650" s="117">
        <v>8305.0400000000009</v>
      </c>
    </row>
    <row r="1651" spans="1:3" x14ac:dyDescent="0.25">
      <c r="A1651" s="115">
        <v>3636200</v>
      </c>
      <c r="B1651" s="115" t="s">
        <v>1580</v>
      </c>
      <c r="C1651" s="117">
        <v>20100.61</v>
      </c>
    </row>
    <row r="1652" spans="1:3" x14ac:dyDescent="0.25">
      <c r="A1652" s="115">
        <v>3636084</v>
      </c>
      <c r="B1652" s="115" t="s">
        <v>1581</v>
      </c>
      <c r="C1652" s="117">
        <v>2093.0300000000002</v>
      </c>
    </row>
    <row r="1653" spans="1:3" x14ac:dyDescent="0.25">
      <c r="A1653" s="115">
        <v>3636045</v>
      </c>
      <c r="B1653" s="115" t="s">
        <v>1582</v>
      </c>
      <c r="C1653" s="117">
        <v>2093.0300000000002</v>
      </c>
    </row>
    <row r="1654" spans="1:3" x14ac:dyDescent="0.25">
      <c r="A1654" s="115">
        <v>3636029</v>
      </c>
      <c r="B1654" s="115" t="s">
        <v>1583</v>
      </c>
      <c r="C1654" s="117">
        <v>2093.0300000000002</v>
      </c>
    </row>
    <row r="1655" spans="1:3" x14ac:dyDescent="0.25">
      <c r="A1655" s="115">
        <v>3636049</v>
      </c>
      <c r="B1655" s="115" t="s">
        <v>1584</v>
      </c>
      <c r="C1655" s="117">
        <v>2093.0300000000002</v>
      </c>
    </row>
    <row r="1656" spans="1:3" x14ac:dyDescent="0.25">
      <c r="A1656" s="115">
        <v>3636062</v>
      </c>
      <c r="B1656" s="115" t="s">
        <v>1585</v>
      </c>
      <c r="C1656" s="117">
        <v>2093.0300000000002</v>
      </c>
    </row>
    <row r="1657" spans="1:3" x14ac:dyDescent="0.25">
      <c r="A1657" s="115">
        <v>3636076</v>
      </c>
      <c r="B1657" s="115" t="s">
        <v>1586</v>
      </c>
      <c r="C1657" s="117">
        <v>2093.0300000000002</v>
      </c>
    </row>
    <row r="1658" spans="1:3" x14ac:dyDescent="0.25">
      <c r="A1658" s="115">
        <v>3636077</v>
      </c>
      <c r="B1658" s="115" t="s">
        <v>1587</v>
      </c>
      <c r="C1658" s="117">
        <v>2093.0300000000002</v>
      </c>
    </row>
    <row r="1659" spans="1:3" x14ac:dyDescent="0.25">
      <c r="A1659" s="115">
        <v>3636083</v>
      </c>
      <c r="B1659" s="115" t="s">
        <v>1588</v>
      </c>
      <c r="C1659" s="117">
        <v>2093.0300000000002</v>
      </c>
    </row>
    <row r="1660" spans="1:3" x14ac:dyDescent="0.25">
      <c r="A1660" s="115">
        <v>3322010</v>
      </c>
      <c r="B1660" s="115" t="s">
        <v>1589</v>
      </c>
      <c r="C1660" s="117">
        <v>3192.5</v>
      </c>
    </row>
    <row r="1661" spans="1:3" x14ac:dyDescent="0.25">
      <c r="A1661" s="115">
        <v>3638500</v>
      </c>
      <c r="B1661" s="115" t="s">
        <v>1590</v>
      </c>
      <c r="C1661" s="117">
        <v>304.25</v>
      </c>
    </row>
    <row r="1662" spans="1:3" x14ac:dyDescent="0.25">
      <c r="A1662" s="115">
        <v>3633006</v>
      </c>
      <c r="B1662" s="115" t="s">
        <v>1591</v>
      </c>
      <c r="C1662" s="117">
        <v>1144.0899999999999</v>
      </c>
    </row>
    <row r="1663" spans="1:3" x14ac:dyDescent="0.25">
      <c r="A1663" s="115">
        <v>3631312</v>
      </c>
      <c r="B1663" s="115" t="s">
        <v>1592</v>
      </c>
      <c r="C1663" s="117">
        <v>1796.01</v>
      </c>
    </row>
    <row r="1664" spans="1:3" x14ac:dyDescent="0.25">
      <c r="A1664" s="115">
        <v>3636012</v>
      </c>
      <c r="B1664" s="115" t="s">
        <v>1593</v>
      </c>
      <c r="C1664" s="117">
        <v>1925.81</v>
      </c>
    </row>
    <row r="1665" spans="1:3" x14ac:dyDescent="0.25">
      <c r="A1665" s="115">
        <v>3631010</v>
      </c>
      <c r="B1665" s="115" t="s">
        <v>1594</v>
      </c>
      <c r="C1665" s="117">
        <v>1268.6199999999999</v>
      </c>
    </row>
    <row r="1666" spans="1:3" x14ac:dyDescent="0.25">
      <c r="A1666" s="115">
        <v>3631006</v>
      </c>
      <c r="B1666" s="115" t="s">
        <v>1595</v>
      </c>
      <c r="C1666" s="117">
        <v>840.65</v>
      </c>
    </row>
    <row r="1667" spans="1:3" x14ac:dyDescent="0.25">
      <c r="A1667" s="115">
        <v>3631300</v>
      </c>
      <c r="B1667" s="115" t="s">
        <v>1596</v>
      </c>
      <c r="C1667" s="117">
        <v>1239.51</v>
      </c>
    </row>
    <row r="1668" spans="1:3" x14ac:dyDescent="0.25">
      <c r="A1668" s="115">
        <v>3631306</v>
      </c>
      <c r="B1668" s="115" t="s">
        <v>1597</v>
      </c>
      <c r="C1668" s="117">
        <v>133.72</v>
      </c>
    </row>
    <row r="1669" spans="1:3" x14ac:dyDescent="0.25">
      <c r="A1669" s="115">
        <v>3631400</v>
      </c>
      <c r="B1669" s="115" t="s">
        <v>1598</v>
      </c>
      <c r="C1669" s="117">
        <v>945.82</v>
      </c>
    </row>
    <row r="1670" spans="1:3" x14ac:dyDescent="0.25">
      <c r="A1670" s="115">
        <v>3631410</v>
      </c>
      <c r="B1670" s="115" t="s">
        <v>1599</v>
      </c>
      <c r="C1670" s="117">
        <v>803.28</v>
      </c>
    </row>
    <row r="1671" spans="1:3" x14ac:dyDescent="0.25">
      <c r="A1671" s="115">
        <v>3631226</v>
      </c>
      <c r="B1671" s="115" t="s">
        <v>1600</v>
      </c>
      <c r="C1671" s="117">
        <v>126.74</v>
      </c>
    </row>
    <row r="1672" spans="1:3" x14ac:dyDescent="0.25">
      <c r="A1672" s="115">
        <v>3631225</v>
      </c>
      <c r="B1672" s="115" t="s">
        <v>1601</v>
      </c>
      <c r="C1672" s="117">
        <v>126.74</v>
      </c>
    </row>
    <row r="1673" spans="1:3" x14ac:dyDescent="0.25">
      <c r="A1673" s="115">
        <v>3631267</v>
      </c>
      <c r="B1673" s="115" t="s">
        <v>1602</v>
      </c>
      <c r="C1673" s="117">
        <v>126.74</v>
      </c>
    </row>
    <row r="1674" spans="1:3" x14ac:dyDescent="0.25">
      <c r="A1674" s="115">
        <v>3631262</v>
      </c>
      <c r="B1674" s="115" t="s">
        <v>1603</v>
      </c>
      <c r="C1674" s="117">
        <v>126.74</v>
      </c>
    </row>
    <row r="1675" spans="1:3" x14ac:dyDescent="0.25">
      <c r="A1675" s="115">
        <v>3631276</v>
      </c>
      <c r="B1675" s="115" t="s">
        <v>1604</v>
      </c>
      <c r="C1675" s="117">
        <v>126.74</v>
      </c>
    </row>
    <row r="1676" spans="1:3" x14ac:dyDescent="0.25">
      <c r="A1676" s="115">
        <v>3631277</v>
      </c>
      <c r="B1676" s="115" t="s">
        <v>1605</v>
      </c>
      <c r="C1676" s="117">
        <v>126.74</v>
      </c>
    </row>
    <row r="1677" spans="1:3" x14ac:dyDescent="0.25">
      <c r="A1677" s="115">
        <v>3631278</v>
      </c>
      <c r="B1677" s="115" t="s">
        <v>1606</v>
      </c>
      <c r="C1677" s="117">
        <v>126.74</v>
      </c>
    </row>
    <row r="1678" spans="1:3" x14ac:dyDescent="0.25">
      <c r="A1678" s="115">
        <v>3631283</v>
      </c>
      <c r="B1678" s="115" t="s">
        <v>1607</v>
      </c>
      <c r="C1678" s="117">
        <v>126.74</v>
      </c>
    </row>
    <row r="1679" spans="1:3" x14ac:dyDescent="0.25">
      <c r="A1679" s="115">
        <v>3631284</v>
      </c>
      <c r="B1679" s="115" t="s">
        <v>1608</v>
      </c>
      <c r="C1679" s="117">
        <v>126.74</v>
      </c>
    </row>
    <row r="1680" spans="1:3" x14ac:dyDescent="0.25">
      <c r="A1680" s="115">
        <v>3631229</v>
      </c>
      <c r="B1680" s="115" t="s">
        <v>1609</v>
      </c>
      <c r="C1680" s="117">
        <v>126.74</v>
      </c>
    </row>
    <row r="1681" spans="1:3" x14ac:dyDescent="0.25">
      <c r="A1681" s="115">
        <v>3631223</v>
      </c>
      <c r="B1681" s="115" t="s">
        <v>1610</v>
      </c>
      <c r="C1681" s="117">
        <v>126.74</v>
      </c>
    </row>
    <row r="1682" spans="1:3" x14ac:dyDescent="0.25">
      <c r="A1682" s="115">
        <v>3631263</v>
      </c>
      <c r="B1682" s="115" t="s">
        <v>1611</v>
      </c>
      <c r="C1682" s="117">
        <v>126.74</v>
      </c>
    </row>
    <row r="1683" spans="1:3" x14ac:dyDescent="0.25">
      <c r="A1683" s="115">
        <v>3321928</v>
      </c>
      <c r="B1683" s="115" t="s">
        <v>1612</v>
      </c>
      <c r="C1683" s="117">
        <v>4040.73</v>
      </c>
    </row>
    <row r="1684" spans="1:3" x14ac:dyDescent="0.25">
      <c r="A1684" s="115">
        <v>3321930</v>
      </c>
      <c r="B1684" s="115" t="s">
        <v>1613</v>
      </c>
      <c r="C1684" s="117">
        <v>4040.73</v>
      </c>
    </row>
    <row r="1685" spans="1:3" x14ac:dyDescent="0.25">
      <c r="A1685" s="115">
        <v>3321825</v>
      </c>
      <c r="B1685" s="115" t="s">
        <v>1614</v>
      </c>
      <c r="C1685" s="117">
        <v>1806.08</v>
      </c>
    </row>
    <row r="1686" spans="1:3" x14ac:dyDescent="0.25">
      <c r="A1686" s="115">
        <v>3321929</v>
      </c>
      <c r="B1686" s="115" t="s">
        <v>1615</v>
      </c>
      <c r="C1686" s="117">
        <v>1928.53</v>
      </c>
    </row>
    <row r="1687" spans="1:3" x14ac:dyDescent="0.25">
      <c r="A1687" s="115">
        <v>3321967</v>
      </c>
      <c r="B1687" s="115" t="s">
        <v>1616</v>
      </c>
      <c r="C1687" s="117">
        <v>1928.53</v>
      </c>
    </row>
    <row r="1688" spans="1:3" x14ac:dyDescent="0.25">
      <c r="A1688" s="115">
        <v>3321963</v>
      </c>
      <c r="B1688" s="115" t="s">
        <v>1617</v>
      </c>
      <c r="C1688" s="117">
        <v>1928.53</v>
      </c>
    </row>
    <row r="1689" spans="1:3" x14ac:dyDescent="0.25">
      <c r="A1689" s="115">
        <v>3321850</v>
      </c>
      <c r="B1689" s="115" t="s">
        <v>1618</v>
      </c>
      <c r="C1689" s="117">
        <v>3489.72</v>
      </c>
    </row>
    <row r="1690" spans="1:3" x14ac:dyDescent="0.25">
      <c r="A1690" s="115">
        <v>3321832</v>
      </c>
      <c r="B1690" s="115" t="s">
        <v>1619</v>
      </c>
      <c r="C1690" s="117">
        <v>3857.06</v>
      </c>
    </row>
    <row r="1691" spans="1:3" x14ac:dyDescent="0.25">
      <c r="A1691" s="115">
        <v>3639417</v>
      </c>
      <c r="B1691" s="115" t="s">
        <v>1620</v>
      </c>
      <c r="C1691" s="117">
        <v>988.49</v>
      </c>
    </row>
    <row r="1692" spans="1:3" x14ac:dyDescent="0.25">
      <c r="A1692" s="115">
        <v>3639437</v>
      </c>
      <c r="B1692" s="115" t="s">
        <v>1621</v>
      </c>
      <c r="C1692" s="117">
        <v>492.12</v>
      </c>
    </row>
    <row r="1693" spans="1:3" x14ac:dyDescent="0.25">
      <c r="A1693" s="115">
        <v>3634143</v>
      </c>
      <c r="B1693" s="115" t="s">
        <v>1622</v>
      </c>
      <c r="C1693" s="117">
        <v>943.26</v>
      </c>
    </row>
    <row r="1694" spans="1:3" x14ac:dyDescent="0.25">
      <c r="A1694" s="115">
        <v>3634145</v>
      </c>
      <c r="B1694" s="115" t="s">
        <v>1623</v>
      </c>
      <c r="C1694" s="117">
        <v>1798.16</v>
      </c>
    </row>
    <row r="1695" spans="1:3" x14ac:dyDescent="0.25">
      <c r="A1695" s="115">
        <v>3634144</v>
      </c>
      <c r="B1695" s="115" t="s">
        <v>1624</v>
      </c>
      <c r="C1695" s="117">
        <v>881.41</v>
      </c>
    </row>
    <row r="1696" spans="1:3" x14ac:dyDescent="0.25">
      <c r="A1696" s="115">
        <v>3634116</v>
      </c>
      <c r="B1696" s="115" t="s">
        <v>1625</v>
      </c>
      <c r="C1696" s="117">
        <v>1621.44</v>
      </c>
    </row>
    <row r="1697" spans="1:3" x14ac:dyDescent="0.25">
      <c r="A1697" s="115">
        <v>3639436</v>
      </c>
      <c r="B1697" s="115" t="s">
        <v>1626</v>
      </c>
      <c r="C1697" s="117">
        <v>497.03</v>
      </c>
    </row>
    <row r="1698" spans="1:3" x14ac:dyDescent="0.25">
      <c r="A1698" s="115">
        <v>3638400</v>
      </c>
      <c r="B1698" s="115" t="s">
        <v>1627</v>
      </c>
      <c r="C1698" s="117">
        <v>3129.44</v>
      </c>
    </row>
    <row r="1699" spans="1:3" x14ac:dyDescent="0.25">
      <c r="A1699" s="115">
        <v>3630849</v>
      </c>
      <c r="B1699" s="115" t="s">
        <v>1628</v>
      </c>
      <c r="C1699" s="117">
        <v>799.93</v>
      </c>
    </row>
    <row r="1700" spans="1:3" x14ac:dyDescent="0.25">
      <c r="A1700" s="144" t="s">
        <v>1629</v>
      </c>
      <c r="B1700" s="145"/>
      <c r="C1700" s="145"/>
    </row>
    <row r="1701" spans="1:3" x14ac:dyDescent="0.25">
      <c r="A1701" s="115">
        <v>3391905</v>
      </c>
      <c r="B1701" s="115" t="s">
        <v>1630</v>
      </c>
      <c r="C1701" s="117">
        <v>1068.7</v>
      </c>
    </row>
    <row r="1702" spans="1:3" x14ac:dyDescent="0.25">
      <c r="A1702" s="115">
        <v>3391810</v>
      </c>
      <c r="B1702" s="115" t="s">
        <v>1631</v>
      </c>
      <c r="C1702" s="117">
        <v>612.96</v>
      </c>
    </row>
    <row r="1703" spans="1:3" x14ac:dyDescent="0.25">
      <c r="A1703" s="115">
        <v>3391700</v>
      </c>
      <c r="B1703" s="115" t="s">
        <v>1632</v>
      </c>
      <c r="C1703" s="117">
        <v>42.33</v>
      </c>
    </row>
    <row r="1704" spans="1:3" x14ac:dyDescent="0.25">
      <c r="A1704" s="115">
        <v>3391904</v>
      </c>
      <c r="B1704" s="115" t="s">
        <v>1633</v>
      </c>
      <c r="C1704" s="117">
        <v>628</v>
      </c>
    </row>
    <row r="1705" spans="1:3" x14ac:dyDescent="0.25">
      <c r="A1705" s="115">
        <v>3391400</v>
      </c>
      <c r="B1705" s="115" t="s">
        <v>1634</v>
      </c>
      <c r="C1705" s="117">
        <v>35.46</v>
      </c>
    </row>
    <row r="1706" spans="1:3" x14ac:dyDescent="0.25">
      <c r="A1706" s="115">
        <v>3391800</v>
      </c>
      <c r="B1706" s="115" t="s">
        <v>1635</v>
      </c>
      <c r="C1706" s="117">
        <v>463.39</v>
      </c>
    </row>
    <row r="1707" spans="1:3" x14ac:dyDescent="0.25">
      <c r="A1707" s="115">
        <v>3391500</v>
      </c>
      <c r="B1707" s="115" t="s">
        <v>1636</v>
      </c>
      <c r="C1707" s="117">
        <v>51.49</v>
      </c>
    </row>
    <row r="1708" spans="1:3" x14ac:dyDescent="0.25">
      <c r="A1708" s="115">
        <v>3391900</v>
      </c>
      <c r="B1708" s="115" t="s">
        <v>1637</v>
      </c>
      <c r="C1708" s="117">
        <v>769.05</v>
      </c>
    </row>
    <row r="1709" spans="1:3" x14ac:dyDescent="0.25">
      <c r="A1709" s="115">
        <v>3392205</v>
      </c>
      <c r="B1709" s="115" t="s">
        <v>1638</v>
      </c>
      <c r="C1709" s="117">
        <v>65.599999999999994</v>
      </c>
    </row>
    <row r="1710" spans="1:3" x14ac:dyDescent="0.25">
      <c r="A1710" s="115">
        <v>3392206</v>
      </c>
      <c r="B1710" s="115" t="s">
        <v>1639</v>
      </c>
      <c r="C1710" s="117">
        <v>119.38</v>
      </c>
    </row>
    <row r="1711" spans="1:3" x14ac:dyDescent="0.25">
      <c r="A1711" s="115">
        <v>3392124</v>
      </c>
      <c r="B1711" s="115" t="s">
        <v>1640</v>
      </c>
      <c r="C1711" s="117">
        <v>1390.38</v>
      </c>
    </row>
    <row r="1712" spans="1:3" x14ac:dyDescent="0.25">
      <c r="A1712" s="115">
        <v>3392163</v>
      </c>
      <c r="B1712" s="115" t="s">
        <v>1641</v>
      </c>
      <c r="C1712" s="117">
        <v>1592.43</v>
      </c>
    </row>
    <row r="1713" spans="1:3" x14ac:dyDescent="0.25">
      <c r="A1713" s="115">
        <v>3392004</v>
      </c>
      <c r="B1713" s="115" t="s">
        <v>1642</v>
      </c>
      <c r="C1713" s="117">
        <v>95.52</v>
      </c>
    </row>
    <row r="1714" spans="1:3" x14ac:dyDescent="0.25">
      <c r="A1714" s="115">
        <v>3392003</v>
      </c>
      <c r="B1714" s="115" t="s">
        <v>1643</v>
      </c>
      <c r="C1714" s="117">
        <v>54.05</v>
      </c>
    </row>
    <row r="1715" spans="1:3" x14ac:dyDescent="0.25">
      <c r="A1715" s="115">
        <v>3392002</v>
      </c>
      <c r="B1715" s="115" t="s">
        <v>1644</v>
      </c>
      <c r="C1715" s="117">
        <v>111.29</v>
      </c>
    </row>
    <row r="1716" spans="1:3" x14ac:dyDescent="0.25">
      <c r="A1716" s="115">
        <v>3395004</v>
      </c>
      <c r="B1716" s="115" t="s">
        <v>1645</v>
      </c>
      <c r="C1716" s="117">
        <v>1062.67</v>
      </c>
    </row>
    <row r="1717" spans="1:3" x14ac:dyDescent="0.25">
      <c r="A1717" s="115">
        <v>3395001</v>
      </c>
      <c r="B1717" s="115" t="s">
        <v>1646</v>
      </c>
      <c r="C1717" s="117">
        <v>1519.97</v>
      </c>
    </row>
    <row r="1718" spans="1:3" x14ac:dyDescent="0.25">
      <c r="A1718" s="115">
        <v>3392500</v>
      </c>
      <c r="B1718" s="115" t="s">
        <v>1647</v>
      </c>
      <c r="C1718" s="117">
        <v>98.64</v>
      </c>
    </row>
    <row r="1719" spans="1:3" x14ac:dyDescent="0.25">
      <c r="A1719" s="115">
        <v>3392600</v>
      </c>
      <c r="B1719" s="115" t="s">
        <v>1648</v>
      </c>
      <c r="C1719" s="117">
        <v>72.930000000000007</v>
      </c>
    </row>
    <row r="1720" spans="1:3" x14ac:dyDescent="0.25">
      <c r="A1720" s="115">
        <v>3393103</v>
      </c>
      <c r="B1720" s="115" t="s">
        <v>1649</v>
      </c>
      <c r="C1720" s="117">
        <v>496.78</v>
      </c>
    </row>
    <row r="1721" spans="1:3" x14ac:dyDescent="0.25">
      <c r="A1721" s="115">
        <v>3392631</v>
      </c>
      <c r="B1721" s="115" t="s">
        <v>1650</v>
      </c>
      <c r="C1721" s="117">
        <v>4740.1400000000003</v>
      </c>
    </row>
    <row r="1722" spans="1:3" x14ac:dyDescent="0.25">
      <c r="A1722" s="115">
        <v>3392605</v>
      </c>
      <c r="B1722" s="115" t="s">
        <v>1651</v>
      </c>
      <c r="C1722" s="117">
        <v>602.45000000000005</v>
      </c>
    </row>
    <row r="1723" spans="1:3" x14ac:dyDescent="0.25">
      <c r="A1723" s="115">
        <v>3392630</v>
      </c>
      <c r="B1723" s="115" t="s">
        <v>1652</v>
      </c>
      <c r="C1723" s="117">
        <v>398.12</v>
      </c>
    </row>
    <row r="1724" spans="1:3" x14ac:dyDescent="0.25">
      <c r="A1724" s="115">
        <v>3392610</v>
      </c>
      <c r="B1724" s="115" t="s">
        <v>1653</v>
      </c>
      <c r="C1724" s="117">
        <v>255.68</v>
      </c>
    </row>
    <row r="1725" spans="1:3" x14ac:dyDescent="0.25">
      <c r="A1725" s="115">
        <v>3392620</v>
      </c>
      <c r="B1725" s="115" t="s">
        <v>1654</v>
      </c>
      <c r="C1725" s="117">
        <v>346.76</v>
      </c>
    </row>
    <row r="1726" spans="1:3" x14ac:dyDescent="0.25">
      <c r="A1726" s="115">
        <v>3392621</v>
      </c>
      <c r="B1726" s="115" t="s">
        <v>1655</v>
      </c>
      <c r="C1726" s="117">
        <v>748.69</v>
      </c>
    </row>
    <row r="1727" spans="1:3" x14ac:dyDescent="0.25">
      <c r="A1727" s="115">
        <v>3392640</v>
      </c>
      <c r="B1727" s="115" t="s">
        <v>1656</v>
      </c>
      <c r="C1727" s="117">
        <v>506.13</v>
      </c>
    </row>
    <row r="1728" spans="1:3" x14ac:dyDescent="0.25">
      <c r="A1728" s="115">
        <v>3393000</v>
      </c>
      <c r="B1728" s="115" t="s">
        <v>1657</v>
      </c>
      <c r="C1728" s="117">
        <v>7385.74</v>
      </c>
    </row>
    <row r="1729" spans="1:3" x14ac:dyDescent="0.25">
      <c r="A1729" s="115">
        <v>3390510</v>
      </c>
      <c r="B1729" s="115" t="s">
        <v>1658</v>
      </c>
      <c r="C1729" s="117">
        <v>15416.17</v>
      </c>
    </row>
    <row r="1730" spans="1:3" x14ac:dyDescent="0.25">
      <c r="A1730" s="115">
        <v>3390502</v>
      </c>
      <c r="B1730" s="115" t="s">
        <v>1659</v>
      </c>
      <c r="C1730" s="117">
        <v>4011.32</v>
      </c>
    </row>
    <row r="1731" spans="1:3" x14ac:dyDescent="0.25">
      <c r="A1731" s="144" t="s">
        <v>1660</v>
      </c>
      <c r="B1731" s="145"/>
      <c r="C1731" s="145"/>
    </row>
    <row r="1732" spans="1:3" x14ac:dyDescent="0.25">
      <c r="A1732" s="115">
        <v>3181402</v>
      </c>
      <c r="B1732" s="115" t="s">
        <v>1661</v>
      </c>
      <c r="C1732" s="117">
        <v>534.12</v>
      </c>
    </row>
    <row r="1733" spans="1:3" x14ac:dyDescent="0.25">
      <c r="A1733" s="115">
        <v>3182200</v>
      </c>
      <c r="B1733" s="115" t="s">
        <v>1662</v>
      </c>
      <c r="C1733" s="117">
        <v>1040.92</v>
      </c>
    </row>
    <row r="1734" spans="1:3" x14ac:dyDescent="0.25">
      <c r="A1734" s="115">
        <v>3182300</v>
      </c>
      <c r="B1734" s="115" t="s">
        <v>1663</v>
      </c>
      <c r="C1734" s="117">
        <v>3548.02</v>
      </c>
    </row>
    <row r="1735" spans="1:3" x14ac:dyDescent="0.25">
      <c r="A1735" s="115">
        <v>3182500</v>
      </c>
      <c r="B1735" s="115" t="s">
        <v>1664</v>
      </c>
      <c r="C1735" s="117">
        <v>2726.15</v>
      </c>
    </row>
    <row r="1736" spans="1:3" x14ac:dyDescent="0.25">
      <c r="A1736" s="115">
        <v>3181804</v>
      </c>
      <c r="B1736" s="115" t="s">
        <v>1665</v>
      </c>
      <c r="C1736" s="117">
        <v>1408.45</v>
      </c>
    </row>
    <row r="1737" spans="1:3" x14ac:dyDescent="0.25">
      <c r="A1737" s="115">
        <v>3181904</v>
      </c>
      <c r="B1737" s="115" t="s">
        <v>1666</v>
      </c>
      <c r="C1737" s="117">
        <v>1637.39</v>
      </c>
    </row>
    <row r="1738" spans="1:3" x14ac:dyDescent="0.25">
      <c r="A1738" s="115">
        <v>3181800</v>
      </c>
      <c r="B1738" s="115" t="s">
        <v>1667</v>
      </c>
      <c r="C1738" s="117">
        <v>1458.75</v>
      </c>
    </row>
    <row r="1739" spans="1:3" x14ac:dyDescent="0.25">
      <c r="A1739" s="115">
        <v>3181900</v>
      </c>
      <c r="B1739" s="115" t="s">
        <v>1668</v>
      </c>
      <c r="C1739" s="117">
        <v>1743.02</v>
      </c>
    </row>
    <row r="1740" spans="1:3" x14ac:dyDescent="0.25">
      <c r="A1740" s="115">
        <v>3181003</v>
      </c>
      <c r="B1740" s="115" t="s">
        <v>1669</v>
      </c>
      <c r="C1740" s="117">
        <v>540.08000000000004</v>
      </c>
    </row>
    <row r="1741" spans="1:3" x14ac:dyDescent="0.25">
      <c r="A1741" s="115">
        <v>3181100</v>
      </c>
      <c r="B1741" s="115" t="s">
        <v>11524</v>
      </c>
      <c r="C1741" s="117">
        <v>1684.42</v>
      </c>
    </row>
    <row r="1742" spans="1:3" x14ac:dyDescent="0.25">
      <c r="A1742" s="144" t="s">
        <v>1670</v>
      </c>
      <c r="B1742" s="145"/>
      <c r="C1742" s="145"/>
    </row>
    <row r="1743" spans="1:3" x14ac:dyDescent="0.25">
      <c r="A1743" s="115">
        <v>3405436</v>
      </c>
      <c r="B1743" s="115" t="s">
        <v>1671</v>
      </c>
      <c r="C1743" s="117">
        <v>8434.27</v>
      </c>
    </row>
    <row r="1744" spans="1:3" x14ac:dyDescent="0.25">
      <c r="A1744" s="115">
        <v>3400301</v>
      </c>
      <c r="B1744" s="115" t="s">
        <v>1672</v>
      </c>
      <c r="C1744" s="117">
        <v>1058.22</v>
      </c>
    </row>
    <row r="1745" spans="1:3" x14ac:dyDescent="0.25">
      <c r="A1745" s="115">
        <v>3400410</v>
      </c>
      <c r="B1745" s="115" t="s">
        <v>1673</v>
      </c>
      <c r="C1745" s="117">
        <v>2486.48</v>
      </c>
    </row>
    <row r="1746" spans="1:3" x14ac:dyDescent="0.25">
      <c r="A1746" s="115">
        <v>3400620</v>
      </c>
      <c r="B1746" s="115" t="s">
        <v>1674</v>
      </c>
      <c r="C1746" s="117">
        <v>14237.17</v>
      </c>
    </row>
    <row r="1747" spans="1:3" x14ac:dyDescent="0.25">
      <c r="A1747" s="115">
        <v>3405000</v>
      </c>
      <c r="B1747" s="115" t="s">
        <v>1675</v>
      </c>
      <c r="C1747" s="117">
        <v>1745.26</v>
      </c>
    </row>
    <row r="1748" spans="1:3" x14ac:dyDescent="0.25">
      <c r="A1748" s="115">
        <v>3400510</v>
      </c>
      <c r="B1748" s="115" t="s">
        <v>1676</v>
      </c>
      <c r="C1748" s="117">
        <v>13969.06</v>
      </c>
    </row>
    <row r="1749" spans="1:3" x14ac:dyDescent="0.25">
      <c r="A1749" s="115">
        <v>3400421</v>
      </c>
      <c r="B1749" s="115" t="s">
        <v>1677</v>
      </c>
      <c r="C1749" s="117">
        <v>11367.06</v>
      </c>
    </row>
    <row r="1750" spans="1:3" x14ac:dyDescent="0.25">
      <c r="A1750" s="115">
        <v>3400512</v>
      </c>
      <c r="B1750" s="115" t="s">
        <v>1678</v>
      </c>
      <c r="C1750" s="117">
        <v>751.96</v>
      </c>
    </row>
    <row r="1751" spans="1:3" x14ac:dyDescent="0.25">
      <c r="A1751" s="115">
        <v>3400115</v>
      </c>
      <c r="B1751" s="115" t="s">
        <v>1679</v>
      </c>
      <c r="C1751" s="117">
        <v>4871.7</v>
      </c>
    </row>
    <row r="1752" spans="1:3" x14ac:dyDescent="0.25">
      <c r="A1752" s="115">
        <v>3404100</v>
      </c>
      <c r="B1752" s="115" t="s">
        <v>1680</v>
      </c>
      <c r="C1752" s="117">
        <v>718.19</v>
      </c>
    </row>
    <row r="1753" spans="1:3" x14ac:dyDescent="0.25">
      <c r="A1753" s="115">
        <v>3402900</v>
      </c>
      <c r="B1753" s="115" t="s">
        <v>1681</v>
      </c>
      <c r="C1753" s="117">
        <v>436.05</v>
      </c>
    </row>
    <row r="1754" spans="1:3" x14ac:dyDescent="0.25">
      <c r="A1754" s="115">
        <v>3401000</v>
      </c>
      <c r="B1754" s="115" t="s">
        <v>1682</v>
      </c>
      <c r="C1754" s="117">
        <v>241.74</v>
      </c>
    </row>
    <row r="1755" spans="1:3" x14ac:dyDescent="0.25">
      <c r="A1755" s="115">
        <v>3401100</v>
      </c>
      <c r="B1755" s="115" t="s">
        <v>1683</v>
      </c>
      <c r="C1755" s="117">
        <v>286.10000000000002</v>
      </c>
    </row>
    <row r="1756" spans="1:3" x14ac:dyDescent="0.25">
      <c r="A1756" s="115">
        <v>3401236</v>
      </c>
      <c r="B1756" s="115" t="s">
        <v>1684</v>
      </c>
      <c r="C1756" s="117">
        <v>235.29</v>
      </c>
    </row>
    <row r="1757" spans="1:3" x14ac:dyDescent="0.25">
      <c r="A1757" s="115">
        <v>3401260</v>
      </c>
      <c r="B1757" s="115" t="s">
        <v>1685</v>
      </c>
      <c r="C1757" s="117">
        <v>161.88999999999999</v>
      </c>
    </row>
    <row r="1758" spans="1:3" x14ac:dyDescent="0.25">
      <c r="A1758" s="115">
        <v>3400200</v>
      </c>
      <c r="B1758" s="115" t="s">
        <v>1686</v>
      </c>
      <c r="C1758" s="117">
        <v>8934.2000000000007</v>
      </c>
    </row>
    <row r="1759" spans="1:3" x14ac:dyDescent="0.25">
      <c r="A1759" s="115">
        <v>3405500</v>
      </c>
      <c r="B1759" s="115" t="s">
        <v>1687</v>
      </c>
      <c r="C1759" s="117">
        <v>331.36</v>
      </c>
    </row>
    <row r="1760" spans="1:3" x14ac:dyDescent="0.25">
      <c r="A1760" s="115">
        <v>3405510</v>
      </c>
      <c r="B1760" s="115" t="s">
        <v>1688</v>
      </c>
      <c r="C1760" s="117">
        <v>8294.9</v>
      </c>
    </row>
    <row r="1761" spans="1:3" x14ac:dyDescent="0.25">
      <c r="A1761" s="115">
        <v>3402100</v>
      </c>
      <c r="B1761" s="115" t="s">
        <v>1689</v>
      </c>
      <c r="C1761" s="117">
        <v>564.52</v>
      </c>
    </row>
    <row r="1762" spans="1:3" x14ac:dyDescent="0.25">
      <c r="A1762" s="115">
        <v>3402200</v>
      </c>
      <c r="B1762" s="115" t="s">
        <v>1690</v>
      </c>
      <c r="C1762" s="117">
        <v>690.97</v>
      </c>
    </row>
    <row r="1763" spans="1:3" x14ac:dyDescent="0.25">
      <c r="A1763" s="115">
        <v>3401400</v>
      </c>
      <c r="B1763" s="115" t="s">
        <v>1691</v>
      </c>
      <c r="C1763" s="117">
        <v>323.06</v>
      </c>
    </row>
    <row r="1764" spans="1:3" x14ac:dyDescent="0.25">
      <c r="A1764" s="115">
        <v>3401500</v>
      </c>
      <c r="B1764" s="115" t="s">
        <v>1692</v>
      </c>
      <c r="C1764" s="117">
        <v>520.86</v>
      </c>
    </row>
    <row r="1765" spans="1:3" x14ac:dyDescent="0.25">
      <c r="A1765" s="115">
        <v>3401310</v>
      </c>
      <c r="B1765" s="115" t="s">
        <v>1693</v>
      </c>
      <c r="C1765" s="117">
        <v>2491.13</v>
      </c>
    </row>
    <row r="1766" spans="1:3" x14ac:dyDescent="0.25">
      <c r="A1766" s="115">
        <v>3401900</v>
      </c>
      <c r="B1766" s="115" t="s">
        <v>1694</v>
      </c>
      <c r="C1766" s="117">
        <v>494.53</v>
      </c>
    </row>
    <row r="1767" spans="1:3" x14ac:dyDescent="0.25">
      <c r="A1767" s="115">
        <v>3402000</v>
      </c>
      <c r="B1767" s="115" t="s">
        <v>1695</v>
      </c>
      <c r="C1767" s="117">
        <v>628.86</v>
      </c>
    </row>
    <row r="1768" spans="1:3" x14ac:dyDescent="0.25">
      <c r="A1768" s="144" t="s">
        <v>1696</v>
      </c>
      <c r="B1768" s="145"/>
      <c r="C1768" s="145"/>
    </row>
    <row r="1769" spans="1:3" x14ac:dyDescent="0.25">
      <c r="A1769" s="115">
        <v>3011710</v>
      </c>
      <c r="B1769" s="115" t="s">
        <v>1697</v>
      </c>
      <c r="C1769" s="117">
        <v>1955.71</v>
      </c>
    </row>
    <row r="1770" spans="1:3" x14ac:dyDescent="0.25">
      <c r="A1770" s="115">
        <v>3012600</v>
      </c>
      <c r="B1770" s="115" t="s">
        <v>1698</v>
      </c>
      <c r="C1770" s="117">
        <v>13233.65</v>
      </c>
    </row>
    <row r="1771" spans="1:3" x14ac:dyDescent="0.25">
      <c r="A1771" s="115">
        <v>3012001</v>
      </c>
      <c r="B1771" s="115" t="s">
        <v>1699</v>
      </c>
      <c r="C1771" s="117">
        <v>3536.08</v>
      </c>
    </row>
    <row r="1772" spans="1:3" x14ac:dyDescent="0.25">
      <c r="A1772" s="115">
        <v>3012610</v>
      </c>
      <c r="B1772" s="115" t="s">
        <v>1700</v>
      </c>
      <c r="C1772" s="117">
        <v>3615.1</v>
      </c>
    </row>
    <row r="1773" spans="1:3" x14ac:dyDescent="0.25">
      <c r="A1773" s="115">
        <v>3011810</v>
      </c>
      <c r="B1773" s="115" t="s">
        <v>1701</v>
      </c>
      <c r="C1773" s="117">
        <v>7072.17</v>
      </c>
    </row>
    <row r="1774" spans="1:3" x14ac:dyDescent="0.25">
      <c r="A1774" s="115">
        <v>3011845</v>
      </c>
      <c r="B1774" s="115" t="s">
        <v>1702</v>
      </c>
      <c r="C1774" s="117">
        <v>11339.18</v>
      </c>
    </row>
    <row r="1775" spans="1:3" x14ac:dyDescent="0.25">
      <c r="A1775" s="115">
        <v>3012210</v>
      </c>
      <c r="B1775" s="115" t="s">
        <v>1703</v>
      </c>
      <c r="C1775" s="117">
        <v>1896.45</v>
      </c>
    </row>
    <row r="1776" spans="1:3" x14ac:dyDescent="0.25">
      <c r="A1776" s="115">
        <v>3012311</v>
      </c>
      <c r="B1776" s="115" t="s">
        <v>1704</v>
      </c>
      <c r="C1776" s="117">
        <v>2054.48</v>
      </c>
    </row>
    <row r="1777" spans="1:3" x14ac:dyDescent="0.25">
      <c r="A1777" s="115">
        <v>3012310</v>
      </c>
      <c r="B1777" s="115" t="s">
        <v>1705</v>
      </c>
      <c r="C1777" s="117">
        <v>4326.2700000000004</v>
      </c>
    </row>
    <row r="1778" spans="1:3" x14ac:dyDescent="0.25">
      <c r="A1778" s="115">
        <v>3011910</v>
      </c>
      <c r="B1778" s="115" t="s">
        <v>1706</v>
      </c>
      <c r="C1778" s="117">
        <v>3463.64</v>
      </c>
    </row>
    <row r="1779" spans="1:3" x14ac:dyDescent="0.25">
      <c r="A1779" s="115">
        <v>3013350</v>
      </c>
      <c r="B1779" s="115" t="s">
        <v>1707</v>
      </c>
      <c r="C1779" s="117">
        <v>5916.39</v>
      </c>
    </row>
    <row r="1780" spans="1:3" x14ac:dyDescent="0.25">
      <c r="A1780" s="115">
        <v>3014311</v>
      </c>
      <c r="B1780" s="115" t="s">
        <v>1708</v>
      </c>
      <c r="C1780" s="117">
        <v>10656.97</v>
      </c>
    </row>
    <row r="1781" spans="1:3" x14ac:dyDescent="0.25">
      <c r="A1781" s="115">
        <v>3013210</v>
      </c>
      <c r="B1781" s="115" t="s">
        <v>1709</v>
      </c>
      <c r="C1781" s="117">
        <v>16174.94</v>
      </c>
    </row>
    <row r="1782" spans="1:3" x14ac:dyDescent="0.25">
      <c r="A1782" s="115">
        <v>3013010</v>
      </c>
      <c r="B1782" s="115" t="s">
        <v>1710</v>
      </c>
      <c r="C1782" s="117">
        <v>13796.29</v>
      </c>
    </row>
    <row r="1783" spans="1:3" x14ac:dyDescent="0.25">
      <c r="A1783" s="115">
        <v>3012411</v>
      </c>
      <c r="B1783" s="115" t="s">
        <v>1711</v>
      </c>
      <c r="C1783" s="117">
        <v>2830.91</v>
      </c>
    </row>
    <row r="1784" spans="1:3" x14ac:dyDescent="0.25">
      <c r="A1784" s="115">
        <v>3013000</v>
      </c>
      <c r="B1784" s="115" t="s">
        <v>1712</v>
      </c>
      <c r="C1784" s="117">
        <v>3273.22</v>
      </c>
    </row>
    <row r="1785" spans="1:3" x14ac:dyDescent="0.25">
      <c r="A1785" s="115">
        <v>3019400</v>
      </c>
      <c r="B1785" s="115" t="s">
        <v>1713</v>
      </c>
      <c r="C1785" s="117">
        <v>60537.74</v>
      </c>
    </row>
    <row r="1786" spans="1:3" x14ac:dyDescent="0.25">
      <c r="A1786" s="115">
        <v>3011300</v>
      </c>
      <c r="B1786" s="115" t="s">
        <v>1714</v>
      </c>
      <c r="C1786" s="117">
        <v>28914.62</v>
      </c>
    </row>
    <row r="1787" spans="1:3" x14ac:dyDescent="0.25">
      <c r="A1787" s="115">
        <v>3011203</v>
      </c>
      <c r="B1787" s="115" t="s">
        <v>1715</v>
      </c>
      <c r="C1787" s="117">
        <v>23485.22</v>
      </c>
    </row>
    <row r="1788" spans="1:3" x14ac:dyDescent="0.25">
      <c r="A1788" s="115">
        <v>3011200</v>
      </c>
      <c r="B1788" s="115" t="s">
        <v>1716</v>
      </c>
      <c r="C1788" s="117">
        <v>23485.22</v>
      </c>
    </row>
    <row r="1789" spans="1:3" x14ac:dyDescent="0.25">
      <c r="A1789" s="115">
        <v>3011102</v>
      </c>
      <c r="B1789" s="115" t="s">
        <v>1717</v>
      </c>
      <c r="C1789" s="117">
        <v>3326.14</v>
      </c>
    </row>
    <row r="1790" spans="1:3" x14ac:dyDescent="0.25">
      <c r="A1790" s="115">
        <v>3011100</v>
      </c>
      <c r="B1790" s="115" t="s">
        <v>1718</v>
      </c>
      <c r="C1790" s="117">
        <v>28914.62</v>
      </c>
    </row>
    <row r="1791" spans="1:3" x14ac:dyDescent="0.25">
      <c r="A1791" s="115">
        <v>3011000</v>
      </c>
      <c r="B1791" s="115" t="s">
        <v>1719</v>
      </c>
      <c r="C1791" s="117">
        <v>21460.37</v>
      </c>
    </row>
    <row r="1792" spans="1:3" x14ac:dyDescent="0.25">
      <c r="A1792" s="115">
        <v>3011201</v>
      </c>
      <c r="B1792" s="115" t="s">
        <v>1720</v>
      </c>
      <c r="C1792" s="117">
        <v>23485.22</v>
      </c>
    </row>
    <row r="1793" spans="1:3" x14ac:dyDescent="0.25">
      <c r="A1793" s="115">
        <v>3013424</v>
      </c>
      <c r="B1793" s="115" t="s">
        <v>1721</v>
      </c>
      <c r="C1793" s="117">
        <v>3160.23</v>
      </c>
    </row>
    <row r="1794" spans="1:3" x14ac:dyDescent="0.25">
      <c r="A1794" s="115">
        <v>3155100</v>
      </c>
      <c r="B1794" s="115" t="s">
        <v>1722</v>
      </c>
      <c r="C1794" s="117">
        <v>793.62</v>
      </c>
    </row>
    <row r="1795" spans="1:3" x14ac:dyDescent="0.25">
      <c r="A1795" s="115">
        <v>3153010</v>
      </c>
      <c r="B1795" s="115" t="s">
        <v>1723</v>
      </c>
      <c r="C1795" s="117">
        <v>395.09</v>
      </c>
    </row>
    <row r="1796" spans="1:3" x14ac:dyDescent="0.25">
      <c r="A1796" s="115">
        <v>3153026</v>
      </c>
      <c r="B1796" s="115" t="s">
        <v>1724</v>
      </c>
      <c r="C1796" s="117">
        <v>572.89</v>
      </c>
    </row>
    <row r="1797" spans="1:3" x14ac:dyDescent="0.25">
      <c r="A1797" s="115">
        <v>3152610</v>
      </c>
      <c r="B1797" s="115" t="s">
        <v>1725</v>
      </c>
      <c r="C1797" s="117">
        <v>741.37</v>
      </c>
    </row>
    <row r="1798" spans="1:3" x14ac:dyDescent="0.25">
      <c r="A1798" s="115">
        <v>3152159</v>
      </c>
      <c r="B1798" s="115" t="s">
        <v>1726</v>
      </c>
      <c r="C1798" s="117">
        <v>5442.81</v>
      </c>
    </row>
    <row r="1799" spans="1:3" x14ac:dyDescent="0.25">
      <c r="A1799" s="115">
        <v>3152162</v>
      </c>
      <c r="B1799" s="115" t="s">
        <v>1727</v>
      </c>
      <c r="C1799" s="117">
        <v>7088.52</v>
      </c>
    </row>
    <row r="1800" spans="1:3" x14ac:dyDescent="0.25">
      <c r="A1800" s="115">
        <v>3152010</v>
      </c>
      <c r="B1800" s="115" t="s">
        <v>1728</v>
      </c>
      <c r="C1800" s="117">
        <v>876.93</v>
      </c>
    </row>
    <row r="1801" spans="1:3" x14ac:dyDescent="0.25">
      <c r="A1801" s="115">
        <v>3152021</v>
      </c>
      <c r="B1801" s="115" t="s">
        <v>1729</v>
      </c>
      <c r="C1801" s="117">
        <v>1140.01</v>
      </c>
    </row>
    <row r="1802" spans="1:3" x14ac:dyDescent="0.25">
      <c r="A1802" s="115">
        <v>3152123</v>
      </c>
      <c r="B1802" s="115" t="s">
        <v>1730</v>
      </c>
      <c r="C1802" s="117">
        <v>6916.05</v>
      </c>
    </row>
    <row r="1803" spans="1:3" x14ac:dyDescent="0.25">
      <c r="A1803" s="115">
        <v>3152113</v>
      </c>
      <c r="B1803" s="115" t="s">
        <v>1731</v>
      </c>
      <c r="C1803" s="117">
        <v>11183.78</v>
      </c>
    </row>
    <row r="1804" spans="1:3" x14ac:dyDescent="0.25">
      <c r="A1804" s="115">
        <v>3152106</v>
      </c>
      <c r="B1804" s="115" t="s">
        <v>1732</v>
      </c>
      <c r="C1804" s="117">
        <v>6338.74</v>
      </c>
    </row>
    <row r="1805" spans="1:3" x14ac:dyDescent="0.25">
      <c r="A1805" s="115">
        <v>3152024</v>
      </c>
      <c r="B1805" s="115" t="s">
        <v>1733</v>
      </c>
      <c r="C1805" s="117">
        <v>1483.47</v>
      </c>
    </row>
    <row r="1806" spans="1:3" x14ac:dyDescent="0.25">
      <c r="A1806" s="115">
        <v>3152050</v>
      </c>
      <c r="B1806" s="115" t="s">
        <v>1734</v>
      </c>
      <c r="C1806" s="117">
        <v>1047.93</v>
      </c>
    </row>
    <row r="1807" spans="1:3" x14ac:dyDescent="0.25">
      <c r="A1807" s="115">
        <v>3152100</v>
      </c>
      <c r="B1807" s="115" t="s">
        <v>1735</v>
      </c>
      <c r="C1807" s="117">
        <v>4960.5</v>
      </c>
    </row>
    <row r="1808" spans="1:3" x14ac:dyDescent="0.25">
      <c r="A1808" s="115">
        <v>3152064</v>
      </c>
      <c r="B1808" s="115" t="s">
        <v>1736</v>
      </c>
      <c r="C1808" s="117">
        <v>974.85</v>
      </c>
    </row>
    <row r="1809" spans="1:3" x14ac:dyDescent="0.25">
      <c r="A1809" s="115">
        <v>3152164</v>
      </c>
      <c r="B1809" s="115" t="s">
        <v>1737</v>
      </c>
      <c r="C1809" s="117">
        <v>4614.1099999999997</v>
      </c>
    </row>
    <row r="1810" spans="1:3" x14ac:dyDescent="0.25">
      <c r="A1810" s="115">
        <v>3152206</v>
      </c>
      <c r="B1810" s="115" t="s">
        <v>1738</v>
      </c>
      <c r="C1810" s="117">
        <v>4515.13</v>
      </c>
    </row>
    <row r="1811" spans="1:3" x14ac:dyDescent="0.25">
      <c r="A1811" s="115">
        <v>3152208</v>
      </c>
      <c r="B1811" s="115" t="s">
        <v>1739</v>
      </c>
      <c r="C1811" s="117">
        <v>5887.59</v>
      </c>
    </row>
    <row r="1812" spans="1:3" x14ac:dyDescent="0.25">
      <c r="A1812" s="115">
        <v>3012700</v>
      </c>
      <c r="B1812" s="115" t="s">
        <v>1740</v>
      </c>
      <c r="C1812" s="117">
        <v>16413.849999999999</v>
      </c>
    </row>
    <row r="1813" spans="1:3" x14ac:dyDescent="0.25">
      <c r="A1813" s="115">
        <v>3012800</v>
      </c>
      <c r="B1813" s="115" t="s">
        <v>1741</v>
      </c>
      <c r="C1813" s="117">
        <v>20503.09</v>
      </c>
    </row>
    <row r="1814" spans="1:3" x14ac:dyDescent="0.25">
      <c r="A1814" s="115">
        <v>3984600</v>
      </c>
      <c r="B1814" s="115" t="s">
        <v>1742</v>
      </c>
      <c r="C1814" s="117">
        <v>1995.22</v>
      </c>
    </row>
    <row r="1815" spans="1:3" x14ac:dyDescent="0.25">
      <c r="A1815" s="115">
        <v>3989900</v>
      </c>
      <c r="B1815" s="115" t="s">
        <v>1743</v>
      </c>
      <c r="C1815" s="117">
        <v>4521.84</v>
      </c>
    </row>
    <row r="1816" spans="1:3" x14ac:dyDescent="0.25">
      <c r="A1816" s="115">
        <v>3984000</v>
      </c>
      <c r="B1816" s="115" t="s">
        <v>1744</v>
      </c>
      <c r="C1816" s="117">
        <v>1674.9</v>
      </c>
    </row>
    <row r="1817" spans="1:3" x14ac:dyDescent="0.25">
      <c r="A1817" s="115">
        <v>3984700</v>
      </c>
      <c r="B1817" s="115" t="s">
        <v>1745</v>
      </c>
      <c r="C1817" s="117">
        <v>14257.85</v>
      </c>
    </row>
    <row r="1818" spans="1:3" x14ac:dyDescent="0.25">
      <c r="A1818" s="144" t="s">
        <v>1746</v>
      </c>
      <c r="B1818" s="145"/>
      <c r="C1818" s="145"/>
    </row>
    <row r="1819" spans="1:3" x14ac:dyDescent="0.25">
      <c r="A1819" s="115">
        <v>3041400</v>
      </c>
      <c r="B1819" s="115" t="s">
        <v>1747</v>
      </c>
      <c r="C1819" s="117">
        <v>2181.1</v>
      </c>
    </row>
    <row r="1820" spans="1:3" x14ac:dyDescent="0.25">
      <c r="A1820" s="115">
        <v>3041300</v>
      </c>
      <c r="B1820" s="115" t="s">
        <v>1748</v>
      </c>
      <c r="C1820" s="117">
        <v>1635.35</v>
      </c>
    </row>
    <row r="1821" spans="1:3" x14ac:dyDescent="0.25">
      <c r="A1821" s="115">
        <v>3041000</v>
      </c>
      <c r="B1821" s="115" t="s">
        <v>1749</v>
      </c>
      <c r="C1821" s="117">
        <v>2216.59</v>
      </c>
    </row>
    <row r="1822" spans="1:3" x14ac:dyDescent="0.25">
      <c r="A1822" s="115">
        <v>3041100</v>
      </c>
      <c r="B1822" s="115" t="s">
        <v>1750</v>
      </c>
      <c r="C1822" s="117">
        <v>2712.67</v>
      </c>
    </row>
    <row r="1823" spans="1:3" x14ac:dyDescent="0.25">
      <c r="A1823" s="115">
        <v>3041200</v>
      </c>
      <c r="B1823" s="115" t="s">
        <v>1751</v>
      </c>
      <c r="C1823" s="117">
        <v>4160.51</v>
      </c>
    </row>
    <row r="1824" spans="1:3" x14ac:dyDescent="0.25">
      <c r="A1824" s="115">
        <v>3042000</v>
      </c>
      <c r="B1824" s="115" t="s">
        <v>1752</v>
      </c>
      <c r="C1824" s="117">
        <v>777.45</v>
      </c>
    </row>
    <row r="1825" spans="1:3" x14ac:dyDescent="0.25">
      <c r="A1825" s="115">
        <v>3271200</v>
      </c>
      <c r="B1825" s="115" t="s">
        <v>1753</v>
      </c>
      <c r="C1825" s="117">
        <v>1732.64</v>
      </c>
    </row>
    <row r="1826" spans="1:3" x14ac:dyDescent="0.25">
      <c r="A1826" s="115">
        <v>3271026</v>
      </c>
      <c r="B1826" s="115" t="s">
        <v>1754</v>
      </c>
      <c r="C1826" s="117">
        <v>1882.81</v>
      </c>
    </row>
    <row r="1827" spans="1:3" x14ac:dyDescent="0.25">
      <c r="A1827" s="115">
        <v>3271063</v>
      </c>
      <c r="B1827" s="115" t="s">
        <v>1755</v>
      </c>
      <c r="C1827" s="117">
        <v>1882.81</v>
      </c>
    </row>
    <row r="1828" spans="1:3" x14ac:dyDescent="0.25">
      <c r="A1828" s="115">
        <v>3043000</v>
      </c>
      <c r="B1828" s="115" t="s">
        <v>1756</v>
      </c>
      <c r="C1828" s="117">
        <v>3091.31</v>
      </c>
    </row>
    <row r="1829" spans="1:3" x14ac:dyDescent="0.25">
      <c r="A1829" s="115">
        <v>3275010</v>
      </c>
      <c r="B1829" s="115" t="s">
        <v>1757</v>
      </c>
      <c r="C1829" s="117">
        <v>385.42</v>
      </c>
    </row>
    <row r="1830" spans="1:3" x14ac:dyDescent="0.25">
      <c r="A1830" s="115">
        <v>3275020</v>
      </c>
      <c r="B1830" s="115" t="s">
        <v>1758</v>
      </c>
      <c r="C1830" s="117">
        <v>806.47</v>
      </c>
    </row>
    <row r="1831" spans="1:3" x14ac:dyDescent="0.25">
      <c r="A1831" s="115">
        <v>3704000</v>
      </c>
      <c r="B1831" s="115" t="s">
        <v>1759</v>
      </c>
      <c r="C1831" s="117">
        <v>1184.03</v>
      </c>
    </row>
    <row r="1832" spans="1:3" x14ac:dyDescent="0.25">
      <c r="A1832" s="115">
        <v>3707000</v>
      </c>
      <c r="B1832" s="115" t="s">
        <v>1760</v>
      </c>
      <c r="C1832" s="117">
        <v>7179.69</v>
      </c>
    </row>
    <row r="1833" spans="1:3" x14ac:dyDescent="0.25">
      <c r="A1833" s="115">
        <v>3701663</v>
      </c>
      <c r="B1833" s="115" t="s">
        <v>1761</v>
      </c>
      <c r="C1833" s="117">
        <v>4096.8100000000004</v>
      </c>
    </row>
    <row r="1834" spans="1:3" x14ac:dyDescent="0.25">
      <c r="A1834" s="115">
        <v>3701683</v>
      </c>
      <c r="B1834" s="115" t="s">
        <v>1762</v>
      </c>
      <c r="C1834" s="117">
        <v>5852.59</v>
      </c>
    </row>
    <row r="1835" spans="1:3" x14ac:dyDescent="0.25">
      <c r="A1835" s="115">
        <v>3702029</v>
      </c>
      <c r="B1835" s="115" t="s">
        <v>1763</v>
      </c>
      <c r="C1835" s="117">
        <v>7738.69</v>
      </c>
    </row>
    <row r="1836" spans="1:3" x14ac:dyDescent="0.25">
      <c r="A1836" s="115">
        <v>3702063</v>
      </c>
      <c r="B1836" s="115" t="s">
        <v>1764</v>
      </c>
      <c r="C1836" s="117">
        <v>7738.69</v>
      </c>
    </row>
    <row r="1837" spans="1:3" x14ac:dyDescent="0.25">
      <c r="A1837" s="115">
        <v>3760921</v>
      </c>
      <c r="B1837" s="115" t="s">
        <v>1765</v>
      </c>
      <c r="C1837" s="117">
        <v>1682.04</v>
      </c>
    </row>
    <row r="1838" spans="1:3" x14ac:dyDescent="0.25">
      <c r="A1838" s="115">
        <v>3760926</v>
      </c>
      <c r="B1838" s="115" t="s">
        <v>1766</v>
      </c>
      <c r="C1838" s="117">
        <v>1682.04</v>
      </c>
    </row>
    <row r="1839" spans="1:3" x14ac:dyDescent="0.25">
      <c r="A1839" s="115">
        <v>3760922</v>
      </c>
      <c r="B1839" s="115" t="s">
        <v>1767</v>
      </c>
      <c r="C1839" s="117">
        <v>1682.04</v>
      </c>
    </row>
    <row r="1840" spans="1:3" x14ac:dyDescent="0.25">
      <c r="A1840" s="115">
        <v>3761026</v>
      </c>
      <c r="B1840" s="115" t="s">
        <v>1768</v>
      </c>
      <c r="C1840" s="117">
        <v>1243.24</v>
      </c>
    </row>
    <row r="1841" spans="1:3" x14ac:dyDescent="0.25">
      <c r="A1841" s="115">
        <v>3761029</v>
      </c>
      <c r="B1841" s="115" t="s">
        <v>1769</v>
      </c>
      <c r="C1841" s="117">
        <v>870.27</v>
      </c>
    </row>
    <row r="1842" spans="1:3" x14ac:dyDescent="0.25">
      <c r="A1842" s="115">
        <v>3761025</v>
      </c>
      <c r="B1842" s="115" t="s">
        <v>1770</v>
      </c>
      <c r="C1842" s="117">
        <v>870.27</v>
      </c>
    </row>
    <row r="1843" spans="1:3" x14ac:dyDescent="0.25">
      <c r="A1843" s="115">
        <v>3761063</v>
      </c>
      <c r="B1843" s="115" t="s">
        <v>1771</v>
      </c>
      <c r="C1843" s="117">
        <v>1243.24</v>
      </c>
    </row>
    <row r="1844" spans="1:3" x14ac:dyDescent="0.25">
      <c r="A1844" s="115">
        <v>3761076</v>
      </c>
      <c r="B1844" s="115" t="s">
        <v>1772</v>
      </c>
      <c r="C1844" s="117">
        <v>870.27</v>
      </c>
    </row>
    <row r="1845" spans="1:3" x14ac:dyDescent="0.25">
      <c r="A1845" s="115">
        <v>3761083</v>
      </c>
      <c r="B1845" s="115" t="s">
        <v>1773</v>
      </c>
      <c r="C1845" s="117">
        <v>870.27</v>
      </c>
    </row>
    <row r="1846" spans="1:3" x14ac:dyDescent="0.25">
      <c r="A1846" s="115">
        <v>3761226</v>
      </c>
      <c r="B1846" s="115" t="s">
        <v>1774</v>
      </c>
      <c r="C1846" s="117">
        <v>595.66</v>
      </c>
    </row>
    <row r="1847" spans="1:3" x14ac:dyDescent="0.25">
      <c r="A1847" s="115">
        <v>3761225</v>
      </c>
      <c r="B1847" s="115" t="s">
        <v>1775</v>
      </c>
      <c r="C1847" s="117">
        <v>595.66</v>
      </c>
    </row>
    <row r="1848" spans="1:3" x14ac:dyDescent="0.25">
      <c r="A1848" s="115">
        <v>3761336</v>
      </c>
      <c r="B1848" s="115" t="s">
        <v>1776</v>
      </c>
      <c r="C1848" s="117">
        <v>990.53</v>
      </c>
    </row>
    <row r="1849" spans="1:3" x14ac:dyDescent="0.25">
      <c r="A1849" s="115">
        <v>3761263</v>
      </c>
      <c r="B1849" s="115" t="s">
        <v>1777</v>
      </c>
      <c r="C1849" s="117">
        <v>595.66</v>
      </c>
    </row>
    <row r="1850" spans="1:3" x14ac:dyDescent="0.25">
      <c r="A1850" s="115">
        <v>3761375</v>
      </c>
      <c r="B1850" s="115" t="s">
        <v>1778</v>
      </c>
      <c r="C1850" s="117">
        <v>990.53</v>
      </c>
    </row>
    <row r="1851" spans="1:3" x14ac:dyDescent="0.25">
      <c r="A1851" s="115">
        <v>3761276</v>
      </c>
      <c r="B1851" s="115" t="s">
        <v>1779</v>
      </c>
      <c r="C1851" s="117">
        <v>595.66</v>
      </c>
    </row>
    <row r="1852" spans="1:3" x14ac:dyDescent="0.25">
      <c r="A1852" s="115">
        <v>3761283</v>
      </c>
      <c r="B1852" s="115" t="s">
        <v>1780</v>
      </c>
      <c r="C1852" s="117">
        <v>595.66</v>
      </c>
    </row>
    <row r="1853" spans="1:3" x14ac:dyDescent="0.25">
      <c r="A1853" s="115">
        <v>3761284</v>
      </c>
      <c r="B1853" s="115" t="s">
        <v>1781</v>
      </c>
      <c r="C1853" s="117">
        <v>595.66</v>
      </c>
    </row>
    <row r="1854" spans="1:3" x14ac:dyDescent="0.25">
      <c r="A1854" s="115">
        <v>3761229</v>
      </c>
      <c r="B1854" s="115" t="s">
        <v>1782</v>
      </c>
      <c r="C1854" s="117">
        <v>595.66</v>
      </c>
    </row>
    <row r="1855" spans="1:3" x14ac:dyDescent="0.25">
      <c r="A1855" s="115">
        <v>3762163</v>
      </c>
      <c r="B1855" s="115" t="s">
        <v>1783</v>
      </c>
      <c r="C1855" s="117">
        <v>25987.94</v>
      </c>
    </row>
    <row r="1856" spans="1:3" x14ac:dyDescent="0.25">
      <c r="A1856" s="115">
        <v>3763028</v>
      </c>
      <c r="B1856" s="115" t="s">
        <v>1784</v>
      </c>
      <c r="C1856" s="117">
        <v>1467.92</v>
      </c>
    </row>
    <row r="1857" spans="1:3" x14ac:dyDescent="0.25">
      <c r="A1857" s="115">
        <v>3763074</v>
      </c>
      <c r="B1857" s="115" t="s">
        <v>1785</v>
      </c>
      <c r="C1857" s="117">
        <v>1467.92</v>
      </c>
    </row>
    <row r="1858" spans="1:3" x14ac:dyDescent="0.25">
      <c r="A1858" s="115">
        <v>3763077</v>
      </c>
      <c r="B1858" s="115" t="s">
        <v>1786</v>
      </c>
      <c r="C1858" s="117">
        <v>1467.92</v>
      </c>
    </row>
    <row r="1859" spans="1:3" x14ac:dyDescent="0.25">
      <c r="A1859" s="115">
        <v>3763084</v>
      </c>
      <c r="B1859" s="115" t="s">
        <v>1787</v>
      </c>
      <c r="C1859" s="117">
        <v>1467.92</v>
      </c>
    </row>
    <row r="1860" spans="1:3" x14ac:dyDescent="0.25">
      <c r="A1860" s="115">
        <v>3763029</v>
      </c>
      <c r="B1860" s="115" t="s">
        <v>1788</v>
      </c>
      <c r="C1860" s="117">
        <v>3229.25</v>
      </c>
    </row>
    <row r="1861" spans="1:3" x14ac:dyDescent="0.25">
      <c r="A1861" s="115">
        <v>3763063</v>
      </c>
      <c r="B1861" s="115" t="s">
        <v>1789</v>
      </c>
      <c r="C1861" s="117">
        <v>3229.25</v>
      </c>
    </row>
    <row r="1862" spans="1:3" x14ac:dyDescent="0.25">
      <c r="A1862" s="115">
        <v>3763076</v>
      </c>
      <c r="B1862" s="115" t="s">
        <v>1790</v>
      </c>
      <c r="C1862" s="117">
        <v>3229.25</v>
      </c>
    </row>
    <row r="1863" spans="1:3" x14ac:dyDescent="0.25">
      <c r="A1863" s="115">
        <v>3763083</v>
      </c>
      <c r="B1863" s="115" t="s">
        <v>1791</v>
      </c>
      <c r="C1863" s="117">
        <v>3229.25</v>
      </c>
    </row>
    <row r="1864" spans="1:3" x14ac:dyDescent="0.25">
      <c r="A1864" s="115">
        <v>3761129</v>
      </c>
      <c r="B1864" s="115" t="s">
        <v>1792</v>
      </c>
      <c r="C1864" s="117">
        <v>857.34</v>
      </c>
    </row>
    <row r="1865" spans="1:3" x14ac:dyDescent="0.25">
      <c r="A1865" s="115">
        <v>3761163</v>
      </c>
      <c r="B1865" s="115" t="s">
        <v>1793</v>
      </c>
      <c r="C1865" s="117">
        <v>857.34</v>
      </c>
    </row>
    <row r="1866" spans="1:3" x14ac:dyDescent="0.25">
      <c r="A1866" s="115">
        <v>3761829</v>
      </c>
      <c r="B1866" s="115" t="s">
        <v>1794</v>
      </c>
      <c r="C1866" s="117">
        <v>1188.97</v>
      </c>
    </row>
    <row r="1867" spans="1:3" x14ac:dyDescent="0.25">
      <c r="A1867" s="115">
        <v>3761830</v>
      </c>
      <c r="B1867" s="115" t="s">
        <v>1795</v>
      </c>
      <c r="C1867" s="117">
        <v>1426.76</v>
      </c>
    </row>
    <row r="1868" spans="1:3" x14ac:dyDescent="0.25">
      <c r="A1868" s="115">
        <v>3761863</v>
      </c>
      <c r="B1868" s="115" t="s">
        <v>1796</v>
      </c>
      <c r="C1868" s="117">
        <v>1188.97</v>
      </c>
    </row>
    <row r="1869" spans="1:3" x14ac:dyDescent="0.25">
      <c r="A1869" s="115">
        <v>3761876</v>
      </c>
      <c r="B1869" s="115" t="s">
        <v>1797</v>
      </c>
      <c r="C1869" s="117">
        <v>1188.97</v>
      </c>
    </row>
    <row r="1870" spans="1:3" x14ac:dyDescent="0.25">
      <c r="A1870" s="115">
        <v>3761884</v>
      </c>
      <c r="B1870" s="115" t="s">
        <v>1798</v>
      </c>
      <c r="C1870" s="117">
        <v>998.73</v>
      </c>
    </row>
    <row r="1871" spans="1:3" x14ac:dyDescent="0.25">
      <c r="A1871" s="115">
        <v>3761929</v>
      </c>
      <c r="B1871" s="115" t="s">
        <v>1799</v>
      </c>
      <c r="C1871" s="117">
        <v>1654.5</v>
      </c>
    </row>
    <row r="1872" spans="1:3" x14ac:dyDescent="0.25">
      <c r="A1872" s="115">
        <v>3761963</v>
      </c>
      <c r="B1872" s="115" t="s">
        <v>1800</v>
      </c>
      <c r="C1872" s="117">
        <v>1654.5</v>
      </c>
    </row>
    <row r="1873" spans="1:3" x14ac:dyDescent="0.25">
      <c r="A1873" s="115">
        <v>3761976</v>
      </c>
      <c r="B1873" s="115" t="s">
        <v>1801</v>
      </c>
      <c r="C1873" s="117">
        <v>1654.5</v>
      </c>
    </row>
    <row r="1874" spans="1:3" x14ac:dyDescent="0.25">
      <c r="A1874" s="115">
        <v>3761983</v>
      </c>
      <c r="B1874" s="115" t="s">
        <v>1802</v>
      </c>
      <c r="C1874" s="117">
        <v>1654.5</v>
      </c>
    </row>
    <row r="1875" spans="1:3" x14ac:dyDescent="0.25">
      <c r="A1875" s="115">
        <v>3761984</v>
      </c>
      <c r="B1875" s="115" t="s">
        <v>1803</v>
      </c>
      <c r="C1875" s="117">
        <v>1654.5</v>
      </c>
    </row>
    <row r="1876" spans="1:3" x14ac:dyDescent="0.25">
      <c r="A1876" s="144" t="s">
        <v>1804</v>
      </c>
      <c r="B1876" s="145"/>
      <c r="C1876" s="145"/>
    </row>
    <row r="1877" spans="1:3" x14ac:dyDescent="0.25">
      <c r="A1877" s="115">
        <v>3581000</v>
      </c>
      <c r="B1877" s="115" t="s">
        <v>1805</v>
      </c>
      <c r="C1877" s="117">
        <v>12961.64</v>
      </c>
    </row>
    <row r="1878" spans="1:3" x14ac:dyDescent="0.25">
      <c r="A1878" s="115">
        <v>3583078</v>
      </c>
      <c r="B1878" s="115" t="s">
        <v>1806</v>
      </c>
      <c r="C1878" s="117">
        <v>14272.54</v>
      </c>
    </row>
    <row r="1879" spans="1:3" x14ac:dyDescent="0.25">
      <c r="A1879" s="115">
        <v>3583079</v>
      </c>
      <c r="B1879" s="115" t="s">
        <v>1807</v>
      </c>
      <c r="C1879" s="117">
        <v>27661.31</v>
      </c>
    </row>
    <row r="1880" spans="1:3" x14ac:dyDescent="0.25">
      <c r="A1880" s="115">
        <v>3583086</v>
      </c>
      <c r="B1880" s="115" t="s">
        <v>1808</v>
      </c>
      <c r="C1880" s="117">
        <v>31553.3</v>
      </c>
    </row>
    <row r="1881" spans="1:3" x14ac:dyDescent="0.25">
      <c r="A1881" s="115">
        <v>3583083</v>
      </c>
      <c r="B1881" s="115" t="s">
        <v>1809</v>
      </c>
      <c r="C1881" s="117">
        <v>22087.31</v>
      </c>
    </row>
    <row r="1882" spans="1:3" x14ac:dyDescent="0.25">
      <c r="A1882" s="115">
        <v>3583088</v>
      </c>
      <c r="B1882" s="115" t="s">
        <v>1810</v>
      </c>
      <c r="C1882" s="117">
        <v>14654.37</v>
      </c>
    </row>
    <row r="1883" spans="1:3" x14ac:dyDescent="0.25">
      <c r="A1883" s="115">
        <v>3583075</v>
      </c>
      <c r="B1883" s="115" t="s">
        <v>1811</v>
      </c>
      <c r="C1883" s="117">
        <v>5006.1499999999996</v>
      </c>
    </row>
    <row r="1884" spans="1:3" x14ac:dyDescent="0.25">
      <c r="A1884" s="115">
        <v>3583074</v>
      </c>
      <c r="B1884" s="115" t="s">
        <v>1812</v>
      </c>
      <c r="C1884" s="117">
        <v>5006.1499999999996</v>
      </c>
    </row>
    <row r="1885" spans="1:3" x14ac:dyDescent="0.25">
      <c r="A1885" s="115">
        <v>3583076</v>
      </c>
      <c r="B1885" s="115" t="s">
        <v>1813</v>
      </c>
      <c r="C1885" s="117">
        <v>5006.1499999999996</v>
      </c>
    </row>
    <row r="1886" spans="1:3" x14ac:dyDescent="0.25">
      <c r="A1886" s="115">
        <v>3583067</v>
      </c>
      <c r="B1886" s="115" t="s">
        <v>1814</v>
      </c>
      <c r="C1886" s="117">
        <v>5006.1499999999996</v>
      </c>
    </row>
    <row r="1887" spans="1:3" x14ac:dyDescent="0.25">
      <c r="A1887" s="115">
        <v>3583063</v>
      </c>
      <c r="B1887" s="115" t="s">
        <v>1815</v>
      </c>
      <c r="C1887" s="117">
        <v>5006.1499999999996</v>
      </c>
    </row>
    <row r="1888" spans="1:3" x14ac:dyDescent="0.25">
      <c r="A1888" s="115">
        <v>3583061</v>
      </c>
      <c r="B1888" s="115" t="s">
        <v>1816</v>
      </c>
      <c r="C1888" s="117">
        <v>3504.3</v>
      </c>
    </row>
    <row r="1889" spans="1:3" x14ac:dyDescent="0.25">
      <c r="A1889" s="115">
        <v>3582521</v>
      </c>
      <c r="B1889" s="115" t="s">
        <v>1817</v>
      </c>
      <c r="C1889" s="117">
        <v>3504.3</v>
      </c>
    </row>
    <row r="1890" spans="1:3" x14ac:dyDescent="0.25">
      <c r="A1890" s="115">
        <v>3582504</v>
      </c>
      <c r="B1890" s="115" t="s">
        <v>1818</v>
      </c>
      <c r="C1890" s="117">
        <v>7640.47</v>
      </c>
    </row>
    <row r="1891" spans="1:3" x14ac:dyDescent="0.25">
      <c r="A1891" s="115">
        <v>3582506</v>
      </c>
      <c r="B1891" s="115" t="s">
        <v>1819</v>
      </c>
      <c r="C1891" s="117">
        <v>7640.47</v>
      </c>
    </row>
    <row r="1892" spans="1:3" x14ac:dyDescent="0.25">
      <c r="A1892" s="115">
        <v>3582503</v>
      </c>
      <c r="B1892" s="115" t="s">
        <v>1820</v>
      </c>
      <c r="C1892" s="117">
        <v>7640.47</v>
      </c>
    </row>
    <row r="1893" spans="1:3" x14ac:dyDescent="0.25">
      <c r="A1893" s="115">
        <v>3583207</v>
      </c>
      <c r="B1893" s="115" t="s">
        <v>1821</v>
      </c>
      <c r="C1893" s="117">
        <v>13330.23</v>
      </c>
    </row>
    <row r="1894" spans="1:3" x14ac:dyDescent="0.25">
      <c r="A1894" s="115">
        <v>3583210</v>
      </c>
      <c r="B1894" s="115" t="s">
        <v>1822</v>
      </c>
      <c r="C1894" s="117">
        <v>9331.16</v>
      </c>
    </row>
    <row r="1895" spans="1:3" x14ac:dyDescent="0.25">
      <c r="A1895" s="115">
        <v>3583300</v>
      </c>
      <c r="B1895" s="115" t="s">
        <v>1823</v>
      </c>
      <c r="C1895" s="117">
        <v>5965.46</v>
      </c>
    </row>
    <row r="1896" spans="1:3" x14ac:dyDescent="0.25">
      <c r="A1896" s="115">
        <v>3582428</v>
      </c>
      <c r="B1896" s="115" t="s">
        <v>1824</v>
      </c>
      <c r="C1896" s="117">
        <v>3634.86</v>
      </c>
    </row>
    <row r="1897" spans="1:3" x14ac:dyDescent="0.25">
      <c r="A1897" s="115">
        <v>3582448</v>
      </c>
      <c r="B1897" s="115" t="s">
        <v>1825</v>
      </c>
      <c r="C1897" s="117">
        <v>3634.86</v>
      </c>
    </row>
    <row r="1898" spans="1:3" x14ac:dyDescent="0.25">
      <c r="A1898" s="115">
        <v>3582400</v>
      </c>
      <c r="B1898" s="115" t="s">
        <v>1826</v>
      </c>
      <c r="C1898" s="117">
        <v>2943.44</v>
      </c>
    </row>
    <row r="1899" spans="1:3" x14ac:dyDescent="0.25">
      <c r="A1899" s="115">
        <v>3582210</v>
      </c>
      <c r="B1899" s="115" t="s">
        <v>1827</v>
      </c>
      <c r="C1899" s="117">
        <v>3990.44</v>
      </c>
    </row>
    <row r="1900" spans="1:3" x14ac:dyDescent="0.25">
      <c r="A1900" s="115">
        <v>3582220</v>
      </c>
      <c r="B1900" s="115" t="s">
        <v>1828</v>
      </c>
      <c r="C1900" s="117">
        <v>7684.56</v>
      </c>
    </row>
    <row r="1901" spans="1:3" x14ac:dyDescent="0.25">
      <c r="A1901" s="115">
        <v>3581500</v>
      </c>
      <c r="B1901" s="115" t="s">
        <v>1829</v>
      </c>
      <c r="C1901" s="117">
        <v>7672.73</v>
      </c>
    </row>
    <row r="1902" spans="1:3" x14ac:dyDescent="0.25">
      <c r="A1902" s="115">
        <v>3581600</v>
      </c>
      <c r="B1902" s="115" t="s">
        <v>1830</v>
      </c>
      <c r="C1902" s="117">
        <v>13274.44</v>
      </c>
    </row>
    <row r="1903" spans="1:3" x14ac:dyDescent="0.25">
      <c r="A1903" s="115">
        <v>3581800</v>
      </c>
      <c r="B1903" s="115" t="s">
        <v>1831</v>
      </c>
      <c r="C1903" s="117">
        <v>30523.99</v>
      </c>
    </row>
    <row r="1904" spans="1:3" x14ac:dyDescent="0.25">
      <c r="A1904" s="115">
        <v>3581900</v>
      </c>
      <c r="B1904" s="115" t="s">
        <v>1832</v>
      </c>
      <c r="C1904" s="117">
        <v>67512.070000000007</v>
      </c>
    </row>
    <row r="1905" spans="1:3" x14ac:dyDescent="0.25">
      <c r="A1905" s="115">
        <v>3581400</v>
      </c>
      <c r="B1905" s="115" t="s">
        <v>1833</v>
      </c>
      <c r="C1905" s="117">
        <v>5163.04</v>
      </c>
    </row>
    <row r="1906" spans="1:3" x14ac:dyDescent="0.25">
      <c r="A1906" s="115">
        <v>3581100</v>
      </c>
      <c r="B1906" s="115" t="s">
        <v>1834</v>
      </c>
      <c r="C1906" s="117">
        <v>13515.04</v>
      </c>
    </row>
    <row r="1907" spans="1:3" x14ac:dyDescent="0.25">
      <c r="A1907" s="115">
        <v>3581300</v>
      </c>
      <c r="B1907" s="115" t="s">
        <v>1835</v>
      </c>
      <c r="C1907" s="117">
        <v>19717.509999999998</v>
      </c>
    </row>
    <row r="1908" spans="1:3" x14ac:dyDescent="0.25">
      <c r="A1908" s="115">
        <v>3589000</v>
      </c>
      <c r="B1908" s="115" t="s">
        <v>1836</v>
      </c>
      <c r="C1908" s="117">
        <v>22845.33</v>
      </c>
    </row>
    <row r="1909" spans="1:3" x14ac:dyDescent="0.25">
      <c r="A1909" s="144" t="s">
        <v>1837</v>
      </c>
      <c r="B1909" s="145"/>
      <c r="C1909" s="145"/>
    </row>
    <row r="1910" spans="1:3" x14ac:dyDescent="0.25">
      <c r="A1910" s="115">
        <v>3051500</v>
      </c>
      <c r="B1910" s="115" t="s">
        <v>1838</v>
      </c>
      <c r="C1910" s="117">
        <v>91.76</v>
      </c>
    </row>
    <row r="1911" spans="1:3" x14ac:dyDescent="0.25">
      <c r="A1911" s="115">
        <v>3051600</v>
      </c>
      <c r="B1911" s="115" t="s">
        <v>1839</v>
      </c>
      <c r="C1911" s="117">
        <v>125.03</v>
      </c>
    </row>
    <row r="1912" spans="1:3" x14ac:dyDescent="0.25">
      <c r="A1912" s="115">
        <v>3051800</v>
      </c>
      <c r="B1912" s="115" t="s">
        <v>1840</v>
      </c>
      <c r="C1912" s="117">
        <v>207.63</v>
      </c>
    </row>
    <row r="1913" spans="1:3" x14ac:dyDescent="0.25">
      <c r="A1913" s="115">
        <v>3051700</v>
      </c>
      <c r="B1913" s="115" t="s">
        <v>1841</v>
      </c>
      <c r="C1913" s="117">
        <v>311.19</v>
      </c>
    </row>
    <row r="1914" spans="1:3" x14ac:dyDescent="0.25">
      <c r="A1914" s="115">
        <v>3051400</v>
      </c>
      <c r="B1914" s="115" t="s">
        <v>1842</v>
      </c>
      <c r="C1914" s="117">
        <v>703.51</v>
      </c>
    </row>
    <row r="1915" spans="1:3" x14ac:dyDescent="0.25">
      <c r="A1915" s="115">
        <v>3051099</v>
      </c>
      <c r="B1915" s="115" t="s">
        <v>1843</v>
      </c>
      <c r="C1915" s="117">
        <v>959.45</v>
      </c>
    </row>
    <row r="1916" spans="1:3" x14ac:dyDescent="0.25">
      <c r="A1916" s="115">
        <v>3051040</v>
      </c>
      <c r="B1916" s="115" t="s">
        <v>1844</v>
      </c>
      <c r="C1916" s="117">
        <v>392.77</v>
      </c>
    </row>
    <row r="1917" spans="1:3" x14ac:dyDescent="0.25">
      <c r="A1917" s="115">
        <v>3051055</v>
      </c>
      <c r="B1917" s="115" t="s">
        <v>1845</v>
      </c>
      <c r="C1917" s="117">
        <v>464.73</v>
      </c>
    </row>
    <row r="1918" spans="1:3" x14ac:dyDescent="0.25">
      <c r="A1918" s="115">
        <v>3051075</v>
      </c>
      <c r="B1918" s="115" t="s">
        <v>1846</v>
      </c>
      <c r="C1918" s="117">
        <v>632.63</v>
      </c>
    </row>
    <row r="1919" spans="1:3" x14ac:dyDescent="0.25">
      <c r="A1919" s="115">
        <v>3981000</v>
      </c>
      <c r="B1919" s="115" t="s">
        <v>1847</v>
      </c>
      <c r="C1919" s="117">
        <v>3865.19</v>
      </c>
    </row>
    <row r="1920" spans="1:3" x14ac:dyDescent="0.25">
      <c r="A1920" s="115">
        <v>3982700</v>
      </c>
      <c r="B1920" s="115" t="s">
        <v>1848</v>
      </c>
      <c r="C1920" s="117">
        <v>14390.58</v>
      </c>
    </row>
    <row r="1921" spans="1:3" x14ac:dyDescent="0.25">
      <c r="A1921" s="115">
        <v>3981200</v>
      </c>
      <c r="B1921" s="115" t="s">
        <v>1849</v>
      </c>
      <c r="C1921" s="117">
        <v>22392.98</v>
      </c>
    </row>
    <row r="1922" spans="1:3" x14ac:dyDescent="0.25">
      <c r="A1922" s="115">
        <v>3981102</v>
      </c>
      <c r="B1922" s="115" t="s">
        <v>1850</v>
      </c>
      <c r="C1922" s="117">
        <v>5300.31</v>
      </c>
    </row>
    <row r="1923" spans="1:3" x14ac:dyDescent="0.25">
      <c r="A1923" s="115">
        <v>3981100</v>
      </c>
      <c r="B1923" s="115" t="s">
        <v>1851</v>
      </c>
      <c r="C1923" s="117">
        <v>5300.31</v>
      </c>
    </row>
    <row r="1924" spans="1:3" x14ac:dyDescent="0.25">
      <c r="A1924" s="115">
        <v>3984300</v>
      </c>
      <c r="B1924" s="115" t="s">
        <v>1852</v>
      </c>
      <c r="C1924" s="117">
        <v>1288.6300000000001</v>
      </c>
    </row>
    <row r="1925" spans="1:3" x14ac:dyDescent="0.25">
      <c r="A1925" s="115">
        <v>3980200</v>
      </c>
      <c r="B1925" s="115" t="s">
        <v>1853</v>
      </c>
      <c r="C1925" s="117">
        <v>17059.93</v>
      </c>
    </row>
    <row r="1926" spans="1:3" x14ac:dyDescent="0.25">
      <c r="A1926" s="115">
        <v>3981500</v>
      </c>
      <c r="B1926" s="115" t="s">
        <v>1854</v>
      </c>
      <c r="C1926" s="117">
        <v>4405.78</v>
      </c>
    </row>
    <row r="1927" spans="1:3" x14ac:dyDescent="0.25">
      <c r="A1927" s="115">
        <v>4561400</v>
      </c>
      <c r="B1927" s="115" t="s">
        <v>1855</v>
      </c>
      <c r="C1927" s="117">
        <v>535.07000000000005</v>
      </c>
    </row>
    <row r="1928" spans="1:3" x14ac:dyDescent="0.25">
      <c r="A1928" s="115">
        <v>4561500</v>
      </c>
      <c r="B1928" s="115" t="s">
        <v>1856</v>
      </c>
      <c r="C1928" s="117">
        <v>898.08</v>
      </c>
    </row>
    <row r="1929" spans="1:3" x14ac:dyDescent="0.25">
      <c r="A1929" s="115">
        <v>3989804</v>
      </c>
      <c r="B1929" s="115" t="s">
        <v>1857</v>
      </c>
      <c r="C1929" s="117">
        <v>15313.54</v>
      </c>
    </row>
    <row r="1930" spans="1:3" x14ac:dyDescent="0.25">
      <c r="A1930" s="115">
        <v>3989806</v>
      </c>
      <c r="B1930" s="115" t="s">
        <v>1858</v>
      </c>
      <c r="C1930" s="117">
        <v>10719.48</v>
      </c>
    </row>
    <row r="1931" spans="1:3" x14ac:dyDescent="0.25">
      <c r="A1931" s="115">
        <v>3989805</v>
      </c>
      <c r="B1931" s="115" t="s">
        <v>1859</v>
      </c>
      <c r="C1931" s="117">
        <v>10719.48</v>
      </c>
    </row>
    <row r="1932" spans="1:3" x14ac:dyDescent="0.25">
      <c r="A1932" s="115">
        <v>3986000</v>
      </c>
      <c r="B1932" s="115" t="s">
        <v>1860</v>
      </c>
      <c r="C1932" s="117">
        <v>2767.43</v>
      </c>
    </row>
    <row r="1933" spans="1:3" x14ac:dyDescent="0.25">
      <c r="A1933" s="115">
        <v>3981703</v>
      </c>
      <c r="B1933" s="115" t="s">
        <v>1861</v>
      </c>
      <c r="C1933" s="117">
        <v>10298.879999999999</v>
      </c>
    </row>
    <row r="1934" spans="1:3" x14ac:dyDescent="0.25">
      <c r="A1934" s="115">
        <v>3989600</v>
      </c>
      <c r="B1934" s="115" t="s">
        <v>1862</v>
      </c>
      <c r="C1934" s="117">
        <v>208.54</v>
      </c>
    </row>
    <row r="1935" spans="1:3" x14ac:dyDescent="0.25">
      <c r="A1935" s="115">
        <v>3989300</v>
      </c>
      <c r="B1935" s="115" t="s">
        <v>1863</v>
      </c>
      <c r="C1935" s="117">
        <v>1127.47</v>
      </c>
    </row>
    <row r="1936" spans="1:3" x14ac:dyDescent="0.25">
      <c r="A1936" s="115">
        <v>3989500</v>
      </c>
      <c r="B1936" s="115" t="s">
        <v>1864</v>
      </c>
      <c r="C1936" s="117">
        <v>1143.9100000000001</v>
      </c>
    </row>
    <row r="1937" spans="1:3" x14ac:dyDescent="0.25">
      <c r="A1937" s="115">
        <v>3985501</v>
      </c>
      <c r="B1937" s="115" t="s">
        <v>1865</v>
      </c>
      <c r="C1937" s="117">
        <v>4023.87</v>
      </c>
    </row>
    <row r="1938" spans="1:3" x14ac:dyDescent="0.25">
      <c r="A1938" s="115">
        <v>3980375</v>
      </c>
      <c r="B1938" s="115" t="s">
        <v>1866</v>
      </c>
      <c r="C1938" s="117">
        <v>8189.61</v>
      </c>
    </row>
    <row r="1939" spans="1:3" x14ac:dyDescent="0.25">
      <c r="A1939" s="115">
        <v>3980210</v>
      </c>
      <c r="B1939" s="115" t="s">
        <v>1867</v>
      </c>
      <c r="C1939" s="117">
        <v>11157.89</v>
      </c>
    </row>
    <row r="1940" spans="1:3" x14ac:dyDescent="0.25">
      <c r="A1940" s="115">
        <v>3982902</v>
      </c>
      <c r="B1940" s="115" t="s">
        <v>1868</v>
      </c>
      <c r="C1940" s="117">
        <v>682.67</v>
      </c>
    </row>
    <row r="1941" spans="1:3" x14ac:dyDescent="0.25">
      <c r="A1941" s="115">
        <v>3980353</v>
      </c>
      <c r="B1941" s="115" t="s">
        <v>1869</v>
      </c>
      <c r="C1941" s="117">
        <v>3122.58</v>
      </c>
    </row>
    <row r="1942" spans="1:3" x14ac:dyDescent="0.25">
      <c r="A1942" s="115">
        <v>3985000</v>
      </c>
      <c r="B1942" s="115" t="s">
        <v>1870</v>
      </c>
      <c r="C1942" s="117">
        <v>4619.03</v>
      </c>
    </row>
    <row r="1943" spans="1:3" x14ac:dyDescent="0.25">
      <c r="A1943" s="115">
        <v>3980372</v>
      </c>
      <c r="B1943" s="115" t="s">
        <v>1871</v>
      </c>
      <c r="C1943" s="117">
        <v>3122.5</v>
      </c>
    </row>
    <row r="1944" spans="1:3" x14ac:dyDescent="0.25">
      <c r="A1944" s="115">
        <v>3491400</v>
      </c>
      <c r="B1944" s="115" t="s">
        <v>1872</v>
      </c>
      <c r="C1944" s="117">
        <v>4318.7700000000004</v>
      </c>
    </row>
    <row r="1945" spans="1:3" x14ac:dyDescent="0.25">
      <c r="A1945" s="115">
        <v>3491200</v>
      </c>
      <c r="B1945" s="115" t="s">
        <v>1873</v>
      </c>
      <c r="C1945" s="117">
        <v>1146.0999999999999</v>
      </c>
    </row>
    <row r="1946" spans="1:3" x14ac:dyDescent="0.25">
      <c r="A1946" s="115">
        <v>3491500</v>
      </c>
      <c r="B1946" s="115" t="s">
        <v>1874</v>
      </c>
      <c r="C1946" s="117">
        <v>1918.61</v>
      </c>
    </row>
    <row r="1947" spans="1:3" x14ac:dyDescent="0.25">
      <c r="A1947" s="115">
        <v>3982801</v>
      </c>
      <c r="B1947" s="115" t="s">
        <v>1875</v>
      </c>
      <c r="C1947" s="117">
        <v>5919.53</v>
      </c>
    </row>
    <row r="1948" spans="1:3" x14ac:dyDescent="0.25">
      <c r="A1948" s="115">
        <v>3982800</v>
      </c>
      <c r="B1948" s="115" t="s">
        <v>1876</v>
      </c>
      <c r="C1948" s="117">
        <v>7514.51</v>
      </c>
    </row>
    <row r="1949" spans="1:3" x14ac:dyDescent="0.25">
      <c r="A1949" s="144" t="s">
        <v>1877</v>
      </c>
      <c r="B1949" s="145"/>
      <c r="C1949" s="145"/>
    </row>
    <row r="1950" spans="1:3" x14ac:dyDescent="0.25">
      <c r="A1950" s="115">
        <v>3655036</v>
      </c>
      <c r="B1950" s="115" t="s">
        <v>1878</v>
      </c>
      <c r="C1950" s="117">
        <v>92.39</v>
      </c>
    </row>
    <row r="1951" spans="1:3" x14ac:dyDescent="0.25">
      <c r="A1951" s="115">
        <v>3655020</v>
      </c>
      <c r="B1951" s="115" t="s">
        <v>1879</v>
      </c>
      <c r="C1951" s="117">
        <v>363.48</v>
      </c>
    </row>
    <row r="1952" spans="1:3" x14ac:dyDescent="0.25">
      <c r="A1952" s="115">
        <v>3655001</v>
      </c>
      <c r="B1952" s="115" t="s">
        <v>1880</v>
      </c>
      <c r="C1952" s="117">
        <v>2468.87</v>
      </c>
    </row>
    <row r="1953" spans="1:3" x14ac:dyDescent="0.25">
      <c r="A1953" s="115">
        <v>3655000</v>
      </c>
      <c r="B1953" s="115" t="s">
        <v>1881</v>
      </c>
      <c r="C1953" s="117">
        <v>2571.81</v>
      </c>
    </row>
    <row r="1954" spans="1:3" x14ac:dyDescent="0.25">
      <c r="A1954" s="115">
        <v>3655021</v>
      </c>
      <c r="B1954" s="115" t="s">
        <v>1882</v>
      </c>
      <c r="C1954" s="117">
        <v>635.73</v>
      </c>
    </row>
    <row r="1955" spans="1:3" x14ac:dyDescent="0.25">
      <c r="A1955" s="115">
        <v>3655010</v>
      </c>
      <c r="B1955" s="115" t="s">
        <v>1883</v>
      </c>
      <c r="C1955" s="117">
        <v>1748.94</v>
      </c>
    </row>
    <row r="1956" spans="1:3" x14ac:dyDescent="0.25">
      <c r="A1956" s="115">
        <v>3655002</v>
      </c>
      <c r="B1956" s="115" t="s">
        <v>1884</v>
      </c>
      <c r="C1956" s="117">
        <v>55.99</v>
      </c>
    </row>
    <row r="1957" spans="1:3" x14ac:dyDescent="0.25">
      <c r="A1957" s="115">
        <v>3655038</v>
      </c>
      <c r="B1957" s="115" t="s">
        <v>1885</v>
      </c>
      <c r="C1957" s="117">
        <v>1798.76</v>
      </c>
    </row>
    <row r="1958" spans="1:3" x14ac:dyDescent="0.25">
      <c r="A1958" s="115">
        <v>4687403</v>
      </c>
      <c r="B1958" s="115" t="s">
        <v>1886</v>
      </c>
      <c r="C1958" s="117">
        <v>70.900000000000006</v>
      </c>
    </row>
    <row r="1959" spans="1:3" x14ac:dyDescent="0.25">
      <c r="A1959" s="115">
        <v>4687343</v>
      </c>
      <c r="B1959" s="115" t="s">
        <v>1887</v>
      </c>
      <c r="C1959" s="117">
        <v>901.83</v>
      </c>
    </row>
    <row r="1960" spans="1:3" x14ac:dyDescent="0.25">
      <c r="A1960" s="115">
        <v>3654177</v>
      </c>
      <c r="B1960" s="115" t="s">
        <v>1888</v>
      </c>
      <c r="C1960" s="117">
        <v>75.08</v>
      </c>
    </row>
    <row r="1961" spans="1:3" x14ac:dyDescent="0.25">
      <c r="A1961" s="115">
        <v>3053021</v>
      </c>
      <c r="B1961" s="115" t="s">
        <v>1889</v>
      </c>
      <c r="C1961" s="117">
        <v>2747.68</v>
      </c>
    </row>
    <row r="1962" spans="1:3" x14ac:dyDescent="0.25">
      <c r="A1962" s="115">
        <v>3053017</v>
      </c>
      <c r="B1962" s="115" t="s">
        <v>1890</v>
      </c>
      <c r="C1962" s="117">
        <v>2220.0700000000002</v>
      </c>
    </row>
    <row r="1963" spans="1:3" x14ac:dyDescent="0.25">
      <c r="A1963" s="115">
        <v>3053018</v>
      </c>
      <c r="B1963" s="115" t="s">
        <v>1891</v>
      </c>
      <c r="C1963" s="117">
        <v>2035.06</v>
      </c>
    </row>
    <row r="1964" spans="1:3" x14ac:dyDescent="0.25">
      <c r="A1964" s="115">
        <v>3659211</v>
      </c>
      <c r="B1964" s="115" t="s">
        <v>1892</v>
      </c>
      <c r="C1964" s="117">
        <v>1526.3</v>
      </c>
    </row>
    <row r="1965" spans="1:3" x14ac:dyDescent="0.25">
      <c r="A1965" s="115">
        <v>3159208</v>
      </c>
      <c r="B1965" s="115" t="s">
        <v>1893</v>
      </c>
      <c r="C1965" s="117">
        <v>1665.05</v>
      </c>
    </row>
    <row r="1966" spans="1:3" x14ac:dyDescent="0.25">
      <c r="A1966" s="115">
        <v>3650603</v>
      </c>
      <c r="B1966" s="115" t="s">
        <v>1894</v>
      </c>
      <c r="C1966" s="117">
        <v>10452.82</v>
      </c>
    </row>
    <row r="1967" spans="1:3" x14ac:dyDescent="0.25">
      <c r="A1967" s="115">
        <v>3650604</v>
      </c>
      <c r="B1967" s="115" t="s">
        <v>1895</v>
      </c>
      <c r="C1967" s="117">
        <v>10452.82</v>
      </c>
    </row>
    <row r="1968" spans="1:3" x14ac:dyDescent="0.25">
      <c r="A1968" s="115">
        <v>3650605</v>
      </c>
      <c r="B1968" s="115" t="s">
        <v>1896</v>
      </c>
      <c r="C1968" s="117">
        <v>10452.82</v>
      </c>
    </row>
    <row r="1969" spans="1:3" x14ac:dyDescent="0.25">
      <c r="A1969" s="115">
        <v>3650606</v>
      </c>
      <c r="B1969" s="115" t="s">
        <v>1897</v>
      </c>
      <c r="C1969" s="117">
        <v>10452.82</v>
      </c>
    </row>
    <row r="1970" spans="1:3" x14ac:dyDescent="0.25">
      <c r="A1970" s="115">
        <v>3650601</v>
      </c>
      <c r="B1970" s="115" t="s">
        <v>1898</v>
      </c>
      <c r="C1970" s="117">
        <v>10452.82</v>
      </c>
    </row>
    <row r="1971" spans="1:3" x14ac:dyDescent="0.25">
      <c r="A1971" s="115">
        <v>3650602</v>
      </c>
      <c r="B1971" s="115" t="s">
        <v>1899</v>
      </c>
      <c r="C1971" s="117">
        <v>10452.82</v>
      </c>
    </row>
    <row r="1972" spans="1:3" x14ac:dyDescent="0.25">
      <c r="A1972" s="115">
        <v>3650607</v>
      </c>
      <c r="B1972" s="115" t="s">
        <v>1900</v>
      </c>
      <c r="C1972" s="117">
        <v>9435.2900000000009</v>
      </c>
    </row>
    <row r="1973" spans="1:3" x14ac:dyDescent="0.25">
      <c r="A1973" s="115">
        <v>3654000</v>
      </c>
      <c r="B1973" s="115" t="s">
        <v>1901</v>
      </c>
      <c r="C1973" s="117">
        <v>1748.91</v>
      </c>
    </row>
    <row r="1974" spans="1:3" x14ac:dyDescent="0.25">
      <c r="A1974" s="115">
        <v>3654004</v>
      </c>
      <c r="B1974" s="115" t="s">
        <v>1902</v>
      </c>
      <c r="C1974" s="117">
        <v>786.83</v>
      </c>
    </row>
    <row r="1975" spans="1:3" x14ac:dyDescent="0.25">
      <c r="A1975" s="115">
        <v>3654006</v>
      </c>
      <c r="B1975" s="115" t="s">
        <v>1903</v>
      </c>
      <c r="C1975" s="117">
        <v>165.16</v>
      </c>
    </row>
    <row r="1976" spans="1:3" x14ac:dyDescent="0.25">
      <c r="A1976" s="115">
        <v>3654005</v>
      </c>
      <c r="B1976" s="115" t="s">
        <v>1904</v>
      </c>
      <c r="C1976" s="117">
        <v>1086.78</v>
      </c>
    </row>
    <row r="1977" spans="1:3" x14ac:dyDescent="0.25">
      <c r="A1977" s="115">
        <v>3653003</v>
      </c>
      <c r="B1977" s="115" t="s">
        <v>1905</v>
      </c>
      <c r="C1977" s="117">
        <v>4634.58</v>
      </c>
    </row>
    <row r="1978" spans="1:3" x14ac:dyDescent="0.25">
      <c r="A1978" s="115">
        <v>3653005</v>
      </c>
      <c r="B1978" s="115" t="s">
        <v>1906</v>
      </c>
      <c r="C1978" s="117">
        <v>1796.96</v>
      </c>
    </row>
    <row r="1979" spans="1:3" x14ac:dyDescent="0.25">
      <c r="A1979" s="115">
        <v>3653004</v>
      </c>
      <c r="B1979" s="115" t="s">
        <v>1907</v>
      </c>
      <c r="C1979" s="117">
        <v>1796.96</v>
      </c>
    </row>
    <row r="1980" spans="1:3" x14ac:dyDescent="0.25">
      <c r="A1980" s="115">
        <v>3654002</v>
      </c>
      <c r="B1980" s="115" t="s">
        <v>1908</v>
      </c>
      <c r="C1980" s="117">
        <v>2057.3000000000002</v>
      </c>
    </row>
    <row r="1981" spans="1:3" x14ac:dyDescent="0.25">
      <c r="A1981" s="115">
        <v>3654009</v>
      </c>
      <c r="B1981" s="115" t="s">
        <v>1909</v>
      </c>
      <c r="C1981" s="117">
        <v>1403.68</v>
      </c>
    </row>
    <row r="1982" spans="1:3" x14ac:dyDescent="0.25">
      <c r="A1982" s="115">
        <v>3654007</v>
      </c>
      <c r="B1982" s="115" t="s">
        <v>1910</v>
      </c>
      <c r="C1982" s="117">
        <v>1867.27</v>
      </c>
    </row>
    <row r="1983" spans="1:3" x14ac:dyDescent="0.25">
      <c r="A1983" s="115">
        <v>3654008</v>
      </c>
      <c r="B1983" s="115" t="s">
        <v>1911</v>
      </c>
      <c r="C1983" s="117">
        <v>1798.76</v>
      </c>
    </row>
    <row r="1984" spans="1:3" x14ac:dyDescent="0.25">
      <c r="A1984" s="115">
        <v>3650511</v>
      </c>
      <c r="B1984" s="115" t="s">
        <v>1912</v>
      </c>
      <c r="C1984" s="117">
        <v>265.82</v>
      </c>
    </row>
    <row r="1985" spans="1:3" x14ac:dyDescent="0.25">
      <c r="A1985" s="115">
        <v>3650510</v>
      </c>
      <c r="B1985" s="115" t="s">
        <v>1913</v>
      </c>
      <c r="C1985" s="117">
        <v>526.62</v>
      </c>
    </row>
    <row r="1986" spans="1:3" x14ac:dyDescent="0.25">
      <c r="A1986" s="115">
        <v>3053019</v>
      </c>
      <c r="B1986" s="115" t="s">
        <v>1914</v>
      </c>
      <c r="C1986" s="117">
        <v>2035.06</v>
      </c>
    </row>
    <row r="1987" spans="1:3" x14ac:dyDescent="0.25">
      <c r="A1987" s="115">
        <v>3651300</v>
      </c>
      <c r="B1987" s="115" t="s">
        <v>1915</v>
      </c>
      <c r="C1987" s="117">
        <v>1402.25</v>
      </c>
    </row>
    <row r="1988" spans="1:3" x14ac:dyDescent="0.25">
      <c r="A1988" s="115">
        <v>3651383</v>
      </c>
      <c r="B1988" s="115" t="s">
        <v>1916</v>
      </c>
      <c r="C1988" s="117">
        <v>1402.23</v>
      </c>
    </row>
    <row r="1989" spans="1:3" x14ac:dyDescent="0.25">
      <c r="A1989" s="115">
        <v>3651384</v>
      </c>
      <c r="B1989" s="115" t="s">
        <v>1917</v>
      </c>
      <c r="C1989" s="117">
        <v>1402.23</v>
      </c>
    </row>
    <row r="1990" spans="1:3" x14ac:dyDescent="0.25">
      <c r="A1990" s="115">
        <v>3650410</v>
      </c>
      <c r="B1990" s="115" t="s">
        <v>1918</v>
      </c>
      <c r="C1990" s="117">
        <v>739.3</v>
      </c>
    </row>
    <row r="1991" spans="1:3" x14ac:dyDescent="0.25">
      <c r="A1991" s="115">
        <v>3658214</v>
      </c>
      <c r="B1991" s="115" t="s">
        <v>1919</v>
      </c>
      <c r="C1991" s="117">
        <v>832.53</v>
      </c>
    </row>
    <row r="1992" spans="1:3" x14ac:dyDescent="0.25">
      <c r="A1992" s="115">
        <v>3658212</v>
      </c>
      <c r="B1992" s="115" t="s">
        <v>1920</v>
      </c>
      <c r="C1992" s="117">
        <v>1480.05</v>
      </c>
    </row>
    <row r="1993" spans="1:3" x14ac:dyDescent="0.25">
      <c r="A1993" s="115">
        <v>3658211</v>
      </c>
      <c r="B1993" s="115" t="s">
        <v>1921</v>
      </c>
      <c r="C1993" s="117">
        <v>1156.29</v>
      </c>
    </row>
    <row r="1994" spans="1:3" x14ac:dyDescent="0.25">
      <c r="A1994" s="115">
        <v>4687000</v>
      </c>
      <c r="B1994" s="115" t="s">
        <v>1922</v>
      </c>
      <c r="C1994" s="117">
        <v>1598.81</v>
      </c>
    </row>
    <row r="1995" spans="1:3" x14ac:dyDescent="0.25">
      <c r="A1995" s="115">
        <v>4687005</v>
      </c>
      <c r="B1995" s="115" t="s">
        <v>1923</v>
      </c>
      <c r="C1995" s="117">
        <v>1279.05</v>
      </c>
    </row>
    <row r="1996" spans="1:3" x14ac:dyDescent="0.25">
      <c r="A1996" s="115">
        <v>3651425</v>
      </c>
      <c r="B1996" s="115" t="s">
        <v>1924</v>
      </c>
      <c r="C1996" s="117">
        <v>1108.6199999999999</v>
      </c>
    </row>
    <row r="1997" spans="1:3" x14ac:dyDescent="0.25">
      <c r="A1997" s="115">
        <v>3651400</v>
      </c>
      <c r="B1997" s="115" t="s">
        <v>1925</v>
      </c>
      <c r="C1997" s="117">
        <v>1571.78</v>
      </c>
    </row>
    <row r="1998" spans="1:3" x14ac:dyDescent="0.25">
      <c r="A1998" s="115">
        <v>3650112</v>
      </c>
      <c r="B1998" s="115" t="s">
        <v>1926</v>
      </c>
      <c r="C1998" s="117">
        <v>1930.07</v>
      </c>
    </row>
    <row r="1999" spans="1:3" x14ac:dyDescent="0.25">
      <c r="A1999" s="115">
        <v>3650114</v>
      </c>
      <c r="B1999" s="115" t="s">
        <v>1927</v>
      </c>
      <c r="C1999" s="117">
        <v>7306.49</v>
      </c>
    </row>
    <row r="2000" spans="1:3" x14ac:dyDescent="0.25">
      <c r="A2000" s="115">
        <v>3650104</v>
      </c>
      <c r="B2000" s="115" t="s">
        <v>1928</v>
      </c>
      <c r="C2000" s="117">
        <v>1867.48</v>
      </c>
    </row>
    <row r="2001" spans="1:3" x14ac:dyDescent="0.25">
      <c r="A2001" s="115">
        <v>3650102</v>
      </c>
      <c r="B2001" s="115" t="s">
        <v>1929</v>
      </c>
      <c r="C2001" s="117">
        <v>1708.66</v>
      </c>
    </row>
    <row r="2002" spans="1:3" x14ac:dyDescent="0.25">
      <c r="A2002" s="115">
        <v>3650103</v>
      </c>
      <c r="B2002" s="115" t="s">
        <v>1930</v>
      </c>
      <c r="C2002" s="117">
        <v>1039.8699999999999</v>
      </c>
    </row>
    <row r="2003" spans="1:3" x14ac:dyDescent="0.25">
      <c r="A2003" s="115">
        <v>3650111</v>
      </c>
      <c r="B2003" s="115" t="s">
        <v>1931</v>
      </c>
      <c r="C2003" s="117">
        <v>1039.8699999999999</v>
      </c>
    </row>
    <row r="2004" spans="1:3" x14ac:dyDescent="0.25">
      <c r="A2004" s="115">
        <v>3650105</v>
      </c>
      <c r="B2004" s="115" t="s">
        <v>1932</v>
      </c>
      <c r="C2004" s="117">
        <v>1708.66</v>
      </c>
    </row>
    <row r="2005" spans="1:3" x14ac:dyDescent="0.25">
      <c r="A2005" s="115">
        <v>3650106</v>
      </c>
      <c r="B2005" s="115" t="s">
        <v>1933</v>
      </c>
      <c r="C2005" s="117">
        <v>1039.8699999999999</v>
      </c>
    </row>
    <row r="2006" spans="1:3" x14ac:dyDescent="0.25">
      <c r="A2006" s="115">
        <v>3650109</v>
      </c>
      <c r="B2006" s="115" t="s">
        <v>1934</v>
      </c>
      <c r="C2006" s="117">
        <v>1708.66</v>
      </c>
    </row>
    <row r="2007" spans="1:3" x14ac:dyDescent="0.25">
      <c r="A2007" s="115">
        <v>3650110</v>
      </c>
      <c r="B2007" s="115" t="s">
        <v>1935</v>
      </c>
      <c r="C2007" s="117">
        <v>1039.8699999999999</v>
      </c>
    </row>
    <row r="2008" spans="1:3" x14ac:dyDescent="0.25">
      <c r="A2008" s="115">
        <v>3650107</v>
      </c>
      <c r="B2008" s="115" t="s">
        <v>1936</v>
      </c>
      <c r="C2008" s="117">
        <v>1708.66</v>
      </c>
    </row>
    <row r="2009" spans="1:3" x14ac:dyDescent="0.25">
      <c r="A2009" s="115">
        <v>3650108</v>
      </c>
      <c r="B2009" s="115" t="s">
        <v>1937</v>
      </c>
      <c r="C2009" s="117">
        <v>1039.8699999999999</v>
      </c>
    </row>
    <row r="2010" spans="1:3" x14ac:dyDescent="0.25">
      <c r="A2010" s="115">
        <v>3659002</v>
      </c>
      <c r="B2010" s="115" t="s">
        <v>1938</v>
      </c>
      <c r="C2010" s="117">
        <v>2243.7800000000002</v>
      </c>
    </row>
    <row r="2011" spans="1:3" x14ac:dyDescent="0.25">
      <c r="A2011" s="115">
        <v>3659001</v>
      </c>
      <c r="B2011" s="115" t="s">
        <v>1939</v>
      </c>
      <c r="C2011" s="117">
        <v>1363.46</v>
      </c>
    </row>
    <row r="2012" spans="1:3" x14ac:dyDescent="0.25">
      <c r="A2012" s="115">
        <v>3651783</v>
      </c>
      <c r="B2012" s="115" t="s">
        <v>1940</v>
      </c>
      <c r="C2012" s="117">
        <v>937.32</v>
      </c>
    </row>
    <row r="2013" spans="1:3" x14ac:dyDescent="0.25">
      <c r="A2013" s="115">
        <v>3652175</v>
      </c>
      <c r="B2013" s="115" t="s">
        <v>1941</v>
      </c>
      <c r="C2013" s="117">
        <v>3648.56</v>
      </c>
    </row>
    <row r="2014" spans="1:3" x14ac:dyDescent="0.25">
      <c r="A2014" s="144" t="s">
        <v>1942</v>
      </c>
      <c r="B2014" s="145"/>
      <c r="C2014" s="145"/>
    </row>
    <row r="2015" spans="1:3" x14ac:dyDescent="0.25">
      <c r="A2015" s="115">
        <v>3111529</v>
      </c>
      <c r="B2015" s="115" t="s">
        <v>1943</v>
      </c>
      <c r="C2015" s="117">
        <v>3118.3</v>
      </c>
    </row>
    <row r="2016" spans="1:3" x14ac:dyDescent="0.25">
      <c r="A2016" s="115">
        <v>3111563</v>
      </c>
      <c r="B2016" s="115" t="s">
        <v>1944</v>
      </c>
      <c r="C2016" s="117">
        <v>3118.3</v>
      </c>
    </row>
    <row r="2017" spans="1:3" x14ac:dyDescent="0.25">
      <c r="A2017" s="115">
        <v>3111562</v>
      </c>
      <c r="B2017" s="115" t="s">
        <v>1945</v>
      </c>
      <c r="C2017" s="117">
        <v>3118.3</v>
      </c>
    </row>
    <row r="2018" spans="1:3" x14ac:dyDescent="0.25">
      <c r="A2018" s="115">
        <v>3111576</v>
      </c>
      <c r="B2018" s="115" t="s">
        <v>1946</v>
      </c>
      <c r="C2018" s="117">
        <v>3118.3</v>
      </c>
    </row>
    <row r="2019" spans="1:3" x14ac:dyDescent="0.25">
      <c r="A2019" s="115">
        <v>3111629</v>
      </c>
      <c r="B2019" s="115" t="s">
        <v>1947</v>
      </c>
      <c r="C2019" s="117">
        <v>3118.3</v>
      </c>
    </row>
    <row r="2020" spans="1:3" x14ac:dyDescent="0.25">
      <c r="A2020" s="115">
        <v>3111663</v>
      </c>
      <c r="B2020" s="115" t="s">
        <v>1948</v>
      </c>
      <c r="C2020" s="117">
        <v>3118.3</v>
      </c>
    </row>
    <row r="2021" spans="1:3" x14ac:dyDescent="0.25">
      <c r="A2021" s="115">
        <v>3111676</v>
      </c>
      <c r="B2021" s="115" t="s">
        <v>1949</v>
      </c>
      <c r="C2021" s="117">
        <v>3118.3</v>
      </c>
    </row>
    <row r="2022" spans="1:3" x14ac:dyDescent="0.25">
      <c r="A2022" s="115">
        <v>3111683</v>
      </c>
      <c r="B2022" s="115" t="s">
        <v>1950</v>
      </c>
      <c r="C2022" s="117">
        <v>3118.3</v>
      </c>
    </row>
    <row r="2023" spans="1:3" x14ac:dyDescent="0.25">
      <c r="A2023" s="115">
        <v>3111599</v>
      </c>
      <c r="B2023" s="115" t="s">
        <v>1951</v>
      </c>
      <c r="C2023" s="117">
        <v>3118.3</v>
      </c>
    </row>
    <row r="2024" spans="1:3" x14ac:dyDescent="0.25">
      <c r="A2024" s="115">
        <v>3111326</v>
      </c>
      <c r="B2024" s="115" t="s">
        <v>1952</v>
      </c>
      <c r="C2024" s="117">
        <v>3118.3</v>
      </c>
    </row>
    <row r="2025" spans="1:3" x14ac:dyDescent="0.25">
      <c r="A2025" s="115">
        <v>3111329</v>
      </c>
      <c r="B2025" s="115" t="s">
        <v>1953</v>
      </c>
      <c r="C2025" s="117">
        <v>3118.3</v>
      </c>
    </row>
    <row r="2026" spans="1:3" x14ac:dyDescent="0.25">
      <c r="A2026" s="115">
        <v>3111363</v>
      </c>
      <c r="B2026" s="115" t="s">
        <v>1954</v>
      </c>
      <c r="C2026" s="117">
        <v>3118.3</v>
      </c>
    </row>
    <row r="2027" spans="1:3" x14ac:dyDescent="0.25">
      <c r="A2027" s="115">
        <v>3111376</v>
      </c>
      <c r="B2027" s="115" t="s">
        <v>1955</v>
      </c>
      <c r="C2027" s="117">
        <v>3118.3</v>
      </c>
    </row>
    <row r="2028" spans="1:3" x14ac:dyDescent="0.25">
      <c r="A2028" s="115">
        <v>3111383</v>
      </c>
      <c r="B2028" s="115" t="s">
        <v>1956</v>
      </c>
      <c r="C2028" s="117">
        <v>3118.3</v>
      </c>
    </row>
    <row r="2029" spans="1:3" x14ac:dyDescent="0.25">
      <c r="A2029" s="115">
        <v>3111429</v>
      </c>
      <c r="B2029" s="115" t="s">
        <v>1957</v>
      </c>
      <c r="C2029" s="117">
        <v>3118.3</v>
      </c>
    </row>
    <row r="2030" spans="1:3" x14ac:dyDescent="0.25">
      <c r="A2030" s="115">
        <v>3111463</v>
      </c>
      <c r="B2030" s="115" t="s">
        <v>1958</v>
      </c>
      <c r="C2030" s="117">
        <v>3118.3</v>
      </c>
    </row>
    <row r="2031" spans="1:3" x14ac:dyDescent="0.25">
      <c r="A2031" s="115">
        <v>3111476</v>
      </c>
      <c r="B2031" s="115" t="s">
        <v>1959</v>
      </c>
      <c r="C2031" s="117">
        <v>3118.3</v>
      </c>
    </row>
    <row r="2032" spans="1:3" x14ac:dyDescent="0.25">
      <c r="A2032" s="115">
        <v>3111483</v>
      </c>
      <c r="B2032" s="115" t="s">
        <v>1960</v>
      </c>
      <c r="C2032" s="117">
        <v>3118.3</v>
      </c>
    </row>
    <row r="2033" spans="1:3" x14ac:dyDescent="0.25">
      <c r="A2033" s="115">
        <v>3112076</v>
      </c>
      <c r="B2033" s="115" t="s">
        <v>1961</v>
      </c>
      <c r="C2033" s="117">
        <v>681.44</v>
      </c>
    </row>
    <row r="2034" spans="1:3" x14ac:dyDescent="0.25">
      <c r="A2034" s="115">
        <v>3111526</v>
      </c>
      <c r="B2034" s="115" t="s">
        <v>1962</v>
      </c>
      <c r="C2034" s="117">
        <v>3118.3</v>
      </c>
    </row>
    <row r="2035" spans="1:3" x14ac:dyDescent="0.25">
      <c r="A2035" s="115">
        <v>3111583</v>
      </c>
      <c r="B2035" s="115" t="s">
        <v>1963</v>
      </c>
      <c r="C2035" s="117">
        <v>3118.3</v>
      </c>
    </row>
    <row r="2036" spans="1:3" x14ac:dyDescent="0.25">
      <c r="A2036" s="115">
        <v>3111584</v>
      </c>
      <c r="B2036" s="115" t="s">
        <v>1964</v>
      </c>
      <c r="C2036" s="117">
        <v>3118.3</v>
      </c>
    </row>
    <row r="2037" spans="1:3" x14ac:dyDescent="0.25">
      <c r="A2037" s="115">
        <v>3111325</v>
      </c>
      <c r="B2037" s="115" t="s">
        <v>1965</v>
      </c>
      <c r="C2037" s="117">
        <v>3118.3</v>
      </c>
    </row>
    <row r="2038" spans="1:3" x14ac:dyDescent="0.25">
      <c r="A2038" s="115">
        <v>3111362</v>
      </c>
      <c r="B2038" s="115" t="s">
        <v>1966</v>
      </c>
      <c r="C2038" s="117">
        <v>3118.3</v>
      </c>
    </row>
    <row r="2039" spans="1:3" x14ac:dyDescent="0.25">
      <c r="A2039" s="115">
        <v>3111384</v>
      </c>
      <c r="B2039" s="115" t="s">
        <v>1967</v>
      </c>
      <c r="C2039" s="117">
        <v>3118.3</v>
      </c>
    </row>
    <row r="2040" spans="1:3" x14ac:dyDescent="0.25">
      <c r="A2040" s="115">
        <v>3111100</v>
      </c>
      <c r="B2040" s="115" t="s">
        <v>1968</v>
      </c>
      <c r="C2040" s="117">
        <v>2479.79</v>
      </c>
    </row>
    <row r="2041" spans="1:3" x14ac:dyDescent="0.25">
      <c r="A2041" s="115">
        <v>3111200</v>
      </c>
      <c r="B2041" s="115" t="s">
        <v>1969</v>
      </c>
      <c r="C2041" s="117">
        <v>2479.79</v>
      </c>
    </row>
    <row r="2042" spans="1:3" x14ac:dyDescent="0.25">
      <c r="A2042" s="115">
        <v>3111000</v>
      </c>
      <c r="B2042" s="115" t="s">
        <v>1970</v>
      </c>
      <c r="C2042" s="117">
        <v>2479.79</v>
      </c>
    </row>
    <row r="2043" spans="1:3" x14ac:dyDescent="0.25">
      <c r="A2043" s="115">
        <v>3223326</v>
      </c>
      <c r="B2043" s="115" t="s">
        <v>1971</v>
      </c>
      <c r="C2043" s="117">
        <v>675.91</v>
      </c>
    </row>
    <row r="2044" spans="1:3" x14ac:dyDescent="0.25">
      <c r="A2044" s="115">
        <v>3223323</v>
      </c>
      <c r="B2044" s="115" t="s">
        <v>1972</v>
      </c>
      <c r="C2044" s="117">
        <v>711.48</v>
      </c>
    </row>
    <row r="2045" spans="1:3" x14ac:dyDescent="0.25">
      <c r="A2045" s="115">
        <v>3223372</v>
      </c>
      <c r="B2045" s="115" t="s">
        <v>1973</v>
      </c>
      <c r="C2045" s="117">
        <v>711.48</v>
      </c>
    </row>
    <row r="2046" spans="1:3" x14ac:dyDescent="0.25">
      <c r="A2046" s="115">
        <v>3223377</v>
      </c>
      <c r="B2046" s="115" t="s">
        <v>1974</v>
      </c>
      <c r="C2046" s="117">
        <v>711.48</v>
      </c>
    </row>
    <row r="2047" spans="1:3" x14ac:dyDescent="0.25">
      <c r="A2047" s="115">
        <v>3223383</v>
      </c>
      <c r="B2047" s="115" t="s">
        <v>1975</v>
      </c>
      <c r="C2047" s="117">
        <v>711.48</v>
      </c>
    </row>
    <row r="2048" spans="1:3" x14ac:dyDescent="0.25">
      <c r="A2048" s="115">
        <v>3220512</v>
      </c>
      <c r="B2048" s="115" t="s">
        <v>1976</v>
      </c>
      <c r="C2048" s="117">
        <v>349.93</v>
      </c>
    </row>
    <row r="2049" spans="1:3" x14ac:dyDescent="0.25">
      <c r="A2049" s="115">
        <v>3234324</v>
      </c>
      <c r="B2049" s="115" t="s">
        <v>1977</v>
      </c>
      <c r="C2049" s="117">
        <v>1842.24</v>
      </c>
    </row>
    <row r="2050" spans="1:3" x14ac:dyDescent="0.25">
      <c r="A2050" s="115">
        <v>3220510</v>
      </c>
      <c r="B2050" s="115" t="s">
        <v>1978</v>
      </c>
      <c r="C2050" s="117">
        <v>321.14</v>
      </c>
    </row>
    <row r="2051" spans="1:3" x14ac:dyDescent="0.25">
      <c r="A2051" s="115">
        <v>3220530</v>
      </c>
      <c r="B2051" s="115" t="s">
        <v>1979</v>
      </c>
      <c r="C2051" s="117">
        <v>64.23</v>
      </c>
    </row>
    <row r="2052" spans="1:3" x14ac:dyDescent="0.25">
      <c r="A2052" s="115">
        <v>3223226</v>
      </c>
      <c r="B2052" s="115" t="s">
        <v>1980</v>
      </c>
      <c r="C2052" s="117">
        <v>830.11</v>
      </c>
    </row>
    <row r="2053" spans="1:3" x14ac:dyDescent="0.25">
      <c r="A2053" s="115">
        <v>3223223</v>
      </c>
      <c r="B2053" s="115" t="s">
        <v>1981</v>
      </c>
      <c r="C2053" s="117">
        <v>830.11</v>
      </c>
    </row>
    <row r="2054" spans="1:3" x14ac:dyDescent="0.25">
      <c r="A2054" s="115">
        <v>3223262</v>
      </c>
      <c r="B2054" s="115" t="s">
        <v>1982</v>
      </c>
      <c r="C2054" s="117">
        <v>830.11</v>
      </c>
    </row>
    <row r="2055" spans="1:3" x14ac:dyDescent="0.25">
      <c r="A2055" s="115">
        <v>3223277</v>
      </c>
      <c r="B2055" s="115" t="s">
        <v>1983</v>
      </c>
      <c r="C2055" s="117">
        <v>830.11</v>
      </c>
    </row>
    <row r="2056" spans="1:3" x14ac:dyDescent="0.25">
      <c r="A2056" s="115">
        <v>3223283</v>
      </c>
      <c r="B2056" s="115" t="s">
        <v>1984</v>
      </c>
      <c r="C2056" s="117">
        <v>830.11</v>
      </c>
    </row>
    <row r="2057" spans="1:3" x14ac:dyDescent="0.25">
      <c r="A2057" s="115">
        <v>3230463</v>
      </c>
      <c r="B2057" s="115" t="s">
        <v>1985</v>
      </c>
      <c r="C2057" s="117">
        <v>581.22</v>
      </c>
    </row>
    <row r="2058" spans="1:3" x14ac:dyDescent="0.25">
      <c r="A2058" s="115">
        <v>3230483</v>
      </c>
      <c r="B2058" s="115" t="s">
        <v>1986</v>
      </c>
      <c r="C2058" s="117">
        <v>581.22</v>
      </c>
    </row>
    <row r="2059" spans="1:3" x14ac:dyDescent="0.25">
      <c r="A2059" s="115">
        <v>3233326</v>
      </c>
      <c r="B2059" s="115" t="s">
        <v>1987</v>
      </c>
      <c r="C2059" s="117">
        <v>586.96</v>
      </c>
    </row>
    <row r="2060" spans="1:3" x14ac:dyDescent="0.25">
      <c r="A2060" s="115">
        <v>3233362</v>
      </c>
      <c r="B2060" s="115" t="s">
        <v>1988</v>
      </c>
      <c r="C2060" s="117">
        <v>586.96</v>
      </c>
    </row>
    <row r="2061" spans="1:3" x14ac:dyDescent="0.25">
      <c r="A2061" s="115">
        <v>3230326</v>
      </c>
      <c r="B2061" s="115" t="s">
        <v>1989</v>
      </c>
      <c r="C2061" s="117">
        <v>588.57000000000005</v>
      </c>
    </row>
    <row r="2062" spans="1:3" x14ac:dyDescent="0.25">
      <c r="A2062" s="115">
        <v>3230329</v>
      </c>
      <c r="B2062" s="115" t="s">
        <v>1990</v>
      </c>
      <c r="C2062" s="117">
        <v>588.57000000000005</v>
      </c>
    </row>
    <row r="2063" spans="1:3" x14ac:dyDescent="0.25">
      <c r="A2063" s="115">
        <v>3230362</v>
      </c>
      <c r="B2063" s="115" t="s">
        <v>1991</v>
      </c>
      <c r="C2063" s="117">
        <v>588.57000000000005</v>
      </c>
    </row>
    <row r="2064" spans="1:3" x14ac:dyDescent="0.25">
      <c r="A2064" s="115">
        <v>3230376</v>
      </c>
      <c r="B2064" s="115" t="s">
        <v>1992</v>
      </c>
      <c r="C2064" s="117">
        <v>588.57000000000005</v>
      </c>
    </row>
    <row r="2065" spans="1:3" x14ac:dyDescent="0.25">
      <c r="A2065" s="115">
        <v>3230389</v>
      </c>
      <c r="B2065" s="115" t="s">
        <v>1993</v>
      </c>
      <c r="C2065" s="117">
        <v>588.57000000000005</v>
      </c>
    </row>
    <row r="2066" spans="1:3" x14ac:dyDescent="0.25">
      <c r="A2066" s="115">
        <v>3230383</v>
      </c>
      <c r="B2066" s="115" t="s">
        <v>1994</v>
      </c>
      <c r="C2066" s="117">
        <v>588.57000000000005</v>
      </c>
    </row>
    <row r="2067" spans="1:3" x14ac:dyDescent="0.25">
      <c r="A2067" s="115">
        <v>3230384</v>
      </c>
      <c r="B2067" s="115" t="s">
        <v>1995</v>
      </c>
      <c r="C2067" s="117">
        <v>588.57000000000005</v>
      </c>
    </row>
    <row r="2068" spans="1:3" x14ac:dyDescent="0.25">
      <c r="A2068" s="115">
        <v>3232400</v>
      </c>
      <c r="B2068" s="115" t="s">
        <v>1996</v>
      </c>
      <c r="C2068" s="117">
        <v>337</v>
      </c>
    </row>
    <row r="2069" spans="1:3" x14ac:dyDescent="0.25">
      <c r="A2069" s="115">
        <v>3231001</v>
      </c>
      <c r="B2069" s="115" t="s">
        <v>1997</v>
      </c>
      <c r="C2069" s="117">
        <v>4068.73</v>
      </c>
    </row>
    <row r="2070" spans="1:3" x14ac:dyDescent="0.25">
      <c r="A2070" s="115">
        <v>3232710</v>
      </c>
      <c r="B2070" s="115" t="s">
        <v>1998</v>
      </c>
      <c r="C2070" s="117">
        <v>2568.9899999999998</v>
      </c>
    </row>
    <row r="2071" spans="1:3" x14ac:dyDescent="0.25">
      <c r="A2071" s="115">
        <v>3232700</v>
      </c>
      <c r="B2071" s="115" t="s">
        <v>1999</v>
      </c>
      <c r="C2071" s="117">
        <v>1746.9</v>
      </c>
    </row>
    <row r="2072" spans="1:3" x14ac:dyDescent="0.25">
      <c r="A2072" s="115">
        <v>3232608</v>
      </c>
      <c r="B2072" s="115" t="s">
        <v>2000</v>
      </c>
      <c r="C2072" s="117">
        <v>1180.75</v>
      </c>
    </row>
    <row r="2073" spans="1:3" x14ac:dyDescent="0.25">
      <c r="A2073" s="115">
        <v>3232626</v>
      </c>
      <c r="B2073" s="115" t="s">
        <v>2001</v>
      </c>
      <c r="C2073" s="117">
        <v>1686.78</v>
      </c>
    </row>
    <row r="2074" spans="1:3" x14ac:dyDescent="0.25">
      <c r="A2074" s="115">
        <v>3239707</v>
      </c>
      <c r="B2074" s="115" t="s">
        <v>2002</v>
      </c>
      <c r="C2074" s="117">
        <v>283.51</v>
      </c>
    </row>
    <row r="2075" spans="1:3" x14ac:dyDescent="0.25">
      <c r="A2075" s="115">
        <v>3233200</v>
      </c>
      <c r="B2075" s="115" t="s">
        <v>2003</v>
      </c>
      <c r="C2075" s="117">
        <v>1571.82</v>
      </c>
    </row>
    <row r="2076" spans="1:3" x14ac:dyDescent="0.25">
      <c r="A2076" s="115">
        <v>3222838</v>
      </c>
      <c r="B2076" s="115" t="s">
        <v>2004</v>
      </c>
      <c r="C2076" s="117">
        <v>1906.19</v>
      </c>
    </row>
    <row r="2077" spans="1:3" x14ac:dyDescent="0.25">
      <c r="A2077" s="115">
        <v>3222863</v>
      </c>
      <c r="B2077" s="115" t="s">
        <v>2005</v>
      </c>
      <c r="C2077" s="117">
        <v>1906.19</v>
      </c>
    </row>
    <row r="2078" spans="1:3" x14ac:dyDescent="0.25">
      <c r="A2078" s="115">
        <v>3222900</v>
      </c>
      <c r="B2078" s="115" t="s">
        <v>2006</v>
      </c>
      <c r="C2078" s="117">
        <v>1906.19</v>
      </c>
    </row>
    <row r="2079" spans="1:3" x14ac:dyDescent="0.25">
      <c r="A2079" s="115">
        <v>3222887</v>
      </c>
      <c r="B2079" s="115" t="s">
        <v>2007</v>
      </c>
      <c r="C2079" s="117">
        <v>1906.19</v>
      </c>
    </row>
    <row r="2080" spans="1:3" x14ac:dyDescent="0.25">
      <c r="A2080" s="115">
        <v>3222889</v>
      </c>
      <c r="B2080" s="115" t="s">
        <v>2008</v>
      </c>
      <c r="C2080" s="117">
        <v>1906.19</v>
      </c>
    </row>
    <row r="2081" spans="1:3" x14ac:dyDescent="0.25">
      <c r="A2081" s="115">
        <v>3222854</v>
      </c>
      <c r="B2081" s="115" t="s">
        <v>2009</v>
      </c>
      <c r="C2081" s="117">
        <v>1906.19</v>
      </c>
    </row>
    <row r="2082" spans="1:3" x14ac:dyDescent="0.25">
      <c r="A2082" s="115">
        <v>3231163</v>
      </c>
      <c r="B2082" s="115" t="s">
        <v>2010</v>
      </c>
      <c r="C2082" s="117">
        <v>2236.6799999999998</v>
      </c>
    </row>
    <row r="2083" spans="1:3" x14ac:dyDescent="0.25">
      <c r="A2083" s="115">
        <v>3231172</v>
      </c>
      <c r="B2083" s="115" t="s">
        <v>2011</v>
      </c>
      <c r="C2083" s="117">
        <v>2236.6799999999998</v>
      </c>
    </row>
    <row r="2084" spans="1:3" x14ac:dyDescent="0.25">
      <c r="A2084" s="115">
        <v>3231176</v>
      </c>
      <c r="B2084" s="115" t="s">
        <v>2012</v>
      </c>
      <c r="C2084" s="117">
        <v>2236.6799999999998</v>
      </c>
    </row>
    <row r="2085" spans="1:3" x14ac:dyDescent="0.25">
      <c r="A2085" s="115">
        <v>3231183</v>
      </c>
      <c r="B2085" s="115" t="s">
        <v>2013</v>
      </c>
      <c r="C2085" s="117">
        <v>2236.6799999999998</v>
      </c>
    </row>
    <row r="2086" spans="1:3" x14ac:dyDescent="0.25">
      <c r="A2086" s="115">
        <v>3230042</v>
      </c>
      <c r="B2086" s="115" t="s">
        <v>2014</v>
      </c>
      <c r="C2086" s="117">
        <v>1807.62</v>
      </c>
    </row>
    <row r="2087" spans="1:3" x14ac:dyDescent="0.25">
      <c r="A2087" s="115">
        <v>3230041</v>
      </c>
      <c r="B2087" s="115" t="s">
        <v>2015</v>
      </c>
      <c r="C2087" s="117">
        <v>1807.62</v>
      </c>
    </row>
    <row r="2088" spans="1:3" x14ac:dyDescent="0.25">
      <c r="A2088" s="115">
        <v>3232651</v>
      </c>
      <c r="B2088" s="115" t="s">
        <v>2016</v>
      </c>
      <c r="C2088" s="117">
        <v>1686.78</v>
      </c>
    </row>
    <row r="2089" spans="1:3" x14ac:dyDescent="0.25">
      <c r="A2089" s="115">
        <v>3232654</v>
      </c>
      <c r="B2089" s="115" t="s">
        <v>2017</v>
      </c>
      <c r="C2089" s="117">
        <v>1686.78</v>
      </c>
    </row>
    <row r="2090" spans="1:3" x14ac:dyDescent="0.25">
      <c r="A2090" s="115">
        <v>3232656</v>
      </c>
      <c r="B2090" s="115" t="s">
        <v>2018</v>
      </c>
      <c r="C2090" s="117">
        <v>1686.78</v>
      </c>
    </row>
    <row r="2091" spans="1:3" x14ac:dyDescent="0.25">
      <c r="A2091" s="115">
        <v>3223406</v>
      </c>
      <c r="B2091" s="115" t="s">
        <v>2019</v>
      </c>
      <c r="C2091" s="117">
        <v>886.7</v>
      </c>
    </row>
    <row r="2092" spans="1:3" x14ac:dyDescent="0.25">
      <c r="A2092" s="115">
        <v>3223401</v>
      </c>
      <c r="B2092" s="115" t="s">
        <v>2020</v>
      </c>
      <c r="C2092" s="117">
        <v>886.7</v>
      </c>
    </row>
    <row r="2093" spans="1:3" x14ac:dyDescent="0.25">
      <c r="A2093" s="115">
        <v>3229610</v>
      </c>
      <c r="B2093" s="115" t="s">
        <v>2021</v>
      </c>
      <c r="C2093" s="117">
        <v>218.64</v>
      </c>
    </row>
    <row r="2094" spans="1:3" x14ac:dyDescent="0.25">
      <c r="A2094" s="115">
        <v>3223425</v>
      </c>
      <c r="B2094" s="115" t="s">
        <v>2022</v>
      </c>
      <c r="C2094" s="117">
        <v>886.7</v>
      </c>
    </row>
    <row r="2095" spans="1:3" x14ac:dyDescent="0.25">
      <c r="A2095" s="115">
        <v>3229606</v>
      </c>
      <c r="B2095" s="115" t="s">
        <v>2023</v>
      </c>
      <c r="C2095" s="117">
        <v>218.64</v>
      </c>
    </row>
    <row r="2096" spans="1:3" x14ac:dyDescent="0.25">
      <c r="A2096" s="115">
        <v>3223405</v>
      </c>
      <c r="B2096" s="115" t="s">
        <v>2024</v>
      </c>
      <c r="C2096" s="117">
        <v>886.7</v>
      </c>
    </row>
    <row r="2097" spans="1:3" x14ac:dyDescent="0.25">
      <c r="A2097" s="115">
        <v>3223407</v>
      </c>
      <c r="B2097" s="115" t="s">
        <v>2025</v>
      </c>
      <c r="C2097" s="117">
        <v>886.7</v>
      </c>
    </row>
    <row r="2098" spans="1:3" x14ac:dyDescent="0.25">
      <c r="A2098" s="115">
        <v>3223416</v>
      </c>
      <c r="B2098" s="115" t="s">
        <v>2026</v>
      </c>
      <c r="C2098" s="117">
        <v>886.7</v>
      </c>
    </row>
    <row r="2099" spans="1:3" x14ac:dyDescent="0.25">
      <c r="A2099" s="115">
        <v>3229605</v>
      </c>
      <c r="B2099" s="115" t="s">
        <v>2027</v>
      </c>
      <c r="C2099" s="117">
        <v>218.64</v>
      </c>
    </row>
    <row r="2100" spans="1:3" x14ac:dyDescent="0.25">
      <c r="A2100" s="115">
        <v>3223404</v>
      </c>
      <c r="B2100" s="115" t="s">
        <v>2028</v>
      </c>
      <c r="C2100" s="117">
        <v>886.7</v>
      </c>
    </row>
    <row r="2101" spans="1:3" x14ac:dyDescent="0.25">
      <c r="A2101" s="115">
        <v>3223409</v>
      </c>
      <c r="B2101" s="115" t="s">
        <v>2029</v>
      </c>
      <c r="C2101" s="117">
        <v>886.7</v>
      </c>
    </row>
    <row r="2102" spans="1:3" x14ac:dyDescent="0.25">
      <c r="A2102" s="115">
        <v>3223402</v>
      </c>
      <c r="B2102" s="115" t="s">
        <v>2030</v>
      </c>
      <c r="C2102" s="117">
        <v>886.7</v>
      </c>
    </row>
    <row r="2103" spans="1:3" x14ac:dyDescent="0.25">
      <c r="A2103" s="115">
        <v>3223415</v>
      </c>
      <c r="B2103" s="115" t="s">
        <v>2031</v>
      </c>
      <c r="C2103" s="117">
        <v>886.7</v>
      </c>
    </row>
    <row r="2104" spans="1:3" x14ac:dyDescent="0.25">
      <c r="A2104" s="115">
        <v>3229608</v>
      </c>
      <c r="B2104" s="115" t="s">
        <v>2032</v>
      </c>
      <c r="C2104" s="117">
        <v>218.64</v>
      </c>
    </row>
    <row r="2105" spans="1:3" x14ac:dyDescent="0.25">
      <c r="A2105" s="115">
        <v>3229609</v>
      </c>
      <c r="B2105" s="115" t="s">
        <v>2033</v>
      </c>
      <c r="C2105" s="117">
        <v>218.64</v>
      </c>
    </row>
    <row r="2106" spans="1:3" x14ac:dyDescent="0.25">
      <c r="A2106" s="115">
        <v>3229603</v>
      </c>
      <c r="B2106" s="115" t="s">
        <v>2034</v>
      </c>
      <c r="C2106" s="117">
        <v>218.64</v>
      </c>
    </row>
    <row r="2107" spans="1:3" x14ac:dyDescent="0.25">
      <c r="A2107" s="115">
        <v>3223403</v>
      </c>
      <c r="B2107" s="115" t="s">
        <v>2035</v>
      </c>
      <c r="C2107" s="117">
        <v>886.7</v>
      </c>
    </row>
    <row r="2108" spans="1:3" x14ac:dyDescent="0.25">
      <c r="A2108" s="115">
        <v>3223410</v>
      </c>
      <c r="B2108" s="115" t="s">
        <v>2036</v>
      </c>
      <c r="C2108" s="117">
        <v>886.7</v>
      </c>
    </row>
    <row r="2109" spans="1:3" x14ac:dyDescent="0.25">
      <c r="A2109" s="115">
        <v>3237503</v>
      </c>
      <c r="B2109" s="115" t="s">
        <v>2037</v>
      </c>
      <c r="C2109" s="117">
        <v>196.44</v>
      </c>
    </row>
    <row r="2110" spans="1:3" x14ac:dyDescent="0.25">
      <c r="A2110" s="115">
        <v>3221904</v>
      </c>
      <c r="B2110" s="115" t="s">
        <v>12324</v>
      </c>
      <c r="C2110" s="117">
        <v>58.42</v>
      </c>
    </row>
    <row r="2111" spans="1:3" x14ac:dyDescent="0.25">
      <c r="A2111" s="115">
        <v>3221900</v>
      </c>
      <c r="B2111" s="115" t="s">
        <v>2038</v>
      </c>
      <c r="C2111" s="117">
        <v>67.45</v>
      </c>
    </row>
    <row r="2112" spans="1:3" x14ac:dyDescent="0.25">
      <c r="A2112" s="115">
        <v>3232612</v>
      </c>
      <c r="B2112" s="115" t="s">
        <v>2039</v>
      </c>
      <c r="C2112" s="117">
        <v>1686.78</v>
      </c>
    </row>
    <row r="2113" spans="1:3" x14ac:dyDescent="0.25">
      <c r="A2113" s="115">
        <v>3232613</v>
      </c>
      <c r="B2113" s="115" t="s">
        <v>2040</v>
      </c>
      <c r="C2113" s="117">
        <v>1686.78</v>
      </c>
    </row>
    <row r="2114" spans="1:3" x14ac:dyDescent="0.25">
      <c r="A2114" s="115">
        <v>3232611</v>
      </c>
      <c r="B2114" s="115" t="s">
        <v>2041</v>
      </c>
      <c r="C2114" s="117">
        <v>191.23</v>
      </c>
    </row>
    <row r="2115" spans="1:3" x14ac:dyDescent="0.25">
      <c r="A2115" s="115">
        <v>3224000</v>
      </c>
      <c r="B2115" s="115" t="s">
        <v>2042</v>
      </c>
      <c r="C2115" s="117">
        <v>1161.98</v>
      </c>
    </row>
    <row r="2116" spans="1:3" x14ac:dyDescent="0.25">
      <c r="A2116" s="115">
        <v>3224100</v>
      </c>
      <c r="B2116" s="115" t="s">
        <v>2043</v>
      </c>
      <c r="C2116" s="117">
        <v>1528.92</v>
      </c>
    </row>
    <row r="2117" spans="1:3" x14ac:dyDescent="0.25">
      <c r="A2117" s="115">
        <v>3224200</v>
      </c>
      <c r="B2117" s="115" t="s">
        <v>2044</v>
      </c>
      <c r="C2117" s="117">
        <v>1527.54</v>
      </c>
    </row>
    <row r="2118" spans="1:3" x14ac:dyDescent="0.25">
      <c r="A2118" s="115">
        <v>3224300</v>
      </c>
      <c r="B2118" s="115" t="s">
        <v>2045</v>
      </c>
      <c r="C2118" s="117">
        <v>1862.23</v>
      </c>
    </row>
    <row r="2119" spans="1:3" x14ac:dyDescent="0.25">
      <c r="A2119" s="115">
        <v>3235000</v>
      </c>
      <c r="B2119" s="115" t="s">
        <v>2046</v>
      </c>
      <c r="C2119" s="117">
        <v>2008.17</v>
      </c>
    </row>
    <row r="2120" spans="1:3" x14ac:dyDescent="0.25">
      <c r="A2120" s="115">
        <v>3234900</v>
      </c>
      <c r="B2120" s="115" t="s">
        <v>2047</v>
      </c>
      <c r="C2120" s="117">
        <v>2416.81</v>
      </c>
    </row>
    <row r="2121" spans="1:3" x14ac:dyDescent="0.25">
      <c r="A2121" s="115">
        <v>3224400</v>
      </c>
      <c r="B2121" s="115" t="s">
        <v>2048</v>
      </c>
      <c r="C2121" s="117">
        <v>2380.59</v>
      </c>
    </row>
    <row r="2122" spans="1:3" x14ac:dyDescent="0.25">
      <c r="A2122" s="115">
        <v>3224500</v>
      </c>
      <c r="B2122" s="115" t="s">
        <v>2049</v>
      </c>
      <c r="C2122" s="117">
        <v>3196.83</v>
      </c>
    </row>
    <row r="2123" spans="1:3" x14ac:dyDescent="0.25">
      <c r="A2123" s="115">
        <v>3224600</v>
      </c>
      <c r="B2123" s="115" t="s">
        <v>2050</v>
      </c>
      <c r="C2123" s="117">
        <v>3195.44</v>
      </c>
    </row>
    <row r="2124" spans="1:3" x14ac:dyDescent="0.25">
      <c r="A2124" s="115">
        <v>3224700</v>
      </c>
      <c r="B2124" s="115" t="s">
        <v>2051</v>
      </c>
      <c r="C2124" s="117">
        <v>4225.38</v>
      </c>
    </row>
    <row r="2125" spans="1:3" x14ac:dyDescent="0.25">
      <c r="A2125" s="115">
        <v>3237400</v>
      </c>
      <c r="B2125" s="115" t="s">
        <v>2052</v>
      </c>
      <c r="C2125" s="117">
        <v>1371.4</v>
      </c>
    </row>
    <row r="2126" spans="1:3" x14ac:dyDescent="0.25">
      <c r="A2126" s="115">
        <v>3222002</v>
      </c>
      <c r="B2126" s="115" t="s">
        <v>2053</v>
      </c>
      <c r="C2126" s="117">
        <v>1053.56</v>
      </c>
    </row>
    <row r="2127" spans="1:3" x14ac:dyDescent="0.25">
      <c r="A2127" s="115">
        <v>3222000</v>
      </c>
      <c r="B2127" s="115" t="s">
        <v>2054</v>
      </c>
      <c r="C2127" s="117">
        <v>1053.56</v>
      </c>
    </row>
    <row r="2128" spans="1:3" x14ac:dyDescent="0.25">
      <c r="A2128" s="115">
        <v>3222001</v>
      </c>
      <c r="B2128" s="115" t="s">
        <v>2055</v>
      </c>
      <c r="C2128" s="117">
        <v>1053.56</v>
      </c>
    </row>
    <row r="2129" spans="1:3" x14ac:dyDescent="0.25">
      <c r="A2129" s="115">
        <v>3239234</v>
      </c>
      <c r="B2129" s="115" t="s">
        <v>11525</v>
      </c>
      <c r="C2129" s="117">
        <v>4196.8900000000003</v>
      </c>
    </row>
    <row r="2130" spans="1:3" x14ac:dyDescent="0.25">
      <c r="A2130" s="115">
        <v>3239235</v>
      </c>
      <c r="B2130" s="115" t="s">
        <v>11526</v>
      </c>
      <c r="C2130" s="117">
        <v>4196.8900000000003</v>
      </c>
    </row>
    <row r="2131" spans="1:3" x14ac:dyDescent="0.25">
      <c r="A2131" s="115">
        <v>3238234</v>
      </c>
      <c r="B2131" s="115" t="s">
        <v>11527</v>
      </c>
      <c r="C2131" s="117">
        <v>4196.8900000000003</v>
      </c>
    </row>
    <row r="2132" spans="1:3" x14ac:dyDescent="0.25">
      <c r="A2132" s="115">
        <v>3239232</v>
      </c>
      <c r="B2132" s="115" t="s">
        <v>11528</v>
      </c>
      <c r="C2132" s="117">
        <v>4196.8900000000003</v>
      </c>
    </row>
    <row r="2133" spans="1:3" x14ac:dyDescent="0.25">
      <c r="A2133" s="115">
        <v>3239233</v>
      </c>
      <c r="B2133" s="115" t="s">
        <v>11529</v>
      </c>
      <c r="C2133" s="117">
        <v>4196.8900000000003</v>
      </c>
    </row>
    <row r="2134" spans="1:3" x14ac:dyDescent="0.25">
      <c r="A2134" s="115">
        <v>3238259</v>
      </c>
      <c r="B2134" s="115" t="s">
        <v>11530</v>
      </c>
      <c r="C2134" s="117">
        <v>4196.8900000000003</v>
      </c>
    </row>
    <row r="2135" spans="1:3" x14ac:dyDescent="0.25">
      <c r="A2135" s="115">
        <v>3235050</v>
      </c>
      <c r="B2135" s="115" t="s">
        <v>2056</v>
      </c>
      <c r="C2135" s="117">
        <v>1032.52</v>
      </c>
    </row>
    <row r="2136" spans="1:3" x14ac:dyDescent="0.25">
      <c r="A2136" s="115">
        <v>3238266</v>
      </c>
      <c r="B2136" s="115" t="s">
        <v>11531</v>
      </c>
      <c r="C2136" s="117">
        <v>4196.8900000000003</v>
      </c>
    </row>
    <row r="2137" spans="1:3" x14ac:dyDescent="0.25">
      <c r="A2137" s="115">
        <v>3238296</v>
      </c>
      <c r="B2137" s="115" t="s">
        <v>11532</v>
      </c>
      <c r="C2137" s="117">
        <v>4196.8900000000003</v>
      </c>
    </row>
    <row r="2138" spans="1:3" x14ac:dyDescent="0.25">
      <c r="A2138" s="115">
        <v>3238201</v>
      </c>
      <c r="B2138" s="115" t="s">
        <v>11533</v>
      </c>
      <c r="C2138" s="117">
        <v>4196.8900000000003</v>
      </c>
    </row>
    <row r="2139" spans="1:3" x14ac:dyDescent="0.25">
      <c r="A2139" s="115">
        <v>3238276</v>
      </c>
      <c r="B2139" s="115" t="s">
        <v>11534</v>
      </c>
      <c r="C2139" s="117">
        <v>4196.8900000000003</v>
      </c>
    </row>
    <row r="2140" spans="1:3" x14ac:dyDescent="0.25">
      <c r="A2140" s="115">
        <v>3239201</v>
      </c>
      <c r="B2140" s="115" t="s">
        <v>11535</v>
      </c>
      <c r="C2140" s="117">
        <v>4899.22</v>
      </c>
    </row>
    <row r="2141" spans="1:3" x14ac:dyDescent="0.25">
      <c r="A2141" s="115">
        <v>3239209</v>
      </c>
      <c r="B2141" s="115" t="s">
        <v>11528</v>
      </c>
      <c r="C2141" s="117">
        <v>4899.22</v>
      </c>
    </row>
    <row r="2142" spans="1:3" x14ac:dyDescent="0.25">
      <c r="A2142" s="115">
        <v>3237300</v>
      </c>
      <c r="B2142" s="115" t="s">
        <v>2057</v>
      </c>
      <c r="C2142" s="117">
        <v>767.33</v>
      </c>
    </row>
    <row r="2143" spans="1:3" x14ac:dyDescent="0.25">
      <c r="A2143" s="115">
        <v>3235300</v>
      </c>
      <c r="B2143" s="115" t="s">
        <v>2058</v>
      </c>
      <c r="C2143" s="117">
        <v>1028.55</v>
      </c>
    </row>
    <row r="2144" spans="1:3" x14ac:dyDescent="0.25">
      <c r="A2144" s="115">
        <v>3223000</v>
      </c>
      <c r="B2144" s="115" t="s">
        <v>2059</v>
      </c>
      <c r="C2144" s="117">
        <v>1612.93</v>
      </c>
    </row>
    <row r="2145" spans="1:3" x14ac:dyDescent="0.25">
      <c r="A2145" s="115">
        <v>3223001</v>
      </c>
      <c r="B2145" s="115" t="s">
        <v>2060</v>
      </c>
      <c r="C2145" s="117">
        <v>1612.93</v>
      </c>
    </row>
    <row r="2146" spans="1:3" x14ac:dyDescent="0.25">
      <c r="A2146" s="115">
        <v>3231376</v>
      </c>
      <c r="B2146" s="115" t="s">
        <v>2061</v>
      </c>
      <c r="C2146" s="117">
        <v>1697.92</v>
      </c>
    </row>
    <row r="2147" spans="1:3" x14ac:dyDescent="0.25">
      <c r="A2147" s="115">
        <v>3231598</v>
      </c>
      <c r="B2147" s="115" t="s">
        <v>2062</v>
      </c>
      <c r="C2147" s="117">
        <v>1757.73</v>
      </c>
    </row>
    <row r="2148" spans="1:3" x14ac:dyDescent="0.25">
      <c r="A2148" s="115">
        <v>3231363</v>
      </c>
      <c r="B2148" s="115" t="s">
        <v>2063</v>
      </c>
      <c r="C2148" s="117">
        <v>1175.48</v>
      </c>
    </row>
    <row r="2149" spans="1:3" x14ac:dyDescent="0.25">
      <c r="A2149" s="115">
        <v>3231599</v>
      </c>
      <c r="B2149" s="115" t="s">
        <v>2064</v>
      </c>
      <c r="C2149" s="117">
        <v>2180.27</v>
      </c>
    </row>
    <row r="2150" spans="1:3" x14ac:dyDescent="0.25">
      <c r="A2150" s="115">
        <v>3181010</v>
      </c>
      <c r="B2150" s="115" t="s">
        <v>2065</v>
      </c>
      <c r="C2150" s="117">
        <v>917.82</v>
      </c>
    </row>
    <row r="2151" spans="1:3" x14ac:dyDescent="0.25">
      <c r="A2151" s="115">
        <v>3211229</v>
      </c>
      <c r="B2151" s="115" t="s">
        <v>2066</v>
      </c>
      <c r="C2151" s="117">
        <v>708.05</v>
      </c>
    </row>
    <row r="2152" spans="1:3" x14ac:dyDescent="0.25">
      <c r="A2152" s="115">
        <v>3211287</v>
      </c>
      <c r="B2152" s="115" t="s">
        <v>2067</v>
      </c>
      <c r="C2152" s="117">
        <v>3083.43</v>
      </c>
    </row>
    <row r="2153" spans="1:3" x14ac:dyDescent="0.25">
      <c r="A2153" s="115">
        <v>3211237</v>
      </c>
      <c r="B2153" s="115" t="s">
        <v>2068</v>
      </c>
      <c r="C2153" s="117">
        <v>708.05</v>
      </c>
    </row>
    <row r="2154" spans="1:3" x14ac:dyDescent="0.25">
      <c r="A2154" s="115">
        <v>3211222</v>
      </c>
      <c r="B2154" s="115" t="s">
        <v>2069</v>
      </c>
      <c r="C2154" s="117">
        <v>1192.26</v>
      </c>
    </row>
    <row r="2155" spans="1:3" x14ac:dyDescent="0.25">
      <c r="A2155" s="115">
        <v>3211215</v>
      </c>
      <c r="B2155" s="115" t="s">
        <v>2070</v>
      </c>
      <c r="C2155" s="117">
        <v>708.05</v>
      </c>
    </row>
    <row r="2156" spans="1:3" x14ac:dyDescent="0.25">
      <c r="A2156" s="115">
        <v>3215208</v>
      </c>
      <c r="B2156" s="115" t="s">
        <v>2071</v>
      </c>
      <c r="C2156" s="117">
        <v>3083.43</v>
      </c>
    </row>
    <row r="2157" spans="1:3" x14ac:dyDescent="0.25">
      <c r="A2157" s="115">
        <v>3211221</v>
      </c>
      <c r="B2157" s="115" t="s">
        <v>2072</v>
      </c>
      <c r="C2157" s="117">
        <v>3083.43</v>
      </c>
    </row>
    <row r="2158" spans="1:3" x14ac:dyDescent="0.25">
      <c r="A2158" s="115">
        <v>3211290</v>
      </c>
      <c r="B2158" s="115" t="s">
        <v>2073</v>
      </c>
      <c r="C2158" s="117">
        <v>3083.43</v>
      </c>
    </row>
    <row r="2159" spans="1:3" x14ac:dyDescent="0.25">
      <c r="A2159" s="115">
        <v>3211236</v>
      </c>
      <c r="B2159" s="115" t="s">
        <v>2074</v>
      </c>
      <c r="C2159" s="117">
        <v>708.05</v>
      </c>
    </row>
    <row r="2160" spans="1:3" x14ac:dyDescent="0.25">
      <c r="A2160" s="115">
        <v>3211245</v>
      </c>
      <c r="B2160" s="115" t="s">
        <v>2075</v>
      </c>
      <c r="C2160" s="117">
        <v>3083.43</v>
      </c>
    </row>
    <row r="2161" spans="1:3" x14ac:dyDescent="0.25">
      <c r="A2161" s="115">
        <v>3211726</v>
      </c>
      <c r="B2161" s="115" t="s">
        <v>2076</v>
      </c>
      <c r="C2161" s="117">
        <v>1754.91</v>
      </c>
    </row>
    <row r="2162" spans="1:3" x14ac:dyDescent="0.25">
      <c r="A2162" s="115">
        <v>3211729</v>
      </c>
      <c r="B2162" s="115" t="s">
        <v>2077</v>
      </c>
      <c r="C2162" s="117">
        <v>1754.91</v>
      </c>
    </row>
    <row r="2163" spans="1:3" x14ac:dyDescent="0.25">
      <c r="A2163" s="115">
        <v>3211723</v>
      </c>
      <c r="B2163" s="115" t="s">
        <v>2078</v>
      </c>
      <c r="C2163" s="117">
        <v>1754.91</v>
      </c>
    </row>
    <row r="2164" spans="1:3" x14ac:dyDescent="0.25">
      <c r="A2164" s="115">
        <v>3211738</v>
      </c>
      <c r="B2164" s="115" t="s">
        <v>2079</v>
      </c>
      <c r="C2164" s="117">
        <v>1754.91</v>
      </c>
    </row>
    <row r="2165" spans="1:3" x14ac:dyDescent="0.25">
      <c r="A2165" s="115">
        <v>3211706</v>
      </c>
      <c r="B2165" s="115" t="s">
        <v>2080</v>
      </c>
      <c r="C2165" s="117">
        <v>1585.7</v>
      </c>
    </row>
    <row r="2166" spans="1:3" x14ac:dyDescent="0.25">
      <c r="A2166" s="115">
        <v>3211763</v>
      </c>
      <c r="B2166" s="115" t="s">
        <v>2081</v>
      </c>
      <c r="C2166" s="117">
        <v>1754.91</v>
      </c>
    </row>
    <row r="2167" spans="1:3" x14ac:dyDescent="0.25">
      <c r="A2167" s="115">
        <v>3211762</v>
      </c>
      <c r="B2167" s="115" t="s">
        <v>2082</v>
      </c>
      <c r="C2167" s="117">
        <v>1754.91</v>
      </c>
    </row>
    <row r="2168" spans="1:3" x14ac:dyDescent="0.25">
      <c r="A2168" s="115">
        <v>3211799</v>
      </c>
      <c r="B2168" s="115" t="s">
        <v>2083</v>
      </c>
      <c r="C2168" s="117">
        <v>1754.91</v>
      </c>
    </row>
    <row r="2169" spans="1:3" x14ac:dyDescent="0.25">
      <c r="A2169" s="115">
        <v>3211776</v>
      </c>
      <c r="B2169" s="115" t="s">
        <v>2084</v>
      </c>
      <c r="C2169" s="117">
        <v>1754.91</v>
      </c>
    </row>
    <row r="2170" spans="1:3" x14ac:dyDescent="0.25">
      <c r="A2170" s="115">
        <v>3211777</v>
      </c>
      <c r="B2170" s="115" t="s">
        <v>2085</v>
      </c>
      <c r="C2170" s="117">
        <v>1754.91</v>
      </c>
    </row>
    <row r="2171" spans="1:3" x14ac:dyDescent="0.25">
      <c r="A2171" s="115">
        <v>3211783</v>
      </c>
      <c r="B2171" s="115" t="s">
        <v>2086</v>
      </c>
      <c r="C2171" s="117">
        <v>1754.91</v>
      </c>
    </row>
    <row r="2172" spans="1:3" x14ac:dyDescent="0.25">
      <c r="A2172" s="115">
        <v>3211784</v>
      </c>
      <c r="B2172" s="115" t="s">
        <v>2087</v>
      </c>
      <c r="C2172" s="117">
        <v>1754.91</v>
      </c>
    </row>
    <row r="2173" spans="1:3" x14ac:dyDescent="0.25">
      <c r="A2173" s="115">
        <v>3211707</v>
      </c>
      <c r="B2173" s="115" t="s">
        <v>2088</v>
      </c>
      <c r="C2173" s="117">
        <v>603.05999999999995</v>
      </c>
    </row>
    <row r="2174" spans="1:3" x14ac:dyDescent="0.25">
      <c r="A2174" s="115">
        <v>3211705</v>
      </c>
      <c r="B2174" s="115" t="s">
        <v>2089</v>
      </c>
      <c r="C2174" s="117">
        <v>634.79999999999995</v>
      </c>
    </row>
    <row r="2175" spans="1:3" x14ac:dyDescent="0.25">
      <c r="A2175" s="115">
        <v>3221327</v>
      </c>
      <c r="B2175" s="115" t="s">
        <v>2090</v>
      </c>
      <c r="C2175" s="117">
        <v>420.32</v>
      </c>
    </row>
    <row r="2176" spans="1:3" x14ac:dyDescent="0.25">
      <c r="A2176" s="115">
        <v>3221300</v>
      </c>
      <c r="B2176" s="115" t="s">
        <v>2091</v>
      </c>
      <c r="C2176" s="117">
        <v>420.32</v>
      </c>
    </row>
    <row r="2177" spans="1:3" x14ac:dyDescent="0.25">
      <c r="A2177" s="115">
        <v>3221329</v>
      </c>
      <c r="B2177" s="115" t="s">
        <v>2092</v>
      </c>
      <c r="C2177" s="117">
        <v>420.32</v>
      </c>
    </row>
    <row r="2178" spans="1:3" x14ac:dyDescent="0.25">
      <c r="A2178" s="115">
        <v>3221363</v>
      </c>
      <c r="B2178" s="115" t="s">
        <v>2093</v>
      </c>
      <c r="C2178" s="117">
        <v>420.32</v>
      </c>
    </row>
    <row r="2179" spans="1:3" x14ac:dyDescent="0.25">
      <c r="A2179" s="115">
        <v>3221362</v>
      </c>
      <c r="B2179" s="115" t="s">
        <v>2094</v>
      </c>
      <c r="C2179" s="117">
        <v>420.32</v>
      </c>
    </row>
    <row r="2180" spans="1:3" x14ac:dyDescent="0.25">
      <c r="A2180" s="115">
        <v>3221376</v>
      </c>
      <c r="B2180" s="115" t="s">
        <v>2095</v>
      </c>
      <c r="C2180" s="117">
        <v>420.32</v>
      </c>
    </row>
    <row r="2181" spans="1:3" x14ac:dyDescent="0.25">
      <c r="A2181" s="115">
        <v>3221226</v>
      </c>
      <c r="B2181" s="115" t="s">
        <v>2096</v>
      </c>
      <c r="C2181" s="117">
        <v>84.48</v>
      </c>
    </row>
    <row r="2182" spans="1:3" x14ac:dyDescent="0.25">
      <c r="A2182" s="115">
        <v>3221223</v>
      </c>
      <c r="B2182" s="115" t="s">
        <v>2097</v>
      </c>
      <c r="C2182" s="117">
        <v>84.48</v>
      </c>
    </row>
    <row r="2183" spans="1:3" x14ac:dyDescent="0.25">
      <c r="A2183" s="115">
        <v>3221277</v>
      </c>
      <c r="B2183" s="115" t="s">
        <v>2098</v>
      </c>
      <c r="C2183" s="117">
        <v>84.48</v>
      </c>
    </row>
    <row r="2184" spans="1:3" x14ac:dyDescent="0.25">
      <c r="A2184" s="115">
        <v>3221426</v>
      </c>
      <c r="B2184" s="115" t="s">
        <v>2099</v>
      </c>
      <c r="C2184" s="117">
        <v>46.28</v>
      </c>
    </row>
    <row r="2185" spans="1:3" x14ac:dyDescent="0.25">
      <c r="A2185" s="115">
        <v>3221477</v>
      </c>
      <c r="B2185" s="115" t="s">
        <v>2100</v>
      </c>
      <c r="C2185" s="117">
        <v>46.28</v>
      </c>
    </row>
    <row r="2186" spans="1:3" x14ac:dyDescent="0.25">
      <c r="A2186" s="115">
        <v>3221483</v>
      </c>
      <c r="B2186" s="115" t="s">
        <v>2101</v>
      </c>
      <c r="C2186" s="117">
        <v>46.28</v>
      </c>
    </row>
    <row r="2187" spans="1:3" x14ac:dyDescent="0.25">
      <c r="A2187" s="115">
        <v>3221183</v>
      </c>
      <c r="B2187" s="115" t="s">
        <v>11536</v>
      </c>
      <c r="C2187" s="117">
        <v>95.53</v>
      </c>
    </row>
    <row r="2188" spans="1:3" x14ac:dyDescent="0.25">
      <c r="A2188" s="115">
        <v>3221500</v>
      </c>
      <c r="B2188" s="115" t="s">
        <v>2102</v>
      </c>
      <c r="C2188" s="117">
        <v>471.18</v>
      </c>
    </row>
    <row r="2189" spans="1:3" x14ac:dyDescent="0.25">
      <c r="A2189" s="115">
        <v>3221526</v>
      </c>
      <c r="B2189" s="115" t="s">
        <v>2103</v>
      </c>
      <c r="C2189" s="117">
        <v>27630.85</v>
      </c>
    </row>
    <row r="2190" spans="1:3" x14ac:dyDescent="0.25">
      <c r="A2190" s="115">
        <v>3221584</v>
      </c>
      <c r="B2190" s="115" t="s">
        <v>2104</v>
      </c>
      <c r="C2190" s="117">
        <v>1105.23</v>
      </c>
    </row>
    <row r="2191" spans="1:3" x14ac:dyDescent="0.25">
      <c r="A2191" s="115">
        <v>3221583</v>
      </c>
      <c r="B2191" s="115" t="s">
        <v>2105</v>
      </c>
      <c r="C2191" s="117">
        <v>1105.23</v>
      </c>
    </row>
    <row r="2192" spans="1:3" x14ac:dyDescent="0.25">
      <c r="A2192" s="115">
        <v>3221585</v>
      </c>
      <c r="B2192" s="115" t="s">
        <v>2106</v>
      </c>
      <c r="C2192" s="117">
        <v>27618.68</v>
      </c>
    </row>
    <row r="2193" spans="1:3" x14ac:dyDescent="0.25">
      <c r="A2193" s="115">
        <v>3161100</v>
      </c>
      <c r="B2193" s="115" t="s">
        <v>2107</v>
      </c>
      <c r="C2193" s="117">
        <v>2354.33</v>
      </c>
    </row>
    <row r="2194" spans="1:3" x14ac:dyDescent="0.25">
      <c r="A2194" s="115">
        <v>3233104</v>
      </c>
      <c r="B2194" s="115" t="s">
        <v>11537</v>
      </c>
      <c r="C2194" s="117">
        <v>4899.22</v>
      </c>
    </row>
    <row r="2195" spans="1:3" x14ac:dyDescent="0.25">
      <c r="A2195" s="115">
        <v>3233105</v>
      </c>
      <c r="B2195" s="115" t="s">
        <v>11538</v>
      </c>
      <c r="C2195" s="117">
        <v>4899.22</v>
      </c>
    </row>
    <row r="2196" spans="1:3" x14ac:dyDescent="0.25">
      <c r="A2196" s="115">
        <v>3233106</v>
      </c>
      <c r="B2196" s="115" t="s">
        <v>11539</v>
      </c>
      <c r="C2196" s="117">
        <v>4899.22</v>
      </c>
    </row>
    <row r="2197" spans="1:3" x14ac:dyDescent="0.25">
      <c r="A2197" s="115">
        <v>3233107</v>
      </c>
      <c r="B2197" s="115" t="s">
        <v>11540</v>
      </c>
      <c r="C2197" s="117">
        <v>4899.22</v>
      </c>
    </row>
    <row r="2198" spans="1:3" x14ac:dyDescent="0.25">
      <c r="A2198" s="115">
        <v>3229811</v>
      </c>
      <c r="B2198" s="115" t="s">
        <v>2108</v>
      </c>
      <c r="C2198" s="117">
        <v>921.63</v>
      </c>
    </row>
    <row r="2199" spans="1:3" x14ac:dyDescent="0.25">
      <c r="A2199" s="115">
        <v>3224195</v>
      </c>
      <c r="B2199" s="115" t="s">
        <v>2109</v>
      </c>
      <c r="C2199" s="117">
        <v>350.26</v>
      </c>
    </row>
    <row r="2200" spans="1:3" x14ac:dyDescent="0.25">
      <c r="A2200" s="115">
        <v>3221600</v>
      </c>
      <c r="B2200" s="115" t="s">
        <v>2110</v>
      </c>
      <c r="C2200" s="117">
        <v>121.13</v>
      </c>
    </row>
    <row r="2201" spans="1:3" x14ac:dyDescent="0.25">
      <c r="A2201" s="115">
        <v>3223104</v>
      </c>
      <c r="B2201" s="115" t="s">
        <v>2111</v>
      </c>
      <c r="C2201" s="117">
        <v>1984.8</v>
      </c>
    </row>
    <row r="2202" spans="1:3" x14ac:dyDescent="0.25">
      <c r="A2202" s="115">
        <v>3223100</v>
      </c>
      <c r="B2202" s="115" t="s">
        <v>2112</v>
      </c>
      <c r="C2202" s="117">
        <v>2184.17</v>
      </c>
    </row>
    <row r="2203" spans="1:3" x14ac:dyDescent="0.25">
      <c r="A2203" s="115">
        <v>3229200</v>
      </c>
      <c r="B2203" s="115" t="s">
        <v>2113</v>
      </c>
      <c r="C2203" s="117">
        <v>638.15</v>
      </c>
    </row>
    <row r="2204" spans="1:3" x14ac:dyDescent="0.25">
      <c r="A2204" s="115">
        <v>3232620</v>
      </c>
      <c r="B2204" s="115" t="s">
        <v>2114</v>
      </c>
      <c r="C2204" s="117">
        <v>1071.04</v>
      </c>
    </row>
    <row r="2205" spans="1:3" x14ac:dyDescent="0.25">
      <c r="A2205" s="115">
        <v>3232619</v>
      </c>
      <c r="B2205" s="115" t="s">
        <v>2115</v>
      </c>
      <c r="C2205" s="117">
        <v>1071.04</v>
      </c>
    </row>
    <row r="2206" spans="1:3" x14ac:dyDescent="0.25">
      <c r="A2206" s="115">
        <v>3232621</v>
      </c>
      <c r="B2206" s="115" t="s">
        <v>2116</v>
      </c>
      <c r="C2206" s="117">
        <v>1071.04</v>
      </c>
    </row>
    <row r="2207" spans="1:3" x14ac:dyDescent="0.25">
      <c r="A2207" s="115">
        <v>3232622</v>
      </c>
      <c r="B2207" s="115" t="s">
        <v>2117</v>
      </c>
      <c r="C2207" s="117">
        <v>1071.04</v>
      </c>
    </row>
    <row r="2208" spans="1:3" x14ac:dyDescent="0.25">
      <c r="A2208" s="115">
        <v>3232599</v>
      </c>
      <c r="B2208" s="115" t="s">
        <v>2118</v>
      </c>
      <c r="C2208" s="117">
        <v>1926.75</v>
      </c>
    </row>
    <row r="2209" spans="1:3" x14ac:dyDescent="0.25">
      <c r="A2209" s="115">
        <v>3210901</v>
      </c>
      <c r="B2209" s="115" t="s">
        <v>2119</v>
      </c>
      <c r="C2209" s="117">
        <v>567.58000000000004</v>
      </c>
    </row>
    <row r="2210" spans="1:3" x14ac:dyDescent="0.25">
      <c r="A2210" s="115">
        <v>3222504</v>
      </c>
      <c r="B2210" s="115" t="s">
        <v>2120</v>
      </c>
      <c r="C2210" s="117">
        <v>945.15</v>
      </c>
    </row>
    <row r="2211" spans="1:3" x14ac:dyDescent="0.25">
      <c r="A2211" s="115">
        <v>3222500</v>
      </c>
      <c r="B2211" s="115" t="s">
        <v>2121</v>
      </c>
      <c r="C2211" s="117">
        <v>1061.9000000000001</v>
      </c>
    </row>
    <row r="2212" spans="1:3" x14ac:dyDescent="0.25">
      <c r="A2212" s="115">
        <v>3222604</v>
      </c>
      <c r="B2212" s="115" t="s">
        <v>2122</v>
      </c>
      <c r="C2212" s="117">
        <v>268.52999999999997</v>
      </c>
    </row>
    <row r="2213" spans="1:3" x14ac:dyDescent="0.25">
      <c r="A2213" s="115">
        <v>3222600</v>
      </c>
      <c r="B2213" s="115" t="s">
        <v>2123</v>
      </c>
      <c r="C2213" s="117">
        <v>444.78</v>
      </c>
    </row>
    <row r="2214" spans="1:3" x14ac:dyDescent="0.25">
      <c r="A2214" s="115">
        <v>3222204</v>
      </c>
      <c r="B2214" s="115" t="s">
        <v>2124</v>
      </c>
      <c r="C2214" s="117">
        <v>688.85</v>
      </c>
    </row>
    <row r="2215" spans="1:3" x14ac:dyDescent="0.25">
      <c r="A2215" s="115">
        <v>3222200</v>
      </c>
      <c r="B2215" s="115" t="s">
        <v>2125</v>
      </c>
      <c r="C2215" s="117">
        <v>798.32</v>
      </c>
    </row>
    <row r="2216" spans="1:3" x14ac:dyDescent="0.25">
      <c r="A2216" s="115">
        <v>3222300</v>
      </c>
      <c r="B2216" s="115" t="s">
        <v>2126</v>
      </c>
      <c r="C2216" s="117">
        <v>433.66</v>
      </c>
    </row>
    <row r="2217" spans="1:3" x14ac:dyDescent="0.25">
      <c r="A2217" s="115">
        <v>3222404</v>
      </c>
      <c r="B2217" s="115" t="s">
        <v>2127</v>
      </c>
      <c r="C2217" s="117">
        <v>225.16</v>
      </c>
    </row>
    <row r="2218" spans="1:3" x14ac:dyDescent="0.25">
      <c r="A2218" s="115">
        <v>3222400</v>
      </c>
      <c r="B2218" s="115" t="s">
        <v>2128</v>
      </c>
      <c r="C2218" s="117">
        <v>266.87</v>
      </c>
    </row>
    <row r="2219" spans="1:3" x14ac:dyDescent="0.25">
      <c r="A2219" s="115">
        <v>3221804</v>
      </c>
      <c r="B2219" s="115" t="s">
        <v>2129</v>
      </c>
      <c r="C2219" s="117">
        <v>1514.35</v>
      </c>
    </row>
    <row r="2220" spans="1:3" x14ac:dyDescent="0.25">
      <c r="A2220" s="115">
        <v>3220305</v>
      </c>
      <c r="B2220" s="115" t="s">
        <v>2130</v>
      </c>
      <c r="C2220" s="117">
        <v>308.20999999999998</v>
      </c>
    </row>
    <row r="2221" spans="1:3" x14ac:dyDescent="0.25">
      <c r="A2221" s="115">
        <v>3220306</v>
      </c>
      <c r="B2221" s="115" t="s">
        <v>2131</v>
      </c>
      <c r="C2221" s="117">
        <v>269.69</v>
      </c>
    </row>
    <row r="2222" spans="1:3" x14ac:dyDescent="0.25">
      <c r="A2222" s="115">
        <v>3236575</v>
      </c>
      <c r="B2222" s="115" t="s">
        <v>2132</v>
      </c>
      <c r="C2222" s="117">
        <v>1749.72</v>
      </c>
    </row>
    <row r="2223" spans="1:3" x14ac:dyDescent="0.25">
      <c r="A2223" s="115">
        <v>3236570</v>
      </c>
      <c r="B2223" s="115" t="s">
        <v>2133</v>
      </c>
      <c r="C2223" s="117">
        <v>1749.72</v>
      </c>
    </row>
    <row r="2224" spans="1:3" x14ac:dyDescent="0.25">
      <c r="A2224" s="115">
        <v>3236580</v>
      </c>
      <c r="B2224" s="115" t="s">
        <v>2134</v>
      </c>
      <c r="C2224" s="117">
        <v>1749.72</v>
      </c>
    </row>
    <row r="2225" spans="1:3" x14ac:dyDescent="0.25">
      <c r="A2225" s="115">
        <v>3236571</v>
      </c>
      <c r="B2225" s="115" t="s">
        <v>2135</v>
      </c>
      <c r="C2225" s="117">
        <v>1749.72</v>
      </c>
    </row>
    <row r="2226" spans="1:3" x14ac:dyDescent="0.25">
      <c r="A2226" s="115">
        <v>3236572</v>
      </c>
      <c r="B2226" s="115" t="s">
        <v>2136</v>
      </c>
      <c r="C2226" s="117">
        <v>1749.72</v>
      </c>
    </row>
    <row r="2227" spans="1:3" x14ac:dyDescent="0.25">
      <c r="A2227" s="115">
        <v>3236565</v>
      </c>
      <c r="B2227" s="115" t="s">
        <v>2137</v>
      </c>
      <c r="C2227" s="117">
        <v>1686.78</v>
      </c>
    </row>
    <row r="2228" spans="1:3" x14ac:dyDescent="0.25">
      <c r="A2228" s="115">
        <v>3236550</v>
      </c>
      <c r="B2228" s="115" t="s">
        <v>2138</v>
      </c>
      <c r="C2228" s="117">
        <v>1686.78</v>
      </c>
    </row>
    <row r="2229" spans="1:3" x14ac:dyDescent="0.25">
      <c r="A2229" s="115">
        <v>3236530</v>
      </c>
      <c r="B2229" s="115" t="s">
        <v>2139</v>
      </c>
      <c r="C2229" s="117">
        <v>1686.78</v>
      </c>
    </row>
    <row r="2230" spans="1:3" x14ac:dyDescent="0.25">
      <c r="A2230" s="115">
        <v>3236510</v>
      </c>
      <c r="B2230" s="115" t="s">
        <v>2140</v>
      </c>
      <c r="C2230" s="117">
        <v>1686.78</v>
      </c>
    </row>
    <row r="2231" spans="1:3" x14ac:dyDescent="0.25">
      <c r="A2231" s="115">
        <v>3236520</v>
      </c>
      <c r="B2231" s="115" t="s">
        <v>2141</v>
      </c>
      <c r="C2231" s="117">
        <v>1686.78</v>
      </c>
    </row>
    <row r="2232" spans="1:3" x14ac:dyDescent="0.25">
      <c r="A2232" s="115">
        <v>3237821</v>
      </c>
      <c r="B2232" s="115" t="s">
        <v>2142</v>
      </c>
      <c r="C2232" s="117">
        <v>1263.52</v>
      </c>
    </row>
    <row r="2233" spans="1:3" x14ac:dyDescent="0.25">
      <c r="A2233" s="115">
        <v>3237822</v>
      </c>
      <c r="B2233" s="115" t="s">
        <v>2143</v>
      </c>
      <c r="C2233" s="117">
        <v>1263.52</v>
      </c>
    </row>
    <row r="2234" spans="1:3" x14ac:dyDescent="0.25">
      <c r="A2234" s="115">
        <v>3237744</v>
      </c>
      <c r="B2234" s="115" t="s">
        <v>2144</v>
      </c>
      <c r="C2234" s="117">
        <v>3342.56</v>
      </c>
    </row>
    <row r="2235" spans="1:3" x14ac:dyDescent="0.25">
      <c r="A2235" s="115">
        <v>3237743</v>
      </c>
      <c r="B2235" s="115" t="s">
        <v>2145</v>
      </c>
      <c r="C2235" s="117">
        <v>3342.56</v>
      </c>
    </row>
    <row r="2236" spans="1:3" x14ac:dyDescent="0.25">
      <c r="A2236" s="115">
        <v>3237741</v>
      </c>
      <c r="B2236" s="115" t="s">
        <v>2146</v>
      </c>
      <c r="C2236" s="117">
        <v>3342.56</v>
      </c>
    </row>
    <row r="2237" spans="1:3" x14ac:dyDescent="0.25">
      <c r="A2237" s="115">
        <v>3237745</v>
      </c>
      <c r="B2237" s="115" t="s">
        <v>2146</v>
      </c>
      <c r="C2237" s="117">
        <v>3342.56</v>
      </c>
    </row>
    <row r="2238" spans="1:3" x14ac:dyDescent="0.25">
      <c r="A2238" s="115">
        <v>3237742</v>
      </c>
      <c r="B2238" s="115" t="s">
        <v>2147</v>
      </c>
      <c r="C2238" s="117">
        <v>3342.56</v>
      </c>
    </row>
    <row r="2239" spans="1:3" x14ac:dyDescent="0.25">
      <c r="A2239" s="115">
        <v>3220426</v>
      </c>
      <c r="B2239" s="115" t="s">
        <v>2148</v>
      </c>
      <c r="C2239" s="117">
        <v>1010.61</v>
      </c>
    </row>
    <row r="2240" spans="1:3" x14ac:dyDescent="0.25">
      <c r="A2240" s="115">
        <v>3220421</v>
      </c>
      <c r="B2240" s="115" t="s">
        <v>2149</v>
      </c>
      <c r="C2240" s="117">
        <v>1010.61</v>
      </c>
    </row>
    <row r="2241" spans="1:3" x14ac:dyDescent="0.25">
      <c r="A2241" s="115">
        <v>3220424</v>
      </c>
      <c r="B2241" s="115" t="s">
        <v>2150</v>
      </c>
      <c r="C2241" s="117">
        <v>809.16</v>
      </c>
    </row>
    <row r="2242" spans="1:3" x14ac:dyDescent="0.25">
      <c r="A2242" s="115">
        <v>3220423</v>
      </c>
      <c r="B2242" s="115" t="s">
        <v>2151</v>
      </c>
      <c r="C2242" s="117">
        <v>809.16</v>
      </c>
    </row>
    <row r="2243" spans="1:3" x14ac:dyDescent="0.25">
      <c r="A2243" s="115">
        <v>3220435</v>
      </c>
      <c r="B2243" s="115" t="s">
        <v>2152</v>
      </c>
      <c r="C2243" s="117">
        <v>809.16</v>
      </c>
    </row>
    <row r="2244" spans="1:3" x14ac:dyDescent="0.25">
      <c r="A2244" s="115">
        <v>3220422</v>
      </c>
      <c r="B2244" s="115" t="s">
        <v>2153</v>
      </c>
      <c r="C2244" s="117">
        <v>1010.61</v>
      </c>
    </row>
    <row r="2245" spans="1:3" x14ac:dyDescent="0.25">
      <c r="A2245" s="115">
        <v>3220434</v>
      </c>
      <c r="B2245" s="115" t="s">
        <v>2154</v>
      </c>
      <c r="C2245" s="117">
        <v>809.16</v>
      </c>
    </row>
    <row r="2246" spans="1:3" x14ac:dyDescent="0.25">
      <c r="A2246" s="115">
        <v>3229810</v>
      </c>
      <c r="B2246" s="115" t="s">
        <v>2155</v>
      </c>
      <c r="C2246" s="117">
        <v>1229.23</v>
      </c>
    </row>
    <row r="2247" spans="1:3" x14ac:dyDescent="0.25">
      <c r="A2247" s="115">
        <v>3229503</v>
      </c>
      <c r="B2247" s="115" t="s">
        <v>2156</v>
      </c>
      <c r="C2247" s="117">
        <v>867.93</v>
      </c>
    </row>
    <row r="2248" spans="1:3" x14ac:dyDescent="0.25">
      <c r="A2248" s="115">
        <v>3229500</v>
      </c>
      <c r="B2248" s="115" t="s">
        <v>2157</v>
      </c>
      <c r="C2248" s="117">
        <v>1644.49</v>
      </c>
    </row>
    <row r="2249" spans="1:3" x14ac:dyDescent="0.25">
      <c r="A2249" s="115">
        <v>3229506</v>
      </c>
      <c r="B2249" s="115" t="s">
        <v>2158</v>
      </c>
      <c r="C2249" s="117">
        <v>851.94</v>
      </c>
    </row>
    <row r="2250" spans="1:3" x14ac:dyDescent="0.25">
      <c r="A2250" s="115">
        <v>3229513</v>
      </c>
      <c r="B2250" s="115" t="s">
        <v>2159</v>
      </c>
      <c r="C2250" s="117">
        <v>6338.16</v>
      </c>
    </row>
    <row r="2251" spans="1:3" x14ac:dyDescent="0.25">
      <c r="A2251" s="115">
        <v>3229512</v>
      </c>
      <c r="B2251" s="115" t="s">
        <v>2160</v>
      </c>
      <c r="C2251" s="117">
        <v>1416.09</v>
      </c>
    </row>
    <row r="2252" spans="1:3" x14ac:dyDescent="0.25">
      <c r="A2252" s="115">
        <v>3229514</v>
      </c>
      <c r="B2252" s="115" t="s">
        <v>2161</v>
      </c>
      <c r="C2252" s="117">
        <v>2713.42</v>
      </c>
    </row>
    <row r="2253" spans="1:3" x14ac:dyDescent="0.25">
      <c r="A2253" s="115">
        <v>3229507</v>
      </c>
      <c r="B2253" s="115" t="s">
        <v>2162</v>
      </c>
      <c r="C2253" s="117">
        <v>851.94</v>
      </c>
    </row>
    <row r="2254" spans="1:3" x14ac:dyDescent="0.25">
      <c r="A2254" s="115">
        <v>3229508</v>
      </c>
      <c r="B2254" s="115" t="s">
        <v>2163</v>
      </c>
      <c r="C2254" s="117">
        <v>6680.76</v>
      </c>
    </row>
    <row r="2255" spans="1:3" x14ac:dyDescent="0.25">
      <c r="A2255" s="115">
        <v>3229515</v>
      </c>
      <c r="B2255" s="115" t="s">
        <v>2164</v>
      </c>
      <c r="C2255" s="117">
        <v>6680.76</v>
      </c>
    </row>
    <row r="2256" spans="1:3" x14ac:dyDescent="0.25">
      <c r="A2256" s="115">
        <v>3229517</v>
      </c>
      <c r="B2256" s="115" t="s">
        <v>11541</v>
      </c>
      <c r="C2256" s="117">
        <v>6680.76</v>
      </c>
    </row>
    <row r="2257" spans="1:3" x14ac:dyDescent="0.25">
      <c r="A2257" s="115">
        <v>3229501</v>
      </c>
      <c r="B2257" s="115" t="s">
        <v>2165</v>
      </c>
      <c r="C2257" s="117">
        <v>6338.16</v>
      </c>
    </row>
    <row r="2258" spans="1:3" x14ac:dyDescent="0.25">
      <c r="A2258" s="115">
        <v>3229502</v>
      </c>
      <c r="B2258" s="115" t="s">
        <v>2166</v>
      </c>
      <c r="C2258" s="117">
        <v>867.93</v>
      </c>
    </row>
    <row r="2259" spans="1:3" x14ac:dyDescent="0.25">
      <c r="A2259" s="115">
        <v>3229511</v>
      </c>
      <c r="B2259" s="115" t="s">
        <v>2167</v>
      </c>
      <c r="C2259" s="117">
        <v>6680.76</v>
      </c>
    </row>
    <row r="2260" spans="1:3" x14ac:dyDescent="0.25">
      <c r="A2260" s="115">
        <v>3229509</v>
      </c>
      <c r="B2260" s="115" t="s">
        <v>2168</v>
      </c>
      <c r="C2260" s="117">
        <v>6680.76</v>
      </c>
    </row>
    <row r="2261" spans="1:3" x14ac:dyDescent="0.25">
      <c r="A2261" s="115">
        <v>3222304</v>
      </c>
      <c r="B2261" s="115" t="s">
        <v>2169</v>
      </c>
      <c r="C2261" s="117">
        <v>350.26</v>
      </c>
    </row>
    <row r="2262" spans="1:3" x14ac:dyDescent="0.25">
      <c r="A2262" s="115">
        <v>3229505</v>
      </c>
      <c r="B2262" s="115" t="s">
        <v>2170</v>
      </c>
      <c r="C2262" s="117">
        <v>930.74</v>
      </c>
    </row>
    <row r="2263" spans="1:3" x14ac:dyDescent="0.25">
      <c r="A2263" s="115">
        <v>3229521</v>
      </c>
      <c r="B2263" s="115" t="s">
        <v>11542</v>
      </c>
      <c r="C2263" s="117">
        <v>6680.76</v>
      </c>
    </row>
    <row r="2264" spans="1:3" x14ac:dyDescent="0.25">
      <c r="A2264" s="115">
        <v>3229522</v>
      </c>
      <c r="B2264" s="115" t="s">
        <v>11543</v>
      </c>
      <c r="C2264" s="117">
        <v>6680.76</v>
      </c>
    </row>
    <row r="2265" spans="1:3" x14ac:dyDescent="0.25">
      <c r="A2265" s="115">
        <v>3229523</v>
      </c>
      <c r="B2265" s="115" t="s">
        <v>11544</v>
      </c>
      <c r="C2265" s="117">
        <v>6680.76</v>
      </c>
    </row>
    <row r="2266" spans="1:3" x14ac:dyDescent="0.25">
      <c r="A2266" s="115">
        <v>3229524</v>
      </c>
      <c r="B2266" s="115" t="s">
        <v>11545</v>
      </c>
      <c r="C2266" s="117">
        <v>6680.76</v>
      </c>
    </row>
    <row r="2267" spans="1:3" x14ac:dyDescent="0.25">
      <c r="A2267" s="115">
        <v>3229525</v>
      </c>
      <c r="B2267" s="115" t="s">
        <v>11546</v>
      </c>
      <c r="C2267" s="117">
        <v>6680.76</v>
      </c>
    </row>
    <row r="2268" spans="1:3" x14ac:dyDescent="0.25">
      <c r="A2268" s="115">
        <v>3229526</v>
      </c>
      <c r="B2268" s="115" t="s">
        <v>11547</v>
      </c>
      <c r="C2268" s="117">
        <v>6680.76</v>
      </c>
    </row>
    <row r="2269" spans="1:3" x14ac:dyDescent="0.25">
      <c r="A2269" s="115">
        <v>3220412</v>
      </c>
      <c r="B2269" s="115" t="s">
        <v>2171</v>
      </c>
      <c r="C2269" s="117">
        <v>667.03</v>
      </c>
    </row>
    <row r="2270" spans="1:3" x14ac:dyDescent="0.25">
      <c r="A2270" s="115">
        <v>3229866</v>
      </c>
      <c r="B2270" s="115" t="s">
        <v>2172</v>
      </c>
      <c r="C2270" s="117">
        <v>1229.23</v>
      </c>
    </row>
    <row r="2271" spans="1:3" x14ac:dyDescent="0.25">
      <c r="A2271" s="115">
        <v>3237666</v>
      </c>
      <c r="B2271" s="115" t="s">
        <v>2173</v>
      </c>
      <c r="C2271" s="117">
        <v>5412.57</v>
      </c>
    </row>
    <row r="2272" spans="1:3" x14ac:dyDescent="0.25">
      <c r="A2272" s="115">
        <v>3237629</v>
      </c>
      <c r="B2272" s="115" t="s">
        <v>2174</v>
      </c>
      <c r="C2272" s="117">
        <v>5412.57</v>
      </c>
    </row>
    <row r="2273" spans="1:3" x14ac:dyDescent="0.25">
      <c r="A2273" s="115">
        <v>3237650</v>
      </c>
      <c r="B2273" s="115" t="s">
        <v>2175</v>
      </c>
      <c r="C2273" s="117">
        <v>5412.57</v>
      </c>
    </row>
    <row r="2274" spans="1:3" x14ac:dyDescent="0.25">
      <c r="A2274" s="115">
        <v>3237632</v>
      </c>
      <c r="B2274" s="115" t="s">
        <v>2176</v>
      </c>
      <c r="C2274" s="117">
        <v>5412.57</v>
      </c>
    </row>
    <row r="2275" spans="1:3" x14ac:dyDescent="0.25">
      <c r="A2275" s="115">
        <v>3237611</v>
      </c>
      <c r="B2275" s="115" t="s">
        <v>2177</v>
      </c>
      <c r="C2275" s="117">
        <v>5412.57</v>
      </c>
    </row>
    <row r="2276" spans="1:3" x14ac:dyDescent="0.25">
      <c r="A2276" s="115">
        <v>3237669</v>
      </c>
      <c r="B2276" s="115" t="s">
        <v>2178</v>
      </c>
      <c r="C2276" s="117">
        <v>1416.26</v>
      </c>
    </row>
    <row r="2277" spans="1:3" x14ac:dyDescent="0.25">
      <c r="A2277" s="115">
        <v>3237670</v>
      </c>
      <c r="B2277" s="115" t="s">
        <v>2179</v>
      </c>
      <c r="C2277" s="117">
        <v>1416.26</v>
      </c>
    </row>
    <row r="2278" spans="1:3" x14ac:dyDescent="0.25">
      <c r="A2278" s="115">
        <v>3237671</v>
      </c>
      <c r="B2278" s="115" t="s">
        <v>2180</v>
      </c>
      <c r="C2278" s="117">
        <v>1416.26</v>
      </c>
    </row>
    <row r="2279" spans="1:3" x14ac:dyDescent="0.25">
      <c r="A2279" s="115">
        <v>3237614</v>
      </c>
      <c r="B2279" s="115" t="s">
        <v>2181</v>
      </c>
      <c r="C2279" s="117">
        <v>3342.56</v>
      </c>
    </row>
    <row r="2280" spans="1:3" x14ac:dyDescent="0.25">
      <c r="A2280" s="115">
        <v>3237627</v>
      </c>
      <c r="B2280" s="115" t="s">
        <v>2182</v>
      </c>
      <c r="C2280" s="117">
        <v>5412.57</v>
      </c>
    </row>
    <row r="2281" spans="1:3" x14ac:dyDescent="0.25">
      <c r="A2281" s="115">
        <v>3237613</v>
      </c>
      <c r="B2281" s="115" t="s">
        <v>2183</v>
      </c>
      <c r="C2281" s="117">
        <v>5412.57</v>
      </c>
    </row>
    <row r="2282" spans="1:3" x14ac:dyDescent="0.25">
      <c r="A2282" s="115">
        <v>3237635</v>
      </c>
      <c r="B2282" s="115" t="s">
        <v>2184</v>
      </c>
      <c r="C2282" s="117">
        <v>5412.57</v>
      </c>
    </row>
    <row r="2283" spans="1:3" x14ac:dyDescent="0.25">
      <c r="A2283" s="115">
        <v>3237612</v>
      </c>
      <c r="B2283" s="115" t="s">
        <v>2185</v>
      </c>
      <c r="C2283" s="117">
        <v>5412.57</v>
      </c>
    </row>
    <row r="2284" spans="1:3" x14ac:dyDescent="0.25">
      <c r="A2284" s="115">
        <v>3237603</v>
      </c>
      <c r="B2284" s="115" t="s">
        <v>2186</v>
      </c>
      <c r="C2284" s="117">
        <v>5412.57</v>
      </c>
    </row>
    <row r="2285" spans="1:3" x14ac:dyDescent="0.25">
      <c r="A2285" s="115">
        <v>3237668</v>
      </c>
      <c r="B2285" s="115" t="s">
        <v>2187</v>
      </c>
      <c r="C2285" s="117">
        <v>5412.57</v>
      </c>
    </row>
    <row r="2286" spans="1:3" x14ac:dyDescent="0.25">
      <c r="A2286" s="115">
        <v>3237636</v>
      </c>
      <c r="B2286" s="115" t="s">
        <v>2188</v>
      </c>
      <c r="C2286" s="117">
        <v>5412.57</v>
      </c>
    </row>
    <row r="2287" spans="1:3" x14ac:dyDescent="0.25">
      <c r="A2287" s="115">
        <v>3237760</v>
      </c>
      <c r="B2287" s="115" t="s">
        <v>2189</v>
      </c>
      <c r="C2287" s="117">
        <v>1055.25</v>
      </c>
    </row>
    <row r="2288" spans="1:3" x14ac:dyDescent="0.25">
      <c r="A2288" s="115">
        <v>3237731</v>
      </c>
      <c r="B2288" s="115" t="s">
        <v>2190</v>
      </c>
      <c r="C2288" s="117">
        <v>3342.56</v>
      </c>
    </row>
    <row r="2289" spans="1:3" x14ac:dyDescent="0.25">
      <c r="A2289" s="115">
        <v>3237732</v>
      </c>
      <c r="B2289" s="115" t="s">
        <v>2191</v>
      </c>
      <c r="C2289" s="117">
        <v>2339.79</v>
      </c>
    </row>
    <row r="2290" spans="1:3" x14ac:dyDescent="0.25">
      <c r="A2290" s="115">
        <v>3237727</v>
      </c>
      <c r="B2290" s="115" t="s">
        <v>2192</v>
      </c>
      <c r="C2290" s="117">
        <v>3342.56</v>
      </c>
    </row>
    <row r="2291" spans="1:3" x14ac:dyDescent="0.25">
      <c r="A2291" s="115">
        <v>3237823</v>
      </c>
      <c r="B2291" s="115" t="s">
        <v>2193</v>
      </c>
      <c r="C2291" s="117">
        <v>1263.52</v>
      </c>
    </row>
    <row r="2292" spans="1:3" x14ac:dyDescent="0.25">
      <c r="A2292" s="115">
        <v>3237810</v>
      </c>
      <c r="B2292" s="115" t="s">
        <v>2194</v>
      </c>
      <c r="C2292" s="117">
        <v>1263.52</v>
      </c>
    </row>
    <row r="2293" spans="1:3" x14ac:dyDescent="0.25">
      <c r="A2293" s="115">
        <v>3160510</v>
      </c>
      <c r="B2293" s="115" t="s">
        <v>2195</v>
      </c>
      <c r="C2293" s="117">
        <v>817.24</v>
      </c>
    </row>
    <row r="2294" spans="1:3" x14ac:dyDescent="0.25">
      <c r="A2294" s="115">
        <v>3220208</v>
      </c>
      <c r="B2294" s="115" t="s">
        <v>2196</v>
      </c>
      <c r="C2294" s="117">
        <v>548.72</v>
      </c>
    </row>
    <row r="2295" spans="1:3" x14ac:dyDescent="0.25">
      <c r="A2295" s="115">
        <v>3220202</v>
      </c>
      <c r="B2295" s="115" t="s">
        <v>2197</v>
      </c>
      <c r="C2295" s="117">
        <v>593.85</v>
      </c>
    </row>
    <row r="2296" spans="1:3" x14ac:dyDescent="0.25">
      <c r="A2296" s="115">
        <v>3220205</v>
      </c>
      <c r="B2296" s="115" t="s">
        <v>2198</v>
      </c>
      <c r="C2296" s="117">
        <v>593.85</v>
      </c>
    </row>
    <row r="2297" spans="1:3" x14ac:dyDescent="0.25">
      <c r="A2297" s="115">
        <v>3220204</v>
      </c>
      <c r="B2297" s="115" t="s">
        <v>2199</v>
      </c>
      <c r="C2297" s="117">
        <v>593.85</v>
      </c>
    </row>
    <row r="2298" spans="1:3" x14ac:dyDescent="0.25">
      <c r="A2298" s="115">
        <v>3220122</v>
      </c>
      <c r="B2298" s="115" t="s">
        <v>2200</v>
      </c>
      <c r="C2298" s="117">
        <v>3917.09</v>
      </c>
    </row>
    <row r="2299" spans="1:3" x14ac:dyDescent="0.25">
      <c r="A2299" s="115">
        <v>3220131</v>
      </c>
      <c r="B2299" s="115" t="s">
        <v>11548</v>
      </c>
      <c r="C2299" s="117">
        <v>3917.09</v>
      </c>
    </row>
    <row r="2300" spans="1:3" x14ac:dyDescent="0.25">
      <c r="A2300" s="115">
        <v>3220119</v>
      </c>
      <c r="B2300" s="115" t="s">
        <v>2201</v>
      </c>
      <c r="C2300" s="117">
        <v>3917.09</v>
      </c>
    </row>
    <row r="2301" spans="1:3" x14ac:dyDescent="0.25">
      <c r="A2301" s="115">
        <v>3220102</v>
      </c>
      <c r="B2301" s="115" t="s">
        <v>2202</v>
      </c>
      <c r="C2301" s="117">
        <v>3917.09</v>
      </c>
    </row>
    <row r="2302" spans="1:3" x14ac:dyDescent="0.25">
      <c r="A2302" s="115">
        <v>3220128</v>
      </c>
      <c r="B2302" s="115" t="s">
        <v>11549</v>
      </c>
      <c r="C2302" s="117">
        <v>3917.09</v>
      </c>
    </row>
    <row r="2303" spans="1:3" x14ac:dyDescent="0.25">
      <c r="A2303" s="115">
        <v>3220130</v>
      </c>
      <c r="B2303" s="115" t="s">
        <v>11550</v>
      </c>
      <c r="C2303" s="117">
        <v>3917.09</v>
      </c>
    </row>
    <row r="2304" spans="1:3" x14ac:dyDescent="0.25">
      <c r="A2304" s="115">
        <v>3220117</v>
      </c>
      <c r="B2304" s="115" t="s">
        <v>2203</v>
      </c>
      <c r="C2304" s="117">
        <v>847.21</v>
      </c>
    </row>
    <row r="2305" spans="1:3" x14ac:dyDescent="0.25">
      <c r="A2305" s="115">
        <v>3220126</v>
      </c>
      <c r="B2305" s="115" t="s">
        <v>11551</v>
      </c>
      <c r="C2305" s="117">
        <v>4308.8</v>
      </c>
    </row>
    <row r="2306" spans="1:3" x14ac:dyDescent="0.25">
      <c r="A2306" s="115">
        <v>3220114</v>
      </c>
      <c r="B2306" s="115" t="s">
        <v>11552</v>
      </c>
      <c r="C2306" s="117">
        <v>3917.09</v>
      </c>
    </row>
    <row r="2307" spans="1:3" x14ac:dyDescent="0.25">
      <c r="A2307" s="115">
        <v>3220120</v>
      </c>
      <c r="B2307" s="115" t="s">
        <v>11553</v>
      </c>
      <c r="C2307" s="117">
        <v>3917.09</v>
      </c>
    </row>
    <row r="2308" spans="1:3" x14ac:dyDescent="0.25">
      <c r="A2308" s="115">
        <v>3220432</v>
      </c>
      <c r="B2308" s="115" t="s">
        <v>2204</v>
      </c>
      <c r="C2308" s="117">
        <v>3077.72</v>
      </c>
    </row>
    <row r="2309" spans="1:3" x14ac:dyDescent="0.25">
      <c r="A2309" s="115">
        <v>3220433</v>
      </c>
      <c r="B2309" s="115" t="s">
        <v>2205</v>
      </c>
      <c r="C2309" s="117">
        <v>3458.23</v>
      </c>
    </row>
    <row r="2310" spans="1:3" x14ac:dyDescent="0.25">
      <c r="A2310" s="115">
        <v>3220431</v>
      </c>
      <c r="B2310" s="115" t="s">
        <v>2206</v>
      </c>
      <c r="C2310" s="117">
        <v>1010.61</v>
      </c>
    </row>
    <row r="2311" spans="1:3" x14ac:dyDescent="0.25">
      <c r="A2311" s="115">
        <v>3220411</v>
      </c>
      <c r="B2311" s="115" t="s">
        <v>2207</v>
      </c>
      <c r="C2311" s="117">
        <v>856.16</v>
      </c>
    </row>
    <row r="2312" spans="1:3" x14ac:dyDescent="0.25">
      <c r="A2312" s="115">
        <v>3220425</v>
      </c>
      <c r="B2312" s="115" t="s">
        <v>2208</v>
      </c>
      <c r="C2312" s="117">
        <v>856.16</v>
      </c>
    </row>
    <row r="2313" spans="1:3" x14ac:dyDescent="0.25">
      <c r="A2313" s="115">
        <v>3220420</v>
      </c>
      <c r="B2313" s="115" t="s">
        <v>11554</v>
      </c>
      <c r="C2313" s="117">
        <v>3077.72</v>
      </c>
    </row>
    <row r="2314" spans="1:3" x14ac:dyDescent="0.25">
      <c r="A2314" s="115">
        <v>3220437</v>
      </c>
      <c r="B2314" s="115" t="s">
        <v>11555</v>
      </c>
      <c r="C2314" s="117">
        <v>3077.72</v>
      </c>
    </row>
    <row r="2315" spans="1:3" x14ac:dyDescent="0.25">
      <c r="A2315" s="115">
        <v>3220438</v>
      </c>
      <c r="B2315" s="115" t="s">
        <v>11556</v>
      </c>
      <c r="C2315" s="117">
        <v>3077.72</v>
      </c>
    </row>
    <row r="2316" spans="1:3" x14ac:dyDescent="0.25">
      <c r="A2316" s="115">
        <v>3220428</v>
      </c>
      <c r="B2316" s="115" t="s">
        <v>11557</v>
      </c>
      <c r="C2316" s="117">
        <v>3581.34</v>
      </c>
    </row>
    <row r="2317" spans="1:3" x14ac:dyDescent="0.25">
      <c r="A2317" s="115">
        <v>3220436</v>
      </c>
      <c r="B2317" s="115" t="s">
        <v>11558</v>
      </c>
      <c r="C2317" s="117">
        <v>3581.34</v>
      </c>
    </row>
    <row r="2318" spans="1:3" x14ac:dyDescent="0.25">
      <c r="A2318" s="115">
        <v>3220414</v>
      </c>
      <c r="B2318" s="115" t="s">
        <v>11559</v>
      </c>
      <c r="C2318" s="117">
        <v>3077.72</v>
      </c>
    </row>
    <row r="2319" spans="1:3" x14ac:dyDescent="0.25">
      <c r="A2319" s="115">
        <v>3220413</v>
      </c>
      <c r="B2319" s="115" t="s">
        <v>2209</v>
      </c>
      <c r="C2319" s="117">
        <v>3077.72</v>
      </c>
    </row>
    <row r="2320" spans="1:3" x14ac:dyDescent="0.25">
      <c r="A2320" s="115">
        <v>3220408</v>
      </c>
      <c r="B2320" s="115" t="s">
        <v>11560</v>
      </c>
      <c r="C2320" s="117">
        <v>809.16</v>
      </c>
    </row>
    <row r="2321" spans="1:3" x14ac:dyDescent="0.25">
      <c r="A2321" s="115">
        <v>3220439</v>
      </c>
      <c r="B2321" s="115" t="s">
        <v>11561</v>
      </c>
      <c r="C2321" s="117">
        <v>4029.01</v>
      </c>
    </row>
    <row r="2322" spans="1:3" x14ac:dyDescent="0.25">
      <c r="A2322" s="115">
        <v>3220409</v>
      </c>
      <c r="B2322" s="115" t="s">
        <v>11562</v>
      </c>
      <c r="C2322" s="117">
        <v>4029.01</v>
      </c>
    </row>
    <row r="2323" spans="1:3" x14ac:dyDescent="0.25">
      <c r="A2323" s="115">
        <v>3220403</v>
      </c>
      <c r="B2323" s="115" t="s">
        <v>11563</v>
      </c>
      <c r="C2323" s="117">
        <v>378.49</v>
      </c>
    </row>
    <row r="2324" spans="1:3" x14ac:dyDescent="0.25">
      <c r="A2324" s="115">
        <v>3220405</v>
      </c>
      <c r="B2324" s="115" t="s">
        <v>11564</v>
      </c>
      <c r="C2324" s="117">
        <v>378.49</v>
      </c>
    </row>
    <row r="2325" spans="1:3" x14ac:dyDescent="0.25">
      <c r="A2325" s="115">
        <v>3220407</v>
      </c>
      <c r="B2325" s="115" t="s">
        <v>11565</v>
      </c>
      <c r="C2325" s="117">
        <v>378.49</v>
      </c>
    </row>
    <row r="2326" spans="1:3" x14ac:dyDescent="0.25">
      <c r="A2326" s="115">
        <v>3291100</v>
      </c>
      <c r="B2326" s="115" t="s">
        <v>2210</v>
      </c>
      <c r="C2326" s="117">
        <v>3785.89</v>
      </c>
    </row>
    <row r="2327" spans="1:3" x14ac:dyDescent="0.25">
      <c r="A2327" s="115">
        <v>3293000</v>
      </c>
      <c r="B2327" s="115" t="s">
        <v>2211</v>
      </c>
      <c r="C2327" s="117">
        <v>12543.41</v>
      </c>
    </row>
    <row r="2328" spans="1:3" x14ac:dyDescent="0.25">
      <c r="A2328" s="115">
        <v>3291000</v>
      </c>
      <c r="B2328" s="115" t="s">
        <v>2212</v>
      </c>
      <c r="C2328" s="117">
        <v>2151.61</v>
      </c>
    </row>
    <row r="2329" spans="1:3" x14ac:dyDescent="0.25">
      <c r="A2329" s="115">
        <v>3291500</v>
      </c>
      <c r="B2329" s="115" t="s">
        <v>2213</v>
      </c>
      <c r="C2329" s="117">
        <v>5824.52</v>
      </c>
    </row>
    <row r="2330" spans="1:3" x14ac:dyDescent="0.25">
      <c r="A2330" s="115">
        <v>3291200</v>
      </c>
      <c r="B2330" s="115" t="s">
        <v>2214</v>
      </c>
      <c r="C2330" s="117">
        <v>4496.53</v>
      </c>
    </row>
    <row r="2331" spans="1:3" x14ac:dyDescent="0.25">
      <c r="A2331" s="115">
        <v>3220708</v>
      </c>
      <c r="B2331" s="115" t="s">
        <v>2215</v>
      </c>
      <c r="C2331" s="117">
        <v>105.07</v>
      </c>
    </row>
    <row r="2332" spans="1:3" x14ac:dyDescent="0.25">
      <c r="A2332" s="115">
        <v>3220707</v>
      </c>
      <c r="B2332" s="115" t="s">
        <v>2216</v>
      </c>
      <c r="C2332" s="117">
        <v>124.23</v>
      </c>
    </row>
    <row r="2333" spans="1:3" x14ac:dyDescent="0.25">
      <c r="A2333" s="115">
        <v>3220710</v>
      </c>
      <c r="B2333" s="115" t="s">
        <v>2217</v>
      </c>
      <c r="C2333" s="117">
        <v>86.47</v>
      </c>
    </row>
    <row r="2334" spans="1:3" x14ac:dyDescent="0.25">
      <c r="A2334" s="115">
        <v>3220709</v>
      </c>
      <c r="B2334" s="115" t="s">
        <v>2218</v>
      </c>
      <c r="C2334" s="117">
        <v>105.07</v>
      </c>
    </row>
    <row r="2335" spans="1:3" x14ac:dyDescent="0.25">
      <c r="A2335" s="115">
        <v>3220712</v>
      </c>
      <c r="B2335" s="115" t="s">
        <v>2219</v>
      </c>
      <c r="C2335" s="117">
        <v>81.72</v>
      </c>
    </row>
    <row r="2336" spans="1:3" x14ac:dyDescent="0.25">
      <c r="A2336" s="115">
        <v>3220700</v>
      </c>
      <c r="B2336" s="115" t="s">
        <v>2220</v>
      </c>
      <c r="C2336" s="117">
        <v>66.89</v>
      </c>
    </row>
    <row r="2337" spans="1:3" x14ac:dyDescent="0.25">
      <c r="A2337" s="115">
        <v>3220703</v>
      </c>
      <c r="B2337" s="115" t="s">
        <v>2221</v>
      </c>
      <c r="C2337" s="117">
        <v>124.23</v>
      </c>
    </row>
    <row r="2338" spans="1:3" x14ac:dyDescent="0.25">
      <c r="A2338" s="115">
        <v>3220702</v>
      </c>
      <c r="B2338" s="115" t="s">
        <v>2222</v>
      </c>
      <c r="C2338" s="117">
        <v>124.23</v>
      </c>
    </row>
    <row r="2339" spans="1:3" x14ac:dyDescent="0.25">
      <c r="A2339" s="115">
        <v>3220711</v>
      </c>
      <c r="B2339" s="115" t="s">
        <v>2223</v>
      </c>
      <c r="C2339" s="117">
        <v>86.47</v>
      </c>
    </row>
    <row r="2340" spans="1:3" x14ac:dyDescent="0.25">
      <c r="A2340" s="115">
        <v>3220701</v>
      </c>
      <c r="B2340" s="115" t="s">
        <v>2224</v>
      </c>
      <c r="C2340" s="117">
        <v>124.23</v>
      </c>
    </row>
    <row r="2341" spans="1:3" x14ac:dyDescent="0.25">
      <c r="A2341" s="115">
        <v>3220705</v>
      </c>
      <c r="B2341" s="115" t="s">
        <v>2225</v>
      </c>
      <c r="C2341" s="117">
        <v>124.23</v>
      </c>
    </row>
    <row r="2342" spans="1:3" x14ac:dyDescent="0.25">
      <c r="A2342" s="115">
        <v>3220704</v>
      </c>
      <c r="B2342" s="115" t="s">
        <v>2226</v>
      </c>
      <c r="C2342" s="117">
        <v>124.23</v>
      </c>
    </row>
    <row r="2343" spans="1:3" x14ac:dyDescent="0.25">
      <c r="A2343" s="115">
        <v>3225501</v>
      </c>
      <c r="B2343" s="115" t="s">
        <v>2227</v>
      </c>
      <c r="C2343" s="117">
        <v>2082.3200000000002</v>
      </c>
    </row>
    <row r="2344" spans="1:3" x14ac:dyDescent="0.25">
      <c r="A2344" s="115">
        <v>3225500</v>
      </c>
      <c r="B2344" s="115" t="s">
        <v>2228</v>
      </c>
      <c r="C2344" s="117">
        <v>1945.9</v>
      </c>
    </row>
    <row r="2345" spans="1:3" x14ac:dyDescent="0.25">
      <c r="A2345" s="115">
        <v>3225804</v>
      </c>
      <c r="B2345" s="115" t="s">
        <v>2229</v>
      </c>
      <c r="C2345" s="117">
        <v>1568.84</v>
      </c>
    </row>
    <row r="2346" spans="1:3" x14ac:dyDescent="0.25">
      <c r="A2346" s="115">
        <v>3225802</v>
      </c>
      <c r="B2346" s="115" t="s">
        <v>2230</v>
      </c>
      <c r="C2346" s="117">
        <v>1291.45</v>
      </c>
    </row>
    <row r="2347" spans="1:3" x14ac:dyDescent="0.25">
      <c r="A2347" s="115">
        <v>3225806</v>
      </c>
      <c r="B2347" s="115" t="s">
        <v>2231</v>
      </c>
      <c r="C2347" s="117">
        <v>1701.05</v>
      </c>
    </row>
    <row r="2348" spans="1:3" x14ac:dyDescent="0.25">
      <c r="A2348" s="115">
        <v>3225400</v>
      </c>
      <c r="B2348" s="115" t="s">
        <v>2232</v>
      </c>
      <c r="C2348" s="117">
        <v>1667.92</v>
      </c>
    </row>
    <row r="2349" spans="1:3" x14ac:dyDescent="0.25">
      <c r="A2349" s="115">
        <v>3225704</v>
      </c>
      <c r="B2349" s="115" t="s">
        <v>2233</v>
      </c>
      <c r="C2349" s="117">
        <v>4158.6499999999996</v>
      </c>
    </row>
    <row r="2350" spans="1:3" x14ac:dyDescent="0.25">
      <c r="A2350" s="115">
        <v>3225520</v>
      </c>
      <c r="B2350" s="115" t="s">
        <v>2234</v>
      </c>
      <c r="C2350" s="117">
        <v>3765.36</v>
      </c>
    </row>
    <row r="2351" spans="1:3" x14ac:dyDescent="0.25">
      <c r="A2351" s="115">
        <v>3225705</v>
      </c>
      <c r="B2351" s="115" t="s">
        <v>2235</v>
      </c>
      <c r="C2351" s="117">
        <v>2293.21</v>
      </c>
    </row>
    <row r="2352" spans="1:3" x14ac:dyDescent="0.25">
      <c r="A2352" s="115">
        <v>3225700</v>
      </c>
      <c r="B2352" s="115" t="s">
        <v>2236</v>
      </c>
      <c r="C2352" s="117">
        <v>4307.33</v>
      </c>
    </row>
    <row r="2353" spans="1:3" x14ac:dyDescent="0.25">
      <c r="A2353" s="115">
        <v>3225926</v>
      </c>
      <c r="B2353" s="115" t="s">
        <v>2237</v>
      </c>
      <c r="C2353" s="117">
        <v>3961.29</v>
      </c>
    </row>
    <row r="2354" spans="1:3" x14ac:dyDescent="0.25">
      <c r="A2354" s="115">
        <v>3225201</v>
      </c>
      <c r="B2354" s="115" t="s">
        <v>2238</v>
      </c>
      <c r="C2354" s="117">
        <v>40.81</v>
      </c>
    </row>
    <row r="2355" spans="1:3" x14ac:dyDescent="0.25">
      <c r="A2355" s="115">
        <v>3225200</v>
      </c>
      <c r="B2355" s="115" t="s">
        <v>2239</v>
      </c>
      <c r="C2355" s="117">
        <v>81.63</v>
      </c>
    </row>
    <row r="2356" spans="1:3" x14ac:dyDescent="0.25">
      <c r="A2356" s="115">
        <v>3225600</v>
      </c>
      <c r="B2356" s="115" t="s">
        <v>2240</v>
      </c>
      <c r="C2356" s="117">
        <v>9532.1299999999992</v>
      </c>
    </row>
    <row r="2357" spans="1:3" x14ac:dyDescent="0.25">
      <c r="A2357" s="115">
        <v>3225502</v>
      </c>
      <c r="B2357" s="115" t="s">
        <v>2241</v>
      </c>
      <c r="C2357" s="117">
        <v>4039.69</v>
      </c>
    </row>
    <row r="2358" spans="1:3" x14ac:dyDescent="0.25">
      <c r="A2358" s="115">
        <v>3292001</v>
      </c>
      <c r="B2358" s="115" t="s">
        <v>2242</v>
      </c>
      <c r="C2358" s="117">
        <v>3759.39</v>
      </c>
    </row>
    <row r="2359" spans="1:3" x14ac:dyDescent="0.25">
      <c r="A2359" s="115">
        <v>3221101</v>
      </c>
      <c r="B2359" s="115" t="s">
        <v>2243</v>
      </c>
      <c r="C2359" s="117">
        <v>742.1</v>
      </c>
    </row>
    <row r="2360" spans="1:3" x14ac:dyDescent="0.25">
      <c r="A2360" s="115">
        <v>3221301</v>
      </c>
      <c r="B2360" s="115" t="s">
        <v>2244</v>
      </c>
      <c r="C2360" s="117">
        <v>777.13</v>
      </c>
    </row>
    <row r="2361" spans="1:3" x14ac:dyDescent="0.25">
      <c r="A2361" s="115">
        <v>3220608</v>
      </c>
      <c r="B2361" s="115" t="s">
        <v>11566</v>
      </c>
      <c r="C2361" s="117">
        <v>839.38</v>
      </c>
    </row>
    <row r="2362" spans="1:3" x14ac:dyDescent="0.25">
      <c r="A2362" s="115">
        <v>3221201</v>
      </c>
      <c r="B2362" s="115" t="s">
        <v>2245</v>
      </c>
      <c r="C2362" s="117">
        <v>777.13</v>
      </c>
    </row>
    <row r="2363" spans="1:3" x14ac:dyDescent="0.25">
      <c r="A2363" s="144" t="s">
        <v>2246</v>
      </c>
      <c r="B2363" s="145"/>
      <c r="C2363" s="145"/>
    </row>
    <row r="2364" spans="1:3" x14ac:dyDescent="0.25">
      <c r="A2364" s="115">
        <v>3060630</v>
      </c>
      <c r="B2364" s="115" t="s">
        <v>2247</v>
      </c>
      <c r="C2364" s="117">
        <v>221.06</v>
      </c>
    </row>
    <row r="2365" spans="1:3" x14ac:dyDescent="0.25">
      <c r="A2365" s="115">
        <v>3060620</v>
      </c>
      <c r="B2365" s="115" t="s">
        <v>2248</v>
      </c>
      <c r="C2365" s="117">
        <v>221.06</v>
      </c>
    </row>
    <row r="2366" spans="1:3" x14ac:dyDescent="0.25">
      <c r="A2366" s="115">
        <v>3060665</v>
      </c>
      <c r="B2366" s="115" t="s">
        <v>2249</v>
      </c>
      <c r="C2366" s="117">
        <v>644.24</v>
      </c>
    </row>
    <row r="2367" spans="1:3" x14ac:dyDescent="0.25">
      <c r="A2367" s="115">
        <v>3061445</v>
      </c>
      <c r="B2367" s="115" t="s">
        <v>2250</v>
      </c>
      <c r="C2367" s="117">
        <v>612.79</v>
      </c>
    </row>
    <row r="2368" spans="1:3" x14ac:dyDescent="0.25">
      <c r="A2368" s="115">
        <v>3061423</v>
      </c>
      <c r="B2368" s="115" t="s">
        <v>2251</v>
      </c>
      <c r="C2368" s="117">
        <v>158.87</v>
      </c>
    </row>
    <row r="2369" spans="1:3" x14ac:dyDescent="0.25">
      <c r="A2369" s="115">
        <v>3061425</v>
      </c>
      <c r="B2369" s="115" t="s">
        <v>2252</v>
      </c>
      <c r="C2369" s="117">
        <v>204.26</v>
      </c>
    </row>
    <row r="2370" spans="1:3" x14ac:dyDescent="0.25">
      <c r="A2370" s="115">
        <v>3061429</v>
      </c>
      <c r="B2370" s="115" t="s">
        <v>2253</v>
      </c>
      <c r="C2370" s="117">
        <v>317.74</v>
      </c>
    </row>
    <row r="2371" spans="1:3" x14ac:dyDescent="0.25">
      <c r="A2371" s="115">
        <v>3061433</v>
      </c>
      <c r="B2371" s="115" t="s">
        <v>2254</v>
      </c>
      <c r="C2371" s="117">
        <v>332.88</v>
      </c>
    </row>
    <row r="2372" spans="1:3" x14ac:dyDescent="0.25">
      <c r="A2372" s="115">
        <v>3061440</v>
      </c>
      <c r="B2372" s="115" t="s">
        <v>2255</v>
      </c>
      <c r="C2372" s="117">
        <v>476.61</v>
      </c>
    </row>
    <row r="2373" spans="1:3" x14ac:dyDescent="0.25">
      <c r="A2373" s="115">
        <v>3061412</v>
      </c>
      <c r="B2373" s="115" t="s">
        <v>2256</v>
      </c>
      <c r="C2373" s="117">
        <v>62.77</v>
      </c>
    </row>
    <row r="2374" spans="1:3" x14ac:dyDescent="0.25">
      <c r="A2374" s="115">
        <v>3061414</v>
      </c>
      <c r="B2374" s="115" t="s">
        <v>2257</v>
      </c>
      <c r="C2374" s="117">
        <v>83.21</v>
      </c>
    </row>
    <row r="2375" spans="1:3" x14ac:dyDescent="0.25">
      <c r="A2375" s="115">
        <v>3061417</v>
      </c>
      <c r="B2375" s="115" t="s">
        <v>2258</v>
      </c>
      <c r="C2375" s="117">
        <v>118.02</v>
      </c>
    </row>
    <row r="2376" spans="1:3" x14ac:dyDescent="0.25">
      <c r="A2376" s="115">
        <v>3061420</v>
      </c>
      <c r="B2376" s="115" t="s">
        <v>2259</v>
      </c>
      <c r="C2376" s="117">
        <v>136.18</v>
      </c>
    </row>
    <row r="2377" spans="1:3" x14ac:dyDescent="0.25">
      <c r="A2377" s="115">
        <v>3061407</v>
      </c>
      <c r="B2377" s="115" t="s">
        <v>2260</v>
      </c>
      <c r="C2377" s="117">
        <v>34.79</v>
      </c>
    </row>
    <row r="2378" spans="1:3" x14ac:dyDescent="0.25">
      <c r="A2378" s="115">
        <v>3061409</v>
      </c>
      <c r="B2378" s="115" t="s">
        <v>12325</v>
      </c>
      <c r="C2378" s="117">
        <v>48.41</v>
      </c>
    </row>
    <row r="2379" spans="1:3" x14ac:dyDescent="0.25">
      <c r="A2379" s="115">
        <v>3062000</v>
      </c>
      <c r="B2379" s="115" t="s">
        <v>2261</v>
      </c>
      <c r="C2379" s="117">
        <v>1973.35</v>
      </c>
    </row>
    <row r="2380" spans="1:3" x14ac:dyDescent="0.25">
      <c r="A2380" s="115">
        <v>3061035</v>
      </c>
      <c r="B2380" s="115" t="s">
        <v>2262</v>
      </c>
      <c r="C2380" s="117">
        <v>71.36</v>
      </c>
    </row>
    <row r="2381" spans="1:3" x14ac:dyDescent="0.25">
      <c r="A2381" s="115">
        <v>3061040</v>
      </c>
      <c r="B2381" s="115" t="s">
        <v>2263</v>
      </c>
      <c r="C2381" s="117">
        <v>87.84</v>
      </c>
    </row>
    <row r="2382" spans="1:3" x14ac:dyDescent="0.25">
      <c r="A2382" s="115">
        <v>3061050</v>
      </c>
      <c r="B2382" s="115" t="s">
        <v>2264</v>
      </c>
      <c r="C2382" s="117">
        <v>125.61</v>
      </c>
    </row>
    <row r="2383" spans="1:3" x14ac:dyDescent="0.25">
      <c r="A2383" s="115">
        <v>3061056</v>
      </c>
      <c r="B2383" s="115" t="s">
        <v>2265</v>
      </c>
      <c r="C2383" s="117">
        <v>156.53</v>
      </c>
    </row>
    <row r="2384" spans="1:3" x14ac:dyDescent="0.25">
      <c r="A2384" s="115">
        <v>3061070</v>
      </c>
      <c r="B2384" s="115" t="s">
        <v>2266</v>
      </c>
      <c r="C2384" s="117">
        <v>224.84</v>
      </c>
    </row>
    <row r="2385" spans="1:3" x14ac:dyDescent="0.25">
      <c r="A2385" s="115">
        <v>3060573</v>
      </c>
      <c r="B2385" s="115" t="s">
        <v>2267</v>
      </c>
      <c r="C2385" s="117">
        <v>1549.11</v>
      </c>
    </row>
    <row r="2386" spans="1:3" x14ac:dyDescent="0.25">
      <c r="A2386" s="115">
        <v>3060579</v>
      </c>
      <c r="B2386" s="115" t="s">
        <v>2268</v>
      </c>
      <c r="C2386" s="117">
        <v>2213.0100000000002</v>
      </c>
    </row>
    <row r="2387" spans="1:3" x14ac:dyDescent="0.25">
      <c r="A2387" s="115">
        <v>3060577</v>
      </c>
      <c r="B2387" s="115" t="s">
        <v>2269</v>
      </c>
      <c r="C2387" s="117">
        <v>1549.11</v>
      </c>
    </row>
    <row r="2388" spans="1:3" x14ac:dyDescent="0.25">
      <c r="A2388" s="115">
        <v>3804025</v>
      </c>
      <c r="B2388" s="115" t="s">
        <v>2270</v>
      </c>
      <c r="C2388" s="117">
        <v>141.22</v>
      </c>
    </row>
    <row r="2389" spans="1:3" x14ac:dyDescent="0.25">
      <c r="A2389" s="115">
        <v>3801063</v>
      </c>
      <c r="B2389" s="115" t="s">
        <v>2271</v>
      </c>
      <c r="C2389" s="117">
        <v>113.68</v>
      </c>
    </row>
    <row r="2390" spans="1:3" x14ac:dyDescent="0.25">
      <c r="A2390" s="115">
        <v>3803429</v>
      </c>
      <c r="B2390" s="115" t="s">
        <v>2272</v>
      </c>
      <c r="C2390" s="117">
        <v>141.22</v>
      </c>
    </row>
    <row r="2391" spans="1:3" x14ac:dyDescent="0.25">
      <c r="A2391" s="115">
        <v>3803423</v>
      </c>
      <c r="B2391" s="115" t="s">
        <v>2273</v>
      </c>
      <c r="C2391" s="117">
        <v>141.22</v>
      </c>
    </row>
    <row r="2392" spans="1:3" x14ac:dyDescent="0.25">
      <c r="A2392" s="115">
        <v>3803454</v>
      </c>
      <c r="B2392" s="115" t="s">
        <v>2274</v>
      </c>
      <c r="C2392" s="117">
        <v>141.22</v>
      </c>
    </row>
    <row r="2393" spans="1:3" x14ac:dyDescent="0.25">
      <c r="A2393" s="115">
        <v>3803463</v>
      </c>
      <c r="B2393" s="115" t="s">
        <v>2275</v>
      </c>
      <c r="C2393" s="117">
        <v>141.22</v>
      </c>
    </row>
    <row r="2394" spans="1:3" x14ac:dyDescent="0.25">
      <c r="A2394" s="115">
        <v>3803476</v>
      </c>
      <c r="B2394" s="115" t="s">
        <v>2276</v>
      </c>
      <c r="C2394" s="117">
        <v>141.22</v>
      </c>
    </row>
    <row r="2395" spans="1:3" x14ac:dyDescent="0.25">
      <c r="A2395" s="115">
        <v>3803483</v>
      </c>
      <c r="B2395" s="115" t="s">
        <v>2277</v>
      </c>
      <c r="C2395" s="117">
        <v>141.22</v>
      </c>
    </row>
    <row r="2396" spans="1:3" x14ac:dyDescent="0.25">
      <c r="A2396" s="115">
        <v>3804425</v>
      </c>
      <c r="B2396" s="115" t="s">
        <v>2278</v>
      </c>
      <c r="C2396" s="117">
        <v>141.22</v>
      </c>
    </row>
    <row r="2397" spans="1:3" x14ac:dyDescent="0.25">
      <c r="A2397" s="115">
        <v>3804444</v>
      </c>
      <c r="B2397" s="115" t="s">
        <v>2279</v>
      </c>
      <c r="C2397" s="117">
        <v>141.22</v>
      </c>
    </row>
    <row r="2398" spans="1:3" x14ac:dyDescent="0.25">
      <c r="A2398" s="115">
        <v>3804429</v>
      </c>
      <c r="B2398" s="115" t="s">
        <v>2280</v>
      </c>
      <c r="C2398" s="117">
        <v>141.22</v>
      </c>
    </row>
    <row r="2399" spans="1:3" x14ac:dyDescent="0.25">
      <c r="A2399" s="115">
        <v>3801429</v>
      </c>
      <c r="B2399" s="115" t="s">
        <v>2281</v>
      </c>
      <c r="C2399" s="117">
        <v>129.91999999999999</v>
      </c>
    </row>
    <row r="2400" spans="1:3" x14ac:dyDescent="0.25">
      <c r="A2400" s="115">
        <v>3801463</v>
      </c>
      <c r="B2400" s="115" t="s">
        <v>2282</v>
      </c>
      <c r="C2400" s="117">
        <v>162.4</v>
      </c>
    </row>
    <row r="2401" spans="1:3" x14ac:dyDescent="0.25">
      <c r="A2401" s="115">
        <v>3801476</v>
      </c>
      <c r="B2401" s="115" t="s">
        <v>12326</v>
      </c>
      <c r="C2401" s="117">
        <v>162.4</v>
      </c>
    </row>
    <row r="2402" spans="1:3" x14ac:dyDescent="0.25">
      <c r="A2402" s="115">
        <v>3801483</v>
      </c>
      <c r="B2402" s="115" t="s">
        <v>2283</v>
      </c>
      <c r="C2402" s="117">
        <v>162.4</v>
      </c>
    </row>
    <row r="2403" spans="1:3" x14ac:dyDescent="0.25">
      <c r="A2403" s="115">
        <v>3802429</v>
      </c>
      <c r="B2403" s="115" t="s">
        <v>12327</v>
      </c>
      <c r="C2403" s="117">
        <v>162.4</v>
      </c>
    </row>
    <row r="2404" spans="1:3" x14ac:dyDescent="0.25">
      <c r="A2404" s="115">
        <v>3802425</v>
      </c>
      <c r="B2404" s="115" t="s">
        <v>2284</v>
      </c>
      <c r="C2404" s="117">
        <v>162.4</v>
      </c>
    </row>
    <row r="2405" spans="1:3" x14ac:dyDescent="0.25">
      <c r="A2405" s="115">
        <v>3802444</v>
      </c>
      <c r="B2405" s="115" t="s">
        <v>2285</v>
      </c>
      <c r="C2405" s="117">
        <v>129.91999999999999</v>
      </c>
    </row>
    <row r="2406" spans="1:3" x14ac:dyDescent="0.25">
      <c r="A2406" s="144" t="s">
        <v>2286</v>
      </c>
      <c r="B2406" s="145"/>
      <c r="C2406" s="145"/>
    </row>
    <row r="2407" spans="1:3" x14ac:dyDescent="0.25">
      <c r="A2407" s="115">
        <v>3601529</v>
      </c>
      <c r="B2407" s="115" t="s">
        <v>2287</v>
      </c>
      <c r="C2407" s="117">
        <v>62.24</v>
      </c>
    </row>
    <row r="2408" spans="1:3" x14ac:dyDescent="0.25">
      <c r="A2408" s="115">
        <v>3601576</v>
      </c>
      <c r="B2408" s="115" t="s">
        <v>2288</v>
      </c>
      <c r="C2408" s="117">
        <v>62.24</v>
      </c>
    </row>
    <row r="2409" spans="1:3" x14ac:dyDescent="0.25">
      <c r="A2409" s="115">
        <v>3601583</v>
      </c>
      <c r="B2409" s="115" t="s">
        <v>2289</v>
      </c>
      <c r="C2409" s="117">
        <v>62.24</v>
      </c>
    </row>
    <row r="2410" spans="1:3" x14ac:dyDescent="0.25">
      <c r="A2410" s="115">
        <v>3602000</v>
      </c>
      <c r="B2410" s="115" t="s">
        <v>11567</v>
      </c>
      <c r="C2410" s="117">
        <v>4965.62</v>
      </c>
    </row>
    <row r="2411" spans="1:3" x14ac:dyDescent="0.25">
      <c r="A2411" s="115">
        <v>3601004</v>
      </c>
      <c r="B2411" s="115" t="s">
        <v>2290</v>
      </c>
      <c r="C2411" s="117">
        <v>9654.27</v>
      </c>
    </row>
    <row r="2412" spans="1:3" x14ac:dyDescent="0.25">
      <c r="A2412" s="115">
        <v>3603606</v>
      </c>
      <c r="B2412" s="115" t="s">
        <v>2291</v>
      </c>
      <c r="C2412" s="117">
        <v>5991.9</v>
      </c>
    </row>
    <row r="2413" spans="1:3" x14ac:dyDescent="0.25">
      <c r="A2413" s="115">
        <v>3601609</v>
      </c>
      <c r="B2413" s="115" t="s">
        <v>2292</v>
      </c>
      <c r="C2413" s="117">
        <v>413.12</v>
      </c>
    </row>
    <row r="2414" spans="1:3" x14ac:dyDescent="0.25">
      <c r="A2414" s="115">
        <v>3601665</v>
      </c>
      <c r="B2414" s="115" t="s">
        <v>2293</v>
      </c>
      <c r="C2414" s="117">
        <v>20307.78</v>
      </c>
    </row>
    <row r="2415" spans="1:3" x14ac:dyDescent="0.25">
      <c r="A2415" s="115">
        <v>3601610</v>
      </c>
      <c r="B2415" s="115" t="s">
        <v>2294</v>
      </c>
      <c r="C2415" s="117">
        <v>3302.59</v>
      </c>
    </row>
    <row r="2416" spans="1:3" x14ac:dyDescent="0.25">
      <c r="A2416" s="115">
        <v>3601608</v>
      </c>
      <c r="B2416" s="115" t="s">
        <v>2295</v>
      </c>
      <c r="C2416" s="117">
        <v>3708.36</v>
      </c>
    </row>
    <row r="2417" spans="1:3" x14ac:dyDescent="0.25">
      <c r="A2417" s="115">
        <v>3603200</v>
      </c>
      <c r="B2417" s="115" t="s">
        <v>2296</v>
      </c>
      <c r="C2417" s="117">
        <v>8057.72</v>
      </c>
    </row>
    <row r="2418" spans="1:3" x14ac:dyDescent="0.25">
      <c r="A2418" s="115">
        <v>3600226</v>
      </c>
      <c r="B2418" s="115" t="s">
        <v>2297</v>
      </c>
      <c r="C2418" s="117">
        <v>879.41</v>
      </c>
    </row>
    <row r="2419" spans="1:3" x14ac:dyDescent="0.25">
      <c r="A2419" s="115">
        <v>3600225</v>
      </c>
      <c r="B2419" s="115" t="s">
        <v>2298</v>
      </c>
      <c r="C2419" s="117">
        <v>457.39</v>
      </c>
    </row>
    <row r="2420" spans="1:3" x14ac:dyDescent="0.25">
      <c r="A2420" s="115">
        <v>3603010</v>
      </c>
      <c r="B2420" s="115" t="s">
        <v>2299</v>
      </c>
      <c r="C2420" s="117">
        <v>11193.75</v>
      </c>
    </row>
    <row r="2421" spans="1:3" x14ac:dyDescent="0.25">
      <c r="A2421" s="115">
        <v>3603012</v>
      </c>
      <c r="B2421" s="115" t="s">
        <v>2300</v>
      </c>
      <c r="C2421" s="117">
        <v>2587.8000000000002</v>
      </c>
    </row>
    <row r="2422" spans="1:3" x14ac:dyDescent="0.25">
      <c r="A2422" s="115">
        <v>3603906</v>
      </c>
      <c r="B2422" s="115" t="s">
        <v>2301</v>
      </c>
      <c r="C2422" s="117">
        <v>660.81</v>
      </c>
    </row>
    <row r="2423" spans="1:3" x14ac:dyDescent="0.25">
      <c r="A2423" s="115">
        <v>3600112</v>
      </c>
      <c r="B2423" s="115" t="s">
        <v>2302</v>
      </c>
      <c r="C2423" s="117">
        <v>4641.63</v>
      </c>
    </row>
    <row r="2424" spans="1:3" x14ac:dyDescent="0.25">
      <c r="A2424" s="115">
        <v>3602323</v>
      </c>
      <c r="B2424" s="115" t="s">
        <v>2303</v>
      </c>
      <c r="C2424" s="117">
        <v>6515.61</v>
      </c>
    </row>
    <row r="2425" spans="1:3" x14ac:dyDescent="0.25">
      <c r="A2425" s="115">
        <v>3600403</v>
      </c>
      <c r="B2425" s="115" t="s">
        <v>2304</v>
      </c>
      <c r="C2425" s="117">
        <v>810.27</v>
      </c>
    </row>
    <row r="2426" spans="1:3" x14ac:dyDescent="0.25">
      <c r="A2426" s="115">
        <v>3600402</v>
      </c>
      <c r="B2426" s="115" t="s">
        <v>2305</v>
      </c>
      <c r="C2426" s="117">
        <v>846.04</v>
      </c>
    </row>
    <row r="2427" spans="1:3" x14ac:dyDescent="0.25">
      <c r="A2427" s="115">
        <v>3600401</v>
      </c>
      <c r="B2427" s="115" t="s">
        <v>2306</v>
      </c>
      <c r="C2427" s="117">
        <v>423.88</v>
      </c>
    </row>
    <row r="2428" spans="1:3" x14ac:dyDescent="0.25">
      <c r="A2428" s="115">
        <v>3600405</v>
      </c>
      <c r="B2428" s="115" t="s">
        <v>2307</v>
      </c>
      <c r="C2428" s="117">
        <v>1094.72</v>
      </c>
    </row>
    <row r="2429" spans="1:3" x14ac:dyDescent="0.25">
      <c r="A2429" s="115">
        <v>3600404</v>
      </c>
      <c r="B2429" s="115" t="s">
        <v>2308</v>
      </c>
      <c r="C2429" s="117">
        <v>1507.85</v>
      </c>
    </row>
    <row r="2430" spans="1:3" x14ac:dyDescent="0.25">
      <c r="A2430" s="115">
        <v>3600406</v>
      </c>
      <c r="B2430" s="115" t="s">
        <v>2309</v>
      </c>
      <c r="C2430" s="117">
        <v>867.98</v>
      </c>
    </row>
    <row r="2431" spans="1:3" x14ac:dyDescent="0.25">
      <c r="A2431" s="115">
        <v>3600386</v>
      </c>
      <c r="B2431" s="115" t="s">
        <v>12328</v>
      </c>
      <c r="C2431" s="117">
        <v>626.84</v>
      </c>
    </row>
    <row r="2432" spans="1:3" x14ac:dyDescent="0.25">
      <c r="A2432" s="115">
        <v>3600312</v>
      </c>
      <c r="B2432" s="115" t="s">
        <v>2310</v>
      </c>
      <c r="C2432" s="117">
        <v>5348</v>
      </c>
    </row>
    <row r="2433" spans="1:3" x14ac:dyDescent="0.25">
      <c r="A2433" s="115">
        <v>3600206</v>
      </c>
      <c r="B2433" s="115" t="s">
        <v>2311</v>
      </c>
      <c r="C2433" s="117">
        <v>918.03</v>
      </c>
    </row>
    <row r="2434" spans="1:3" x14ac:dyDescent="0.25">
      <c r="A2434" s="115">
        <v>3600228</v>
      </c>
      <c r="B2434" s="115" t="s">
        <v>2312</v>
      </c>
      <c r="C2434" s="117">
        <v>1691.35</v>
      </c>
    </row>
    <row r="2435" spans="1:3" x14ac:dyDescent="0.25">
      <c r="A2435" s="115">
        <v>3600227</v>
      </c>
      <c r="B2435" s="115" t="s">
        <v>2313</v>
      </c>
      <c r="C2435" s="117">
        <v>888.71</v>
      </c>
    </row>
    <row r="2436" spans="1:3" x14ac:dyDescent="0.25">
      <c r="A2436" s="115">
        <v>3600229</v>
      </c>
      <c r="B2436" s="115" t="s">
        <v>2314</v>
      </c>
      <c r="C2436" s="117">
        <v>1723.92</v>
      </c>
    </row>
    <row r="2437" spans="1:3" x14ac:dyDescent="0.25">
      <c r="A2437" s="115">
        <v>3481897</v>
      </c>
      <c r="B2437" s="115" t="s">
        <v>2315</v>
      </c>
      <c r="C2437" s="117">
        <v>2119.7199999999998</v>
      </c>
    </row>
    <row r="2438" spans="1:3" x14ac:dyDescent="0.25">
      <c r="A2438" s="115">
        <v>3481898</v>
      </c>
      <c r="B2438" s="115" t="s">
        <v>2316</v>
      </c>
      <c r="C2438" s="117">
        <v>3091</v>
      </c>
    </row>
    <row r="2439" spans="1:3" x14ac:dyDescent="0.25">
      <c r="A2439" s="115">
        <v>3480512</v>
      </c>
      <c r="B2439" s="115" t="s">
        <v>2317</v>
      </c>
      <c r="C2439" s="117">
        <v>5426.83</v>
      </c>
    </row>
    <row r="2440" spans="1:3" x14ac:dyDescent="0.25">
      <c r="A2440" s="115">
        <v>3482702</v>
      </c>
      <c r="B2440" s="115" t="s">
        <v>2318</v>
      </c>
      <c r="C2440" s="117">
        <v>606.96</v>
      </c>
    </row>
    <row r="2441" spans="1:3" x14ac:dyDescent="0.25">
      <c r="A2441" s="115">
        <v>3482701</v>
      </c>
      <c r="B2441" s="115" t="s">
        <v>2319</v>
      </c>
      <c r="C2441" s="117">
        <v>329.82</v>
      </c>
    </row>
    <row r="2442" spans="1:3" x14ac:dyDescent="0.25">
      <c r="A2442" s="115">
        <v>3482703</v>
      </c>
      <c r="B2442" s="115" t="s">
        <v>2320</v>
      </c>
      <c r="C2442" s="117">
        <v>1068.5</v>
      </c>
    </row>
    <row r="2443" spans="1:3" x14ac:dyDescent="0.25">
      <c r="A2443" s="115">
        <v>3617500</v>
      </c>
      <c r="B2443" s="115" t="s">
        <v>2321</v>
      </c>
      <c r="C2443" s="117">
        <v>2273.52</v>
      </c>
    </row>
    <row r="2444" spans="1:3" x14ac:dyDescent="0.25">
      <c r="A2444" s="115">
        <v>3481112</v>
      </c>
      <c r="B2444" s="115" t="s">
        <v>11913</v>
      </c>
      <c r="C2444" s="117">
        <v>4390.46</v>
      </c>
    </row>
    <row r="2445" spans="1:3" x14ac:dyDescent="0.25">
      <c r="A2445" s="115">
        <v>3481110</v>
      </c>
      <c r="B2445" s="115" t="s">
        <v>11914</v>
      </c>
      <c r="C2445" s="117">
        <v>337.46</v>
      </c>
    </row>
    <row r="2446" spans="1:3" x14ac:dyDescent="0.25">
      <c r="A2446" s="115">
        <v>3481206</v>
      </c>
      <c r="B2446" s="115" t="s">
        <v>11915</v>
      </c>
      <c r="C2446" s="117">
        <v>411.12</v>
      </c>
    </row>
    <row r="2447" spans="1:3" x14ac:dyDescent="0.25">
      <c r="A2447" s="115">
        <v>3481307</v>
      </c>
      <c r="B2447" s="115" t="s">
        <v>11916</v>
      </c>
      <c r="C2447" s="117">
        <v>4933.4799999999996</v>
      </c>
    </row>
    <row r="2448" spans="1:3" x14ac:dyDescent="0.25">
      <c r="A2448" s="115">
        <v>3481306</v>
      </c>
      <c r="B2448" s="115" t="s">
        <v>11917</v>
      </c>
      <c r="C2448" s="117">
        <v>411.12</v>
      </c>
    </row>
    <row r="2449" spans="1:3" x14ac:dyDescent="0.25">
      <c r="A2449" s="115">
        <v>3604100</v>
      </c>
      <c r="B2449" s="115" t="s">
        <v>2322</v>
      </c>
      <c r="C2449" s="117">
        <v>6062.69</v>
      </c>
    </row>
    <row r="2450" spans="1:3" x14ac:dyDescent="0.25">
      <c r="A2450" s="115">
        <v>3603116</v>
      </c>
      <c r="B2450" s="115" t="s">
        <v>2323</v>
      </c>
      <c r="C2450" s="117">
        <v>5383.26</v>
      </c>
    </row>
    <row r="2451" spans="1:3" x14ac:dyDescent="0.25">
      <c r="A2451" s="115">
        <v>3603512</v>
      </c>
      <c r="B2451" s="115" t="s">
        <v>2324</v>
      </c>
      <c r="C2451" s="117">
        <v>4369.17</v>
      </c>
    </row>
    <row r="2452" spans="1:3" x14ac:dyDescent="0.25">
      <c r="A2452" s="115">
        <v>3611119</v>
      </c>
      <c r="B2452" s="115" t="s">
        <v>2325</v>
      </c>
      <c r="C2452" s="117">
        <v>3344.84</v>
      </c>
    </row>
    <row r="2453" spans="1:3" x14ac:dyDescent="0.25">
      <c r="A2453" s="115">
        <v>3481103</v>
      </c>
      <c r="B2453" s="115" t="s">
        <v>2326</v>
      </c>
      <c r="C2453" s="117">
        <v>1021.91</v>
      </c>
    </row>
    <row r="2454" spans="1:3" x14ac:dyDescent="0.25">
      <c r="A2454" s="115">
        <v>3610154</v>
      </c>
      <c r="B2454" s="115" t="s">
        <v>2327</v>
      </c>
      <c r="C2454" s="117">
        <v>424.25</v>
      </c>
    </row>
    <row r="2455" spans="1:3" x14ac:dyDescent="0.25">
      <c r="A2455" s="115">
        <v>3602112</v>
      </c>
      <c r="B2455" s="115" t="s">
        <v>2328</v>
      </c>
      <c r="C2455" s="117">
        <v>737.22</v>
      </c>
    </row>
    <row r="2456" spans="1:3" x14ac:dyDescent="0.25">
      <c r="A2456" s="115">
        <v>3602106</v>
      </c>
      <c r="B2456" s="115" t="s">
        <v>2329</v>
      </c>
      <c r="C2456" s="117">
        <v>536.05999999999995</v>
      </c>
    </row>
    <row r="2457" spans="1:3" x14ac:dyDescent="0.25">
      <c r="A2457" s="115">
        <v>3606212</v>
      </c>
      <c r="B2457" s="115" t="s">
        <v>2330</v>
      </c>
      <c r="C2457" s="117">
        <v>2936.86</v>
      </c>
    </row>
    <row r="2458" spans="1:3" x14ac:dyDescent="0.25">
      <c r="A2458" s="115">
        <v>3613308</v>
      </c>
      <c r="B2458" s="115" t="s">
        <v>2331</v>
      </c>
      <c r="C2458" s="117">
        <v>5053.9399999999996</v>
      </c>
    </row>
    <row r="2459" spans="1:3" x14ac:dyDescent="0.25">
      <c r="A2459" s="115">
        <v>3613512</v>
      </c>
      <c r="B2459" s="115" t="s">
        <v>2332</v>
      </c>
      <c r="C2459" s="117">
        <v>1857.78</v>
      </c>
    </row>
    <row r="2460" spans="1:3" x14ac:dyDescent="0.25">
      <c r="A2460" s="115">
        <v>3613524</v>
      </c>
      <c r="B2460" s="115" t="s">
        <v>2333</v>
      </c>
      <c r="C2460" s="117">
        <v>4315.21</v>
      </c>
    </row>
    <row r="2461" spans="1:3" x14ac:dyDescent="0.25">
      <c r="A2461" s="115">
        <v>3613408</v>
      </c>
      <c r="B2461" s="115" t="s">
        <v>2334</v>
      </c>
      <c r="C2461" s="117">
        <v>4672.8100000000004</v>
      </c>
    </row>
    <row r="2462" spans="1:3" x14ac:dyDescent="0.25">
      <c r="A2462" s="115">
        <v>3601400</v>
      </c>
      <c r="B2462" s="115" t="s">
        <v>2335</v>
      </c>
      <c r="C2462" s="117">
        <v>6755.61</v>
      </c>
    </row>
    <row r="2463" spans="1:3" x14ac:dyDescent="0.25">
      <c r="A2463" s="115">
        <v>3602312</v>
      </c>
      <c r="B2463" s="115" t="s">
        <v>2336</v>
      </c>
      <c r="C2463" s="117">
        <v>2119.5</v>
      </c>
    </row>
    <row r="2464" spans="1:3" x14ac:dyDescent="0.25">
      <c r="A2464" s="115">
        <v>3602412</v>
      </c>
      <c r="B2464" s="115" t="s">
        <v>2337</v>
      </c>
      <c r="C2464" s="117">
        <v>4756.83</v>
      </c>
    </row>
    <row r="2465" spans="1:3" x14ac:dyDescent="0.25">
      <c r="A2465" s="115">
        <v>3615010</v>
      </c>
      <c r="B2465" s="115" t="s">
        <v>2338</v>
      </c>
      <c r="C2465" s="117">
        <v>11932.25</v>
      </c>
    </row>
    <row r="2466" spans="1:3" x14ac:dyDescent="0.25">
      <c r="A2466" s="115">
        <v>3602506</v>
      </c>
      <c r="B2466" s="115" t="s">
        <v>2339</v>
      </c>
      <c r="C2466" s="117">
        <v>7375.09</v>
      </c>
    </row>
    <row r="2467" spans="1:3" x14ac:dyDescent="0.25">
      <c r="A2467" s="115">
        <v>3600530</v>
      </c>
      <c r="B2467" s="115" t="s">
        <v>2340</v>
      </c>
      <c r="C2467" s="117">
        <v>1132.73</v>
      </c>
    </row>
    <row r="2468" spans="1:3" x14ac:dyDescent="0.25">
      <c r="A2468" s="115">
        <v>3600520</v>
      </c>
      <c r="B2468" s="115" t="s">
        <v>2341</v>
      </c>
      <c r="C2468" s="117">
        <v>1369.54</v>
      </c>
    </row>
    <row r="2469" spans="1:3" x14ac:dyDescent="0.25">
      <c r="A2469" s="115">
        <v>3600510</v>
      </c>
      <c r="B2469" s="115" t="s">
        <v>2342</v>
      </c>
      <c r="C2469" s="117">
        <v>1369.54</v>
      </c>
    </row>
    <row r="2470" spans="1:3" x14ac:dyDescent="0.25">
      <c r="A2470" s="115">
        <v>3601112</v>
      </c>
      <c r="B2470" s="115" t="s">
        <v>2343</v>
      </c>
      <c r="C2470" s="117">
        <v>1970.96</v>
      </c>
    </row>
    <row r="2471" spans="1:3" x14ac:dyDescent="0.25">
      <c r="A2471" s="115">
        <v>3601300</v>
      </c>
      <c r="B2471" s="115" t="s">
        <v>2344</v>
      </c>
      <c r="C2471" s="117">
        <v>1997.83</v>
      </c>
    </row>
    <row r="2472" spans="1:3" x14ac:dyDescent="0.25">
      <c r="A2472" s="115">
        <v>3615812</v>
      </c>
      <c r="B2472" s="115" t="s">
        <v>2345</v>
      </c>
      <c r="C2472" s="117">
        <v>706.44</v>
      </c>
    </row>
    <row r="2473" spans="1:3" x14ac:dyDescent="0.25">
      <c r="A2473" s="115">
        <v>3613112</v>
      </c>
      <c r="B2473" s="115" t="s">
        <v>2346</v>
      </c>
      <c r="C2473" s="117">
        <v>1032.5899999999999</v>
      </c>
    </row>
    <row r="2474" spans="1:3" x14ac:dyDescent="0.25">
      <c r="A2474" s="115">
        <v>3613106</v>
      </c>
      <c r="B2474" s="115" t="s">
        <v>2347</v>
      </c>
      <c r="C2474" s="117">
        <v>582.22</v>
      </c>
    </row>
    <row r="2475" spans="1:3" x14ac:dyDescent="0.25">
      <c r="A2475" s="115">
        <v>3613212</v>
      </c>
      <c r="B2475" s="115" t="s">
        <v>2348</v>
      </c>
      <c r="C2475" s="117">
        <v>1290.19</v>
      </c>
    </row>
    <row r="2476" spans="1:3" x14ac:dyDescent="0.25">
      <c r="A2476" s="115">
        <v>3613224</v>
      </c>
      <c r="B2476" s="115" t="s">
        <v>2349</v>
      </c>
      <c r="C2476" s="117">
        <v>3829.6</v>
      </c>
    </row>
    <row r="2477" spans="1:3" x14ac:dyDescent="0.25">
      <c r="A2477" s="115">
        <v>3615299</v>
      </c>
      <c r="B2477" s="115" t="s">
        <v>2350</v>
      </c>
      <c r="C2477" s="117">
        <v>75416.490000000005</v>
      </c>
    </row>
    <row r="2478" spans="1:3" x14ac:dyDescent="0.25">
      <c r="A2478" s="115">
        <v>3615212</v>
      </c>
      <c r="B2478" s="115" t="s">
        <v>2351</v>
      </c>
      <c r="C2478" s="117">
        <v>10186.11</v>
      </c>
    </row>
    <row r="2479" spans="1:3" x14ac:dyDescent="0.25">
      <c r="A2479" s="115">
        <v>3615224</v>
      </c>
      <c r="B2479" s="115" t="s">
        <v>2352</v>
      </c>
      <c r="C2479" s="117">
        <v>19445.93</v>
      </c>
    </row>
    <row r="2480" spans="1:3" x14ac:dyDescent="0.25">
      <c r="A2480" s="115">
        <v>3482315</v>
      </c>
      <c r="B2480" s="115" t="s">
        <v>2353</v>
      </c>
      <c r="C2480" s="117">
        <v>3340.5</v>
      </c>
    </row>
    <row r="2481" spans="1:3" x14ac:dyDescent="0.25">
      <c r="A2481" s="115">
        <v>3482345</v>
      </c>
      <c r="B2481" s="115" t="s">
        <v>2354</v>
      </c>
      <c r="C2481" s="117">
        <v>8023.83</v>
      </c>
    </row>
    <row r="2482" spans="1:3" x14ac:dyDescent="0.25">
      <c r="A2482" s="115">
        <v>3611512</v>
      </c>
      <c r="B2482" s="115" t="s">
        <v>2355</v>
      </c>
      <c r="C2482" s="117">
        <v>11426.74</v>
      </c>
    </row>
    <row r="2483" spans="1:3" x14ac:dyDescent="0.25">
      <c r="A2483" s="115">
        <v>3611524</v>
      </c>
      <c r="B2483" s="115" t="s">
        <v>2356</v>
      </c>
      <c r="C2483" s="117">
        <v>21616.37</v>
      </c>
    </row>
    <row r="2484" spans="1:3" x14ac:dyDescent="0.25">
      <c r="A2484" s="115">
        <v>3611323</v>
      </c>
      <c r="B2484" s="115" t="s">
        <v>2357</v>
      </c>
      <c r="C2484" s="117">
        <v>5864.13</v>
      </c>
    </row>
    <row r="2485" spans="1:3" x14ac:dyDescent="0.25">
      <c r="A2485" s="115">
        <v>3611336</v>
      </c>
      <c r="B2485" s="115" t="s">
        <v>2358</v>
      </c>
      <c r="C2485" s="117">
        <v>19945.259999999998</v>
      </c>
    </row>
    <row r="2486" spans="1:3" x14ac:dyDescent="0.25">
      <c r="A2486" s="115">
        <v>3611348</v>
      </c>
      <c r="B2486" s="115" t="s">
        <v>2359</v>
      </c>
      <c r="C2486" s="117">
        <v>26575.42</v>
      </c>
    </row>
    <row r="2487" spans="1:3" x14ac:dyDescent="0.25">
      <c r="A2487" s="115">
        <v>3611312</v>
      </c>
      <c r="B2487" s="115" t="s">
        <v>2360</v>
      </c>
      <c r="C2487" s="117">
        <v>3340.5</v>
      </c>
    </row>
    <row r="2488" spans="1:3" x14ac:dyDescent="0.25">
      <c r="A2488" s="115">
        <v>3611324</v>
      </c>
      <c r="B2488" s="115" t="s">
        <v>2361</v>
      </c>
      <c r="C2488" s="117">
        <v>8892.84</v>
      </c>
    </row>
    <row r="2489" spans="1:3" x14ac:dyDescent="0.25">
      <c r="A2489" s="115">
        <v>3611308</v>
      </c>
      <c r="B2489" s="115" t="s">
        <v>2362</v>
      </c>
      <c r="C2489" s="117">
        <v>13527.2</v>
      </c>
    </row>
    <row r="2490" spans="1:3" x14ac:dyDescent="0.25">
      <c r="A2490" s="115">
        <v>3612518</v>
      </c>
      <c r="B2490" s="115" t="s">
        <v>2363</v>
      </c>
      <c r="C2490" s="117">
        <v>10700.05</v>
      </c>
    </row>
    <row r="2491" spans="1:3" x14ac:dyDescent="0.25">
      <c r="A2491" s="115">
        <v>3481812</v>
      </c>
      <c r="B2491" s="115" t="s">
        <v>2364</v>
      </c>
      <c r="C2491" s="117">
        <v>2898.91</v>
      </c>
    </row>
    <row r="2492" spans="1:3" x14ac:dyDescent="0.25">
      <c r="A2492" s="115">
        <v>3481805</v>
      </c>
      <c r="B2492" s="115" t="s">
        <v>2365</v>
      </c>
      <c r="C2492" s="117">
        <v>2188.41</v>
      </c>
    </row>
    <row r="2493" spans="1:3" x14ac:dyDescent="0.25">
      <c r="A2493" s="115">
        <v>3481802</v>
      </c>
      <c r="B2493" s="115" t="s">
        <v>2366</v>
      </c>
      <c r="C2493" s="117">
        <v>1012.21</v>
      </c>
    </row>
    <row r="2494" spans="1:3" x14ac:dyDescent="0.25">
      <c r="A2494" s="115">
        <v>3481807</v>
      </c>
      <c r="B2494" s="115" t="s">
        <v>2367</v>
      </c>
      <c r="C2494" s="117">
        <v>2735.48</v>
      </c>
    </row>
    <row r="2495" spans="1:3" x14ac:dyDescent="0.25">
      <c r="A2495" s="115">
        <v>3481809</v>
      </c>
      <c r="B2495" s="115" t="s">
        <v>2368</v>
      </c>
      <c r="C2495" s="117">
        <v>775.18</v>
      </c>
    </row>
    <row r="2496" spans="1:3" x14ac:dyDescent="0.25">
      <c r="A2496" s="115">
        <v>3481808</v>
      </c>
      <c r="B2496" s="115" t="s">
        <v>2369</v>
      </c>
      <c r="C2496" s="117">
        <v>433.7</v>
      </c>
    </row>
    <row r="2497" spans="1:3" x14ac:dyDescent="0.25">
      <c r="A2497" s="115">
        <v>3481806</v>
      </c>
      <c r="B2497" s="115" t="s">
        <v>2370</v>
      </c>
      <c r="C2497" s="117">
        <v>2735.48</v>
      </c>
    </row>
    <row r="2498" spans="1:3" x14ac:dyDescent="0.25">
      <c r="A2498" s="115">
        <v>3481811</v>
      </c>
      <c r="B2498" s="115" t="s">
        <v>2371</v>
      </c>
      <c r="C2498" s="117">
        <v>1456.54</v>
      </c>
    </row>
    <row r="2499" spans="1:3" x14ac:dyDescent="0.25">
      <c r="A2499" s="115">
        <v>3481810</v>
      </c>
      <c r="B2499" s="115" t="s">
        <v>2372</v>
      </c>
      <c r="C2499" s="117">
        <v>2554.5700000000002</v>
      </c>
    </row>
    <row r="2500" spans="1:3" x14ac:dyDescent="0.25">
      <c r="A2500" s="115">
        <v>3618112</v>
      </c>
      <c r="B2500" s="115" t="s">
        <v>2373</v>
      </c>
      <c r="C2500" s="117">
        <v>25155.85</v>
      </c>
    </row>
    <row r="2501" spans="1:3" x14ac:dyDescent="0.25">
      <c r="A2501" s="115">
        <v>3618106</v>
      </c>
      <c r="B2501" s="115" t="s">
        <v>2374</v>
      </c>
      <c r="C2501" s="117">
        <v>13480.65</v>
      </c>
    </row>
    <row r="2502" spans="1:3" x14ac:dyDescent="0.25">
      <c r="A2502" s="115">
        <v>3619212</v>
      </c>
      <c r="B2502" s="115" t="s">
        <v>2375</v>
      </c>
      <c r="C2502" s="117">
        <v>2888.71</v>
      </c>
    </row>
    <row r="2503" spans="1:3" x14ac:dyDescent="0.25">
      <c r="A2503" s="115">
        <v>3619812</v>
      </c>
      <c r="B2503" s="115" t="s">
        <v>2376</v>
      </c>
      <c r="C2503" s="117">
        <v>12517.75</v>
      </c>
    </row>
    <row r="2504" spans="1:3" x14ac:dyDescent="0.25">
      <c r="A2504" s="115">
        <v>3619814</v>
      </c>
      <c r="B2504" s="115" t="s">
        <v>2377</v>
      </c>
      <c r="C2504" s="117">
        <v>21906.05</v>
      </c>
    </row>
    <row r="2505" spans="1:3" x14ac:dyDescent="0.25">
      <c r="A2505" s="115">
        <v>3619813</v>
      </c>
      <c r="B2505" s="115" t="s">
        <v>2378</v>
      </c>
      <c r="C2505" s="117">
        <v>30692.55</v>
      </c>
    </row>
    <row r="2506" spans="1:3" x14ac:dyDescent="0.25">
      <c r="A2506" s="115">
        <v>3619150</v>
      </c>
      <c r="B2506" s="115" t="s">
        <v>2379</v>
      </c>
      <c r="C2506" s="117">
        <v>51756.06</v>
      </c>
    </row>
    <row r="2507" spans="1:3" x14ac:dyDescent="0.25">
      <c r="A2507" s="115">
        <v>3613012</v>
      </c>
      <c r="B2507" s="115" t="s">
        <v>2380</v>
      </c>
      <c r="C2507" s="117">
        <v>7883.77</v>
      </c>
    </row>
    <row r="2508" spans="1:3" x14ac:dyDescent="0.25">
      <c r="A2508" s="115">
        <v>3613024</v>
      </c>
      <c r="B2508" s="115" t="s">
        <v>2381</v>
      </c>
      <c r="C2508" s="117">
        <v>14925</v>
      </c>
    </row>
    <row r="2509" spans="1:3" x14ac:dyDescent="0.25">
      <c r="A2509" s="115">
        <v>3619312</v>
      </c>
      <c r="B2509" s="115" t="s">
        <v>2382</v>
      </c>
      <c r="C2509" s="117">
        <v>4092.34</v>
      </c>
    </row>
    <row r="2510" spans="1:3" x14ac:dyDescent="0.25">
      <c r="A2510" s="115">
        <v>3619324</v>
      </c>
      <c r="B2510" s="115" t="s">
        <v>2383</v>
      </c>
      <c r="C2510" s="117">
        <v>9388.31</v>
      </c>
    </row>
    <row r="2511" spans="1:3" x14ac:dyDescent="0.25">
      <c r="A2511" s="115">
        <v>3619336</v>
      </c>
      <c r="B2511" s="115" t="s">
        <v>2384</v>
      </c>
      <c r="C2511" s="117">
        <v>17572.990000000002</v>
      </c>
    </row>
    <row r="2512" spans="1:3" x14ac:dyDescent="0.25">
      <c r="A2512" s="115">
        <v>3619612</v>
      </c>
      <c r="B2512" s="115" t="s">
        <v>2385</v>
      </c>
      <c r="C2512" s="117">
        <v>7342.14</v>
      </c>
    </row>
    <row r="2513" spans="1:3" x14ac:dyDescent="0.25">
      <c r="A2513" s="115">
        <v>3619624</v>
      </c>
      <c r="B2513" s="115" t="s">
        <v>2386</v>
      </c>
      <c r="C2513" s="117">
        <v>14443.55</v>
      </c>
    </row>
    <row r="2514" spans="1:3" x14ac:dyDescent="0.25">
      <c r="A2514" s="115">
        <v>3619636</v>
      </c>
      <c r="B2514" s="115" t="s">
        <v>2387</v>
      </c>
      <c r="C2514" s="117">
        <v>22146.78</v>
      </c>
    </row>
    <row r="2515" spans="1:3" x14ac:dyDescent="0.25">
      <c r="A2515" s="115">
        <v>3610412</v>
      </c>
      <c r="B2515" s="115" t="s">
        <v>2388</v>
      </c>
      <c r="C2515" s="117">
        <v>5020.05</v>
      </c>
    </row>
    <row r="2516" spans="1:3" x14ac:dyDescent="0.25">
      <c r="A2516" s="115">
        <v>3610424</v>
      </c>
      <c r="B2516" s="115" t="s">
        <v>2389</v>
      </c>
      <c r="C2516" s="117">
        <v>10040.08</v>
      </c>
    </row>
    <row r="2517" spans="1:3" x14ac:dyDescent="0.25">
      <c r="A2517" s="115">
        <v>3617140</v>
      </c>
      <c r="B2517" s="115" t="s">
        <v>2390</v>
      </c>
      <c r="C2517" s="117">
        <v>214.92</v>
      </c>
    </row>
    <row r="2518" spans="1:3" x14ac:dyDescent="0.25">
      <c r="A2518" s="115">
        <v>3617136</v>
      </c>
      <c r="B2518" s="115" t="s">
        <v>2391</v>
      </c>
      <c r="C2518" s="117">
        <v>10423.799999999999</v>
      </c>
    </row>
    <row r="2519" spans="1:3" x14ac:dyDescent="0.25">
      <c r="A2519" s="115">
        <v>3617130</v>
      </c>
      <c r="B2519" s="115" t="s">
        <v>2392</v>
      </c>
      <c r="C2519" s="117">
        <v>20507.27</v>
      </c>
    </row>
    <row r="2520" spans="1:3" x14ac:dyDescent="0.25">
      <c r="A2520" s="115">
        <v>3617120</v>
      </c>
      <c r="B2520" s="115" t="s">
        <v>2393</v>
      </c>
      <c r="C2520" s="117">
        <v>2783.8</v>
      </c>
    </row>
    <row r="2521" spans="1:3" x14ac:dyDescent="0.25">
      <c r="A2521" s="115">
        <v>3617113</v>
      </c>
      <c r="B2521" s="115" t="s">
        <v>2394</v>
      </c>
      <c r="C2521" s="117">
        <v>4266.66</v>
      </c>
    </row>
    <row r="2522" spans="1:3" x14ac:dyDescent="0.25">
      <c r="A2522" s="115">
        <v>3617412</v>
      </c>
      <c r="B2522" s="115" t="s">
        <v>2395</v>
      </c>
      <c r="C2522" s="117">
        <v>6896.86</v>
      </c>
    </row>
    <row r="2523" spans="1:3" x14ac:dyDescent="0.25">
      <c r="A2523" s="115">
        <v>3617100</v>
      </c>
      <c r="B2523" s="115" t="s">
        <v>2396</v>
      </c>
      <c r="C2523" s="117">
        <v>92.07</v>
      </c>
    </row>
    <row r="2524" spans="1:3" x14ac:dyDescent="0.25">
      <c r="A2524" s="115">
        <v>3617218</v>
      </c>
      <c r="B2524" s="115" t="s">
        <v>2397</v>
      </c>
      <c r="C2524" s="117">
        <v>9032.26</v>
      </c>
    </row>
    <row r="2525" spans="1:3" x14ac:dyDescent="0.25">
      <c r="A2525" s="115">
        <v>3617224</v>
      </c>
      <c r="B2525" s="115" t="s">
        <v>2398</v>
      </c>
      <c r="C2525" s="117">
        <v>14799.16</v>
      </c>
    </row>
    <row r="2526" spans="1:3" x14ac:dyDescent="0.25">
      <c r="A2526" s="115">
        <v>3617212</v>
      </c>
      <c r="B2526" s="115" t="s">
        <v>2399</v>
      </c>
      <c r="C2526" s="117">
        <v>5612.13</v>
      </c>
    </row>
    <row r="2527" spans="1:3" x14ac:dyDescent="0.25">
      <c r="A2527" s="115">
        <v>3611700</v>
      </c>
      <c r="B2527" s="115" t="s">
        <v>2400</v>
      </c>
      <c r="C2527" s="117">
        <v>3659.75</v>
      </c>
    </row>
    <row r="2528" spans="1:3" x14ac:dyDescent="0.25">
      <c r="A2528" s="115">
        <v>3619512</v>
      </c>
      <c r="B2528" s="115" t="s">
        <v>2401</v>
      </c>
      <c r="C2528" s="117">
        <v>4571.9799999999996</v>
      </c>
    </row>
    <row r="2529" spans="1:3" x14ac:dyDescent="0.25">
      <c r="A2529" s="115">
        <v>3610134</v>
      </c>
      <c r="B2529" s="115" t="s">
        <v>2402</v>
      </c>
      <c r="C2529" s="117">
        <v>8275.59</v>
      </c>
    </row>
    <row r="2530" spans="1:3" x14ac:dyDescent="0.25">
      <c r="A2530" s="115">
        <v>3610120</v>
      </c>
      <c r="B2530" s="115" t="s">
        <v>2403</v>
      </c>
      <c r="C2530" s="117">
        <v>1861.41</v>
      </c>
    </row>
    <row r="2531" spans="1:3" x14ac:dyDescent="0.25">
      <c r="A2531" s="115">
        <v>3610173</v>
      </c>
      <c r="B2531" s="115" t="s">
        <v>2404</v>
      </c>
      <c r="C2531" s="117">
        <v>5526.09</v>
      </c>
    </row>
    <row r="2532" spans="1:3" x14ac:dyDescent="0.25">
      <c r="A2532" s="115">
        <v>3610012</v>
      </c>
      <c r="B2532" s="115" t="s">
        <v>12329</v>
      </c>
      <c r="C2532" s="117">
        <v>3357.51</v>
      </c>
    </row>
    <row r="2533" spans="1:3" x14ac:dyDescent="0.25">
      <c r="A2533" s="115">
        <v>3618900</v>
      </c>
      <c r="B2533" s="115" t="s">
        <v>11568</v>
      </c>
      <c r="C2533" s="117">
        <v>480.25</v>
      </c>
    </row>
    <row r="2534" spans="1:3" x14ac:dyDescent="0.25">
      <c r="A2534" s="115">
        <v>3619700</v>
      </c>
      <c r="B2534" s="115" t="s">
        <v>2405</v>
      </c>
      <c r="C2534" s="117">
        <v>1119.3800000000001</v>
      </c>
    </row>
    <row r="2535" spans="1:3" x14ac:dyDescent="0.25">
      <c r="A2535" s="115">
        <v>3619724</v>
      </c>
      <c r="B2535" s="115" t="s">
        <v>2406</v>
      </c>
      <c r="C2535" s="117">
        <v>1621.89</v>
      </c>
    </row>
    <row r="2536" spans="1:3" x14ac:dyDescent="0.25">
      <c r="A2536" s="115">
        <v>3618510</v>
      </c>
      <c r="B2536" s="115" t="s">
        <v>2407</v>
      </c>
      <c r="C2536" s="117">
        <v>2959.61</v>
      </c>
    </row>
    <row r="2537" spans="1:3" x14ac:dyDescent="0.25">
      <c r="A2537" s="115">
        <v>3602212</v>
      </c>
      <c r="B2537" s="115" t="s">
        <v>2408</v>
      </c>
      <c r="C2537" s="117">
        <v>4245.08</v>
      </c>
    </row>
    <row r="2538" spans="1:3" x14ac:dyDescent="0.25">
      <c r="A2538" s="115">
        <v>3481813</v>
      </c>
      <c r="B2538" s="115" t="s">
        <v>2409</v>
      </c>
      <c r="C2538" s="117">
        <v>1964.53</v>
      </c>
    </row>
    <row r="2539" spans="1:3" x14ac:dyDescent="0.25">
      <c r="A2539" s="115">
        <v>3481836</v>
      </c>
      <c r="B2539" s="115" t="s">
        <v>2410</v>
      </c>
      <c r="C2539" s="117">
        <v>4184.4799999999996</v>
      </c>
    </row>
    <row r="2540" spans="1:3" x14ac:dyDescent="0.25">
      <c r="A2540" s="115">
        <v>3481814</v>
      </c>
      <c r="B2540" s="115" t="s">
        <v>2411</v>
      </c>
      <c r="C2540" s="117">
        <v>5703.76</v>
      </c>
    </row>
    <row r="2541" spans="1:3" x14ac:dyDescent="0.25">
      <c r="A2541" s="115">
        <v>3481203</v>
      </c>
      <c r="B2541" s="115" t="s">
        <v>2412</v>
      </c>
      <c r="C2541" s="117">
        <v>139.85</v>
      </c>
    </row>
    <row r="2542" spans="1:3" x14ac:dyDescent="0.25">
      <c r="A2542" s="115">
        <v>3481202</v>
      </c>
      <c r="B2542" s="115" t="s">
        <v>2413</v>
      </c>
      <c r="C2542" s="117">
        <v>895.34</v>
      </c>
    </row>
    <row r="2543" spans="1:3" x14ac:dyDescent="0.25">
      <c r="A2543" s="115">
        <v>3616212</v>
      </c>
      <c r="B2543" s="115" t="s">
        <v>2414</v>
      </c>
      <c r="C2543" s="117">
        <v>1975.5</v>
      </c>
    </row>
    <row r="2544" spans="1:3" x14ac:dyDescent="0.25">
      <c r="A2544" s="115">
        <v>3617112</v>
      </c>
      <c r="B2544" s="115" t="s">
        <v>2415</v>
      </c>
      <c r="C2544" s="117">
        <v>225.23</v>
      </c>
    </row>
    <row r="2545" spans="1:3" x14ac:dyDescent="0.25">
      <c r="A2545" s="115">
        <v>3617012</v>
      </c>
      <c r="B2545" s="115" t="s">
        <v>2416</v>
      </c>
      <c r="C2545" s="117">
        <v>483.24</v>
      </c>
    </row>
    <row r="2546" spans="1:3" x14ac:dyDescent="0.25">
      <c r="A2546" s="115">
        <v>3616112</v>
      </c>
      <c r="B2546" s="115" t="s">
        <v>2417</v>
      </c>
      <c r="C2546" s="117">
        <v>1697.42</v>
      </c>
    </row>
    <row r="2547" spans="1:3" x14ac:dyDescent="0.25">
      <c r="A2547" s="115">
        <v>3615504</v>
      </c>
      <c r="B2547" s="115" t="s">
        <v>2418</v>
      </c>
      <c r="C2547" s="117">
        <v>3625.01</v>
      </c>
    </row>
    <row r="2548" spans="1:3" x14ac:dyDescent="0.25">
      <c r="A2548" s="115">
        <v>3616124</v>
      </c>
      <c r="B2548" s="115" t="s">
        <v>2419</v>
      </c>
      <c r="C2548" s="117">
        <v>3385.67</v>
      </c>
    </row>
    <row r="2549" spans="1:3" x14ac:dyDescent="0.25">
      <c r="A2549" s="115">
        <v>3615503</v>
      </c>
      <c r="B2549" s="115" t="s">
        <v>2420</v>
      </c>
      <c r="C2549" s="117">
        <v>2805.69</v>
      </c>
    </row>
    <row r="2550" spans="1:3" x14ac:dyDescent="0.25">
      <c r="A2550" s="115">
        <v>3615502</v>
      </c>
      <c r="B2550" s="115" t="s">
        <v>2421</v>
      </c>
      <c r="C2550" s="117">
        <v>2805.69</v>
      </c>
    </row>
    <row r="2551" spans="1:3" x14ac:dyDescent="0.25">
      <c r="A2551" s="115">
        <v>3615501</v>
      </c>
      <c r="B2551" s="115" t="s">
        <v>2422</v>
      </c>
      <c r="C2551" s="117">
        <v>2666.45</v>
      </c>
    </row>
    <row r="2552" spans="1:3" x14ac:dyDescent="0.25">
      <c r="A2552" s="115">
        <v>3616012</v>
      </c>
      <c r="B2552" s="115" t="s">
        <v>2423</v>
      </c>
      <c r="C2552" s="117">
        <v>709.71</v>
      </c>
    </row>
    <row r="2553" spans="1:3" x14ac:dyDescent="0.25">
      <c r="A2553" s="115">
        <v>3616006</v>
      </c>
      <c r="B2553" s="115" t="s">
        <v>2424</v>
      </c>
      <c r="C2553" s="117">
        <v>523.63</v>
      </c>
    </row>
    <row r="2554" spans="1:3" x14ac:dyDescent="0.25">
      <c r="A2554" s="115">
        <v>3612410</v>
      </c>
      <c r="B2554" s="115" t="s">
        <v>2425</v>
      </c>
      <c r="C2554" s="117">
        <v>15825.67</v>
      </c>
    </row>
    <row r="2555" spans="1:3" x14ac:dyDescent="0.25">
      <c r="A2555" s="115">
        <v>3615813</v>
      </c>
      <c r="B2555" s="115" t="s">
        <v>2426</v>
      </c>
      <c r="C2555" s="117">
        <v>899.87</v>
      </c>
    </row>
    <row r="2556" spans="1:3" x14ac:dyDescent="0.25">
      <c r="A2556" s="115">
        <v>3610724</v>
      </c>
      <c r="B2556" s="115" t="s">
        <v>2427</v>
      </c>
      <c r="C2556" s="117">
        <v>3139.54</v>
      </c>
    </row>
    <row r="2557" spans="1:3" x14ac:dyDescent="0.25">
      <c r="A2557" s="115">
        <v>3610706</v>
      </c>
      <c r="B2557" s="115" t="s">
        <v>2428</v>
      </c>
      <c r="C2557" s="117">
        <v>1520.31</v>
      </c>
    </row>
    <row r="2558" spans="1:3" x14ac:dyDescent="0.25">
      <c r="A2558" s="115">
        <v>3610760</v>
      </c>
      <c r="B2558" s="115" t="s">
        <v>2429</v>
      </c>
      <c r="C2558" s="117">
        <v>2026.74</v>
      </c>
    </row>
    <row r="2559" spans="1:3" x14ac:dyDescent="0.25">
      <c r="A2559" s="115">
        <v>3610291</v>
      </c>
      <c r="B2559" s="115" t="s">
        <v>2430</v>
      </c>
      <c r="C2559" s="117">
        <v>719.81</v>
      </c>
    </row>
    <row r="2560" spans="1:3" x14ac:dyDescent="0.25">
      <c r="A2560" s="115">
        <v>3610290</v>
      </c>
      <c r="B2560" s="115" t="s">
        <v>2431</v>
      </c>
      <c r="C2560" s="117">
        <v>426.86</v>
      </c>
    </row>
    <row r="2561" spans="1:3" x14ac:dyDescent="0.25">
      <c r="A2561" s="115">
        <v>3610292</v>
      </c>
      <c r="B2561" s="115" t="s">
        <v>2432</v>
      </c>
      <c r="C2561" s="117">
        <v>1214.42</v>
      </c>
    </row>
    <row r="2562" spans="1:3" x14ac:dyDescent="0.25">
      <c r="A2562" s="144" t="s">
        <v>2433</v>
      </c>
      <c r="B2562" s="145"/>
      <c r="C2562" s="145"/>
    </row>
    <row r="2563" spans="1:3" x14ac:dyDescent="0.25">
      <c r="A2563" s="115">
        <v>3021010</v>
      </c>
      <c r="B2563" s="115" t="s">
        <v>2434</v>
      </c>
      <c r="C2563" s="117">
        <v>13480.65</v>
      </c>
    </row>
    <row r="2564" spans="1:3" x14ac:dyDescent="0.25">
      <c r="A2564" s="115">
        <v>3021018</v>
      </c>
      <c r="B2564" s="115" t="s">
        <v>2435</v>
      </c>
      <c r="C2564" s="117">
        <v>13901.92</v>
      </c>
    </row>
    <row r="2565" spans="1:3" x14ac:dyDescent="0.25">
      <c r="A2565" s="115">
        <v>3021024</v>
      </c>
      <c r="B2565" s="115" t="s">
        <v>2436</v>
      </c>
      <c r="C2565" s="117">
        <v>25998.39</v>
      </c>
    </row>
    <row r="2566" spans="1:3" x14ac:dyDescent="0.25">
      <c r="A2566" s="115">
        <v>3025116</v>
      </c>
      <c r="B2566" s="115" t="s">
        <v>2437</v>
      </c>
      <c r="C2566" s="117">
        <v>2620.75</v>
      </c>
    </row>
    <row r="2567" spans="1:3" x14ac:dyDescent="0.25">
      <c r="A2567" s="115">
        <v>3023012</v>
      </c>
      <c r="B2567" s="115" t="s">
        <v>2438</v>
      </c>
      <c r="C2567" s="117">
        <v>815.64</v>
      </c>
    </row>
    <row r="2568" spans="1:3" x14ac:dyDescent="0.25">
      <c r="A2568" s="115">
        <v>3023010</v>
      </c>
      <c r="B2568" s="115" t="s">
        <v>2439</v>
      </c>
      <c r="C2568" s="117">
        <v>1948.53</v>
      </c>
    </row>
    <row r="2569" spans="1:3" x14ac:dyDescent="0.25">
      <c r="A2569" s="115">
        <v>3021108</v>
      </c>
      <c r="B2569" s="115" t="s">
        <v>2440</v>
      </c>
      <c r="C2569" s="117">
        <v>368.71</v>
      </c>
    </row>
    <row r="2570" spans="1:3" x14ac:dyDescent="0.25">
      <c r="A2570" s="115">
        <v>3021212</v>
      </c>
      <c r="B2570" s="115" t="s">
        <v>2441</v>
      </c>
      <c r="C2570" s="117">
        <v>1002.72</v>
      </c>
    </row>
    <row r="2571" spans="1:3" x14ac:dyDescent="0.25">
      <c r="A2571" s="115">
        <v>3021236</v>
      </c>
      <c r="B2571" s="115" t="s">
        <v>2442</v>
      </c>
      <c r="C2571" s="117">
        <v>6795.39</v>
      </c>
    </row>
    <row r="2572" spans="1:3" x14ac:dyDescent="0.25">
      <c r="A2572" s="115">
        <v>3021208</v>
      </c>
      <c r="B2572" s="115" t="s">
        <v>2443</v>
      </c>
      <c r="C2572" s="117">
        <v>87.61</v>
      </c>
    </row>
    <row r="2573" spans="1:3" x14ac:dyDescent="0.25">
      <c r="A2573" s="115">
        <v>3025012</v>
      </c>
      <c r="B2573" s="115" t="s">
        <v>2444</v>
      </c>
      <c r="C2573" s="117">
        <v>4718.2299999999996</v>
      </c>
    </row>
    <row r="2574" spans="1:3" x14ac:dyDescent="0.25">
      <c r="A2574" s="115">
        <v>3025024</v>
      </c>
      <c r="B2574" s="115" t="s">
        <v>2445</v>
      </c>
      <c r="C2574" s="117">
        <v>8906.86</v>
      </c>
    </row>
    <row r="2575" spans="1:3" x14ac:dyDescent="0.25">
      <c r="A2575" s="115">
        <v>3969920</v>
      </c>
      <c r="B2575" s="115" t="s">
        <v>2446</v>
      </c>
      <c r="C2575" s="117">
        <v>1196.5999999999999</v>
      </c>
    </row>
    <row r="2576" spans="1:3" x14ac:dyDescent="0.25">
      <c r="A2576" s="115">
        <v>3969918</v>
      </c>
      <c r="B2576" s="115" t="s">
        <v>2447</v>
      </c>
      <c r="C2576" s="117">
        <v>425.32</v>
      </c>
    </row>
    <row r="2577" spans="1:3" x14ac:dyDescent="0.25">
      <c r="A2577" s="115">
        <v>3020508</v>
      </c>
      <c r="B2577" s="115" t="s">
        <v>2448</v>
      </c>
      <c r="C2577" s="117">
        <v>2105.46</v>
      </c>
    </row>
    <row r="2578" spans="1:3" x14ac:dyDescent="0.25">
      <c r="A2578" s="115">
        <v>3020512</v>
      </c>
      <c r="B2578" s="115" t="s">
        <v>2449</v>
      </c>
      <c r="C2578" s="117">
        <v>2514.1799999999998</v>
      </c>
    </row>
    <row r="2579" spans="1:3" x14ac:dyDescent="0.25">
      <c r="A2579" s="115">
        <v>3020528</v>
      </c>
      <c r="B2579" s="115" t="s">
        <v>2450</v>
      </c>
      <c r="C2579" s="117">
        <v>4908.87</v>
      </c>
    </row>
    <row r="2580" spans="1:3" x14ac:dyDescent="0.25">
      <c r="A2580" s="115">
        <v>3020548</v>
      </c>
      <c r="B2580" s="115" t="s">
        <v>2451</v>
      </c>
      <c r="C2580" s="117">
        <v>8419.5300000000007</v>
      </c>
    </row>
    <row r="2581" spans="1:3" x14ac:dyDescent="0.25">
      <c r="A2581" s="115">
        <v>3141200</v>
      </c>
      <c r="B2581" s="115" t="s">
        <v>2452</v>
      </c>
      <c r="C2581" s="117">
        <v>5.62</v>
      </c>
    </row>
    <row r="2582" spans="1:3" x14ac:dyDescent="0.25">
      <c r="A2582" s="115">
        <v>3141067</v>
      </c>
      <c r="B2582" s="115" t="s">
        <v>2453</v>
      </c>
      <c r="C2582" s="117">
        <v>112.35</v>
      </c>
    </row>
    <row r="2583" spans="1:3" x14ac:dyDescent="0.25">
      <c r="A2583" s="115">
        <v>3141026</v>
      </c>
      <c r="B2583" s="115" t="s">
        <v>2454</v>
      </c>
      <c r="C2583" s="117">
        <v>112.35</v>
      </c>
    </row>
    <row r="2584" spans="1:3" x14ac:dyDescent="0.25">
      <c r="A2584" s="115">
        <v>3141029</v>
      </c>
      <c r="B2584" s="115" t="s">
        <v>2455</v>
      </c>
      <c r="C2584" s="117">
        <v>112.35</v>
      </c>
    </row>
    <row r="2585" spans="1:3" x14ac:dyDescent="0.25">
      <c r="A2585" s="115">
        <v>3141022</v>
      </c>
      <c r="B2585" s="115" t="s">
        <v>2456</v>
      </c>
      <c r="C2585" s="117">
        <v>112.35</v>
      </c>
    </row>
    <row r="2586" spans="1:3" x14ac:dyDescent="0.25">
      <c r="A2586" s="115">
        <v>3141036</v>
      </c>
      <c r="B2586" s="115" t="s">
        <v>2457</v>
      </c>
      <c r="C2586" s="117">
        <v>112.35</v>
      </c>
    </row>
    <row r="2587" spans="1:3" x14ac:dyDescent="0.25">
      <c r="A2587" s="115">
        <v>3141099</v>
      </c>
      <c r="B2587" s="115" t="s">
        <v>2458</v>
      </c>
      <c r="C2587" s="117">
        <v>112.35</v>
      </c>
    </row>
    <row r="2588" spans="1:3" x14ac:dyDescent="0.25">
      <c r="A2588" s="115">
        <v>3141038</v>
      </c>
      <c r="B2588" s="115" t="s">
        <v>2459</v>
      </c>
      <c r="C2588" s="117">
        <v>112.35</v>
      </c>
    </row>
    <row r="2589" spans="1:3" x14ac:dyDescent="0.25">
      <c r="A2589" s="115">
        <v>3141068</v>
      </c>
      <c r="B2589" s="115" t="s">
        <v>2460</v>
      </c>
      <c r="C2589" s="117">
        <v>112.35</v>
      </c>
    </row>
    <row r="2590" spans="1:3" x14ac:dyDescent="0.25">
      <c r="A2590" s="115">
        <v>3141063</v>
      </c>
      <c r="B2590" s="115" t="s">
        <v>2461</v>
      </c>
      <c r="C2590" s="117">
        <v>112.35</v>
      </c>
    </row>
    <row r="2591" spans="1:3" x14ac:dyDescent="0.25">
      <c r="A2591" s="115">
        <v>3141075</v>
      </c>
      <c r="B2591" s="115" t="s">
        <v>2462</v>
      </c>
      <c r="C2591" s="117">
        <v>112.35</v>
      </c>
    </row>
    <row r="2592" spans="1:3" x14ac:dyDescent="0.25">
      <c r="A2592" s="115">
        <v>3141076</v>
      </c>
      <c r="B2592" s="115" t="s">
        <v>2463</v>
      </c>
      <c r="C2592" s="117">
        <v>112.35</v>
      </c>
    </row>
    <row r="2593" spans="1:3" x14ac:dyDescent="0.25">
      <c r="A2593" s="115">
        <v>3141077</v>
      </c>
      <c r="B2593" s="115" t="s">
        <v>2464</v>
      </c>
      <c r="C2593" s="117">
        <v>112.35</v>
      </c>
    </row>
    <row r="2594" spans="1:3" x14ac:dyDescent="0.25">
      <c r="A2594" s="115">
        <v>3141078</v>
      </c>
      <c r="B2594" s="115" t="s">
        <v>2465</v>
      </c>
      <c r="C2594" s="117">
        <v>112.35</v>
      </c>
    </row>
    <row r="2595" spans="1:3" x14ac:dyDescent="0.25">
      <c r="A2595" s="115">
        <v>3141089</v>
      </c>
      <c r="B2595" s="115" t="s">
        <v>2466</v>
      </c>
      <c r="C2595" s="117">
        <v>112.35</v>
      </c>
    </row>
    <row r="2596" spans="1:3" x14ac:dyDescent="0.25">
      <c r="A2596" s="115">
        <v>3141083</v>
      </c>
      <c r="B2596" s="115" t="s">
        <v>2467</v>
      </c>
      <c r="C2596" s="117">
        <v>112.35</v>
      </c>
    </row>
    <row r="2597" spans="1:3" x14ac:dyDescent="0.25">
      <c r="A2597" s="115">
        <v>3141084</v>
      </c>
      <c r="B2597" s="115" t="s">
        <v>2468</v>
      </c>
      <c r="C2597" s="117">
        <v>112.35</v>
      </c>
    </row>
    <row r="2598" spans="1:3" x14ac:dyDescent="0.25">
      <c r="A2598" s="115">
        <v>3141023</v>
      </c>
      <c r="B2598" s="115" t="s">
        <v>2469</v>
      </c>
      <c r="C2598" s="117">
        <v>112.35</v>
      </c>
    </row>
    <row r="2599" spans="1:3" x14ac:dyDescent="0.25">
      <c r="A2599" s="115">
        <v>3141322</v>
      </c>
      <c r="B2599" s="115" t="s">
        <v>2470</v>
      </c>
      <c r="C2599" s="117">
        <v>478.8</v>
      </c>
    </row>
    <row r="2600" spans="1:3" x14ac:dyDescent="0.25">
      <c r="A2600" s="115">
        <v>3141321</v>
      </c>
      <c r="B2600" s="115" t="s">
        <v>2471</v>
      </c>
      <c r="C2600" s="117">
        <v>478.8</v>
      </c>
    </row>
    <row r="2601" spans="1:3" x14ac:dyDescent="0.25">
      <c r="A2601" s="115">
        <v>3141310</v>
      </c>
      <c r="B2601" s="115" t="s">
        <v>2472</v>
      </c>
      <c r="C2601" s="117">
        <v>478.8</v>
      </c>
    </row>
    <row r="2602" spans="1:3" x14ac:dyDescent="0.25">
      <c r="A2602" s="115">
        <v>3141332</v>
      </c>
      <c r="B2602" s="115" t="s">
        <v>2473</v>
      </c>
      <c r="C2602" s="117">
        <v>478.8</v>
      </c>
    </row>
    <row r="2603" spans="1:3" x14ac:dyDescent="0.25">
      <c r="A2603" s="115">
        <v>3141387</v>
      </c>
      <c r="B2603" s="115" t="s">
        <v>2474</v>
      </c>
      <c r="C2603" s="117">
        <v>478.8</v>
      </c>
    </row>
    <row r="2604" spans="1:3" x14ac:dyDescent="0.25">
      <c r="A2604" s="115">
        <v>3141323</v>
      </c>
      <c r="B2604" s="115" t="s">
        <v>2475</v>
      </c>
      <c r="C2604" s="117">
        <v>478.8</v>
      </c>
    </row>
    <row r="2605" spans="1:3" x14ac:dyDescent="0.25">
      <c r="A2605" s="115">
        <v>3141331</v>
      </c>
      <c r="B2605" s="115" t="s">
        <v>2476</v>
      </c>
      <c r="C2605" s="117">
        <v>478.8</v>
      </c>
    </row>
    <row r="2606" spans="1:3" x14ac:dyDescent="0.25">
      <c r="A2606" s="115">
        <v>3141334</v>
      </c>
      <c r="B2606" s="115" t="s">
        <v>2477</v>
      </c>
      <c r="C2606" s="117">
        <v>478.8</v>
      </c>
    </row>
    <row r="2607" spans="1:3" x14ac:dyDescent="0.25">
      <c r="A2607" s="115">
        <v>3141324</v>
      </c>
      <c r="B2607" s="115" t="s">
        <v>2478</v>
      </c>
      <c r="C2607" s="117">
        <v>478.8</v>
      </c>
    </row>
    <row r="2608" spans="1:3" x14ac:dyDescent="0.25">
      <c r="A2608" s="115">
        <v>3141363</v>
      </c>
      <c r="B2608" s="115" t="s">
        <v>2479</v>
      </c>
      <c r="C2608" s="117">
        <v>478.8</v>
      </c>
    </row>
    <row r="2609" spans="1:3" x14ac:dyDescent="0.25">
      <c r="A2609" s="115">
        <v>3141330</v>
      </c>
      <c r="B2609" s="115" t="s">
        <v>2480</v>
      </c>
      <c r="C2609" s="117">
        <v>478.8</v>
      </c>
    </row>
    <row r="2610" spans="1:3" x14ac:dyDescent="0.25">
      <c r="A2610" s="115">
        <v>3141328</v>
      </c>
      <c r="B2610" s="115" t="s">
        <v>2481</v>
      </c>
      <c r="C2610" s="117">
        <v>478.8</v>
      </c>
    </row>
    <row r="2611" spans="1:3" x14ac:dyDescent="0.25">
      <c r="A2611" s="115">
        <v>3141333</v>
      </c>
      <c r="B2611" s="115" t="s">
        <v>2482</v>
      </c>
      <c r="C2611" s="117">
        <v>478.8</v>
      </c>
    </row>
    <row r="2612" spans="1:3" x14ac:dyDescent="0.25">
      <c r="A2612" s="115">
        <v>3141375</v>
      </c>
      <c r="B2612" s="115" t="s">
        <v>2483</v>
      </c>
      <c r="C2612" s="117">
        <v>478.8</v>
      </c>
    </row>
    <row r="2613" spans="1:3" x14ac:dyDescent="0.25">
      <c r="A2613" s="115">
        <v>3141384</v>
      </c>
      <c r="B2613" s="115" t="s">
        <v>2484</v>
      </c>
      <c r="C2613" s="117">
        <v>478.8</v>
      </c>
    </row>
    <row r="2614" spans="1:3" x14ac:dyDescent="0.25">
      <c r="A2614" s="115">
        <v>3141327</v>
      </c>
      <c r="B2614" s="115" t="s">
        <v>2485</v>
      </c>
      <c r="C2614" s="117">
        <v>478.8</v>
      </c>
    </row>
    <row r="2615" spans="1:3" x14ac:dyDescent="0.25">
      <c r="A2615" s="115">
        <v>3141377</v>
      </c>
      <c r="B2615" s="115" t="s">
        <v>2486</v>
      </c>
      <c r="C2615" s="117">
        <v>478.8</v>
      </c>
    </row>
    <row r="2616" spans="1:3" x14ac:dyDescent="0.25">
      <c r="A2616" s="115">
        <v>3141337</v>
      </c>
      <c r="B2616" s="115" t="s">
        <v>2487</v>
      </c>
      <c r="C2616" s="117">
        <v>478.8</v>
      </c>
    </row>
    <row r="2617" spans="1:3" x14ac:dyDescent="0.25">
      <c r="A2617" s="115">
        <v>3141383</v>
      </c>
      <c r="B2617" s="115" t="s">
        <v>2488</v>
      </c>
      <c r="C2617" s="117">
        <v>478.8</v>
      </c>
    </row>
    <row r="2618" spans="1:3" x14ac:dyDescent="0.25">
      <c r="A2618" s="115">
        <v>3141335</v>
      </c>
      <c r="B2618" s="115" t="s">
        <v>2489</v>
      </c>
      <c r="C2618" s="117">
        <v>478.8</v>
      </c>
    </row>
    <row r="2619" spans="1:3" x14ac:dyDescent="0.25">
      <c r="A2619" s="115">
        <v>3978000</v>
      </c>
      <c r="B2619" s="115" t="s">
        <v>2490</v>
      </c>
      <c r="C2619" s="117">
        <v>43990.26</v>
      </c>
    </row>
    <row r="2620" spans="1:3" x14ac:dyDescent="0.25">
      <c r="A2620" s="115">
        <v>3521008</v>
      </c>
      <c r="B2620" s="115" t="s">
        <v>2491</v>
      </c>
      <c r="C2620" s="117">
        <v>319.06</v>
      </c>
    </row>
    <row r="2621" spans="1:3" x14ac:dyDescent="0.25">
      <c r="A2621" s="115">
        <v>3521006</v>
      </c>
      <c r="B2621" s="115" t="s">
        <v>2492</v>
      </c>
      <c r="C2621" s="117">
        <v>288.73</v>
      </c>
    </row>
    <row r="2622" spans="1:3" x14ac:dyDescent="0.25">
      <c r="A2622" s="115">
        <v>3078704</v>
      </c>
      <c r="B2622" s="115" t="s">
        <v>2493</v>
      </c>
      <c r="C2622" s="117">
        <v>1494.35</v>
      </c>
    </row>
    <row r="2623" spans="1:3" x14ac:dyDescent="0.25">
      <c r="A2623" s="115">
        <v>3078705</v>
      </c>
      <c r="B2623" s="115" t="s">
        <v>2494</v>
      </c>
      <c r="C2623" s="117">
        <v>2116.7800000000002</v>
      </c>
    </row>
    <row r="2624" spans="1:3" x14ac:dyDescent="0.25">
      <c r="A2624" s="115">
        <v>3078706</v>
      </c>
      <c r="B2624" s="115" t="s">
        <v>2495</v>
      </c>
      <c r="C2624" s="117">
        <v>2116.7800000000002</v>
      </c>
    </row>
    <row r="2625" spans="1:3" x14ac:dyDescent="0.25">
      <c r="A2625" s="115">
        <v>3078707</v>
      </c>
      <c r="B2625" s="115" t="s">
        <v>2496</v>
      </c>
      <c r="C2625" s="117">
        <v>2116.7800000000002</v>
      </c>
    </row>
    <row r="2626" spans="1:3" x14ac:dyDescent="0.25">
      <c r="A2626" s="115">
        <v>3078708</v>
      </c>
      <c r="B2626" s="115" t="s">
        <v>2497</v>
      </c>
      <c r="C2626" s="117">
        <v>2134.7800000000002</v>
      </c>
    </row>
    <row r="2627" spans="1:3" x14ac:dyDescent="0.25">
      <c r="A2627" s="115">
        <v>3078709</v>
      </c>
      <c r="B2627" s="115" t="s">
        <v>2498</v>
      </c>
      <c r="C2627" s="117">
        <v>1494.35</v>
      </c>
    </row>
    <row r="2628" spans="1:3" x14ac:dyDescent="0.25">
      <c r="A2628" s="115">
        <v>3078710</v>
      </c>
      <c r="B2628" s="115" t="s">
        <v>2499</v>
      </c>
      <c r="C2628" s="117">
        <v>2134.7800000000002</v>
      </c>
    </row>
    <row r="2629" spans="1:3" x14ac:dyDescent="0.25">
      <c r="A2629" s="115">
        <v>3078711</v>
      </c>
      <c r="B2629" s="115" t="s">
        <v>2500</v>
      </c>
      <c r="C2629" s="117">
        <v>1494.35</v>
      </c>
    </row>
    <row r="2630" spans="1:3" x14ac:dyDescent="0.25">
      <c r="A2630" s="115">
        <v>3078712</v>
      </c>
      <c r="B2630" s="115" t="s">
        <v>2501</v>
      </c>
      <c r="C2630" s="117">
        <v>1494.35</v>
      </c>
    </row>
    <row r="2631" spans="1:3" x14ac:dyDescent="0.25">
      <c r="A2631" s="115">
        <v>3078747</v>
      </c>
      <c r="B2631" s="115" t="s">
        <v>2502</v>
      </c>
      <c r="C2631" s="117">
        <v>1494.35</v>
      </c>
    </row>
    <row r="2632" spans="1:3" x14ac:dyDescent="0.25">
      <c r="A2632" s="115">
        <v>3078748</v>
      </c>
      <c r="B2632" s="115" t="s">
        <v>2503</v>
      </c>
      <c r="C2632" s="117">
        <v>2116.7800000000002</v>
      </c>
    </row>
    <row r="2633" spans="1:3" x14ac:dyDescent="0.25">
      <c r="A2633" s="115">
        <v>3078750</v>
      </c>
      <c r="B2633" s="115" t="s">
        <v>2504</v>
      </c>
      <c r="C2633" s="117">
        <v>1494.35</v>
      </c>
    </row>
    <row r="2634" spans="1:3" x14ac:dyDescent="0.25">
      <c r="A2634" s="115">
        <v>3078755</v>
      </c>
      <c r="B2634" s="115" t="s">
        <v>2505</v>
      </c>
      <c r="C2634" s="117">
        <v>1494.35</v>
      </c>
    </row>
    <row r="2635" spans="1:3" x14ac:dyDescent="0.25">
      <c r="A2635" s="115">
        <v>3078753</v>
      </c>
      <c r="B2635" s="115" t="s">
        <v>2506</v>
      </c>
      <c r="C2635" s="117">
        <v>1494.35</v>
      </c>
    </row>
    <row r="2636" spans="1:3" x14ac:dyDescent="0.25">
      <c r="A2636" s="115">
        <v>3078746</v>
      </c>
      <c r="B2636" s="115" t="s">
        <v>2507</v>
      </c>
      <c r="C2636" s="117">
        <v>2116.7800000000002</v>
      </c>
    </row>
    <row r="2637" spans="1:3" x14ac:dyDescent="0.25">
      <c r="A2637" s="115">
        <v>3078745</v>
      </c>
      <c r="B2637" s="115" t="s">
        <v>2508</v>
      </c>
      <c r="C2637" s="117">
        <v>1494.35</v>
      </c>
    </row>
    <row r="2638" spans="1:3" x14ac:dyDescent="0.25">
      <c r="A2638" s="115">
        <v>3078751</v>
      </c>
      <c r="B2638" s="115" t="s">
        <v>2509</v>
      </c>
      <c r="C2638" s="117">
        <v>2134.7800000000002</v>
      </c>
    </row>
    <row r="2639" spans="1:3" x14ac:dyDescent="0.25">
      <c r="A2639" s="115">
        <v>3078752</v>
      </c>
      <c r="B2639" s="115" t="s">
        <v>2510</v>
      </c>
      <c r="C2639" s="117">
        <v>1494.35</v>
      </c>
    </row>
    <row r="2640" spans="1:3" x14ac:dyDescent="0.25">
      <c r="A2640" s="115">
        <v>3078754</v>
      </c>
      <c r="B2640" s="115" t="s">
        <v>2511</v>
      </c>
      <c r="C2640" s="117">
        <v>1494.35</v>
      </c>
    </row>
    <row r="2641" spans="1:3" x14ac:dyDescent="0.25">
      <c r="A2641" s="115">
        <v>3078724</v>
      </c>
      <c r="B2641" s="115" t="s">
        <v>2512</v>
      </c>
      <c r="C2641" s="117">
        <v>1494.35</v>
      </c>
    </row>
    <row r="2642" spans="1:3" x14ac:dyDescent="0.25">
      <c r="A2642" s="115">
        <v>3078723</v>
      </c>
      <c r="B2642" s="115" t="s">
        <v>2513</v>
      </c>
      <c r="C2642" s="117">
        <v>1494.35</v>
      </c>
    </row>
    <row r="2643" spans="1:3" x14ac:dyDescent="0.25">
      <c r="A2643" s="115">
        <v>3078701</v>
      </c>
      <c r="B2643" s="115" t="s">
        <v>2514</v>
      </c>
      <c r="C2643" s="117">
        <v>2134.7800000000002</v>
      </c>
    </row>
    <row r="2644" spans="1:3" x14ac:dyDescent="0.25">
      <c r="A2644" s="115">
        <v>3078762</v>
      </c>
      <c r="B2644" s="115" t="s">
        <v>2515</v>
      </c>
      <c r="C2644" s="117">
        <v>3983.97</v>
      </c>
    </row>
    <row r="2645" spans="1:3" x14ac:dyDescent="0.25">
      <c r="A2645" s="115">
        <v>3078703</v>
      </c>
      <c r="B2645" s="115" t="s">
        <v>2516</v>
      </c>
      <c r="C2645" s="117">
        <v>2134.7800000000002</v>
      </c>
    </row>
    <row r="2646" spans="1:3" x14ac:dyDescent="0.25">
      <c r="A2646" s="115">
        <v>3078702</v>
      </c>
      <c r="B2646" s="115" t="s">
        <v>2517</v>
      </c>
      <c r="C2646" s="117">
        <v>2134.7800000000002</v>
      </c>
    </row>
    <row r="2647" spans="1:3" x14ac:dyDescent="0.25">
      <c r="A2647" s="115">
        <v>3078725</v>
      </c>
      <c r="B2647" s="115" t="s">
        <v>2518</v>
      </c>
      <c r="C2647" s="117">
        <v>3023.98</v>
      </c>
    </row>
    <row r="2648" spans="1:3" x14ac:dyDescent="0.25">
      <c r="A2648" s="115">
        <v>3078759</v>
      </c>
      <c r="B2648" s="115" t="s">
        <v>2519</v>
      </c>
      <c r="C2648" s="117">
        <v>1494.35</v>
      </c>
    </row>
    <row r="2649" spans="1:3" x14ac:dyDescent="0.25">
      <c r="A2649" s="115">
        <v>3078726</v>
      </c>
      <c r="B2649" s="115" t="s">
        <v>2520</v>
      </c>
      <c r="C2649" s="117">
        <v>2116.7800000000002</v>
      </c>
    </row>
    <row r="2650" spans="1:3" x14ac:dyDescent="0.25">
      <c r="A2650" s="115">
        <v>3078761</v>
      </c>
      <c r="B2650" s="115" t="s">
        <v>2521</v>
      </c>
      <c r="C2650" s="117">
        <v>2134.7800000000002</v>
      </c>
    </row>
    <row r="2651" spans="1:3" x14ac:dyDescent="0.25">
      <c r="A2651" s="115">
        <v>3078765</v>
      </c>
      <c r="B2651" s="115" t="s">
        <v>2522</v>
      </c>
      <c r="C2651" s="117">
        <v>3983.97</v>
      </c>
    </row>
    <row r="2652" spans="1:3" x14ac:dyDescent="0.25">
      <c r="A2652" s="115">
        <v>3078760</v>
      </c>
      <c r="B2652" s="115" t="s">
        <v>2523</v>
      </c>
      <c r="C2652" s="117">
        <v>2134.7800000000002</v>
      </c>
    </row>
    <row r="2653" spans="1:3" x14ac:dyDescent="0.25">
      <c r="A2653" s="115">
        <v>3078714</v>
      </c>
      <c r="B2653" s="115" t="s">
        <v>2524</v>
      </c>
      <c r="C2653" s="117">
        <v>2116.7800000000002</v>
      </c>
    </row>
    <row r="2654" spans="1:3" x14ac:dyDescent="0.25">
      <c r="A2654" s="115">
        <v>3078718</v>
      </c>
      <c r="B2654" s="115" t="s">
        <v>2525</v>
      </c>
      <c r="C2654" s="117">
        <v>1494.35</v>
      </c>
    </row>
    <row r="2655" spans="1:3" x14ac:dyDescent="0.25">
      <c r="A2655" s="115">
        <v>3078715</v>
      </c>
      <c r="B2655" s="115" t="s">
        <v>2526</v>
      </c>
      <c r="C2655" s="117">
        <v>2116.7800000000002</v>
      </c>
    </row>
    <row r="2656" spans="1:3" x14ac:dyDescent="0.25">
      <c r="A2656" s="115">
        <v>3078716</v>
      </c>
      <c r="B2656" s="115" t="s">
        <v>2527</v>
      </c>
      <c r="C2656" s="117">
        <v>2116.7800000000002</v>
      </c>
    </row>
    <row r="2657" spans="1:3" x14ac:dyDescent="0.25">
      <c r="A2657" s="115">
        <v>3078717</v>
      </c>
      <c r="B2657" s="115" t="s">
        <v>2528</v>
      </c>
      <c r="C2657" s="117">
        <v>1494.35</v>
      </c>
    </row>
    <row r="2658" spans="1:3" x14ac:dyDescent="0.25">
      <c r="A2658" s="115">
        <v>3078727</v>
      </c>
      <c r="B2658" s="115" t="s">
        <v>2529</v>
      </c>
      <c r="C2658" s="117">
        <v>2134.7800000000002</v>
      </c>
    </row>
    <row r="2659" spans="1:3" x14ac:dyDescent="0.25">
      <c r="A2659" s="115">
        <v>3078728</v>
      </c>
      <c r="B2659" s="115" t="s">
        <v>2530</v>
      </c>
      <c r="C2659" s="117">
        <v>1494.35</v>
      </c>
    </row>
    <row r="2660" spans="1:3" x14ac:dyDescent="0.25">
      <c r="A2660" s="115">
        <v>3078733</v>
      </c>
      <c r="B2660" s="115" t="s">
        <v>2531</v>
      </c>
      <c r="C2660" s="117">
        <v>1494.35</v>
      </c>
    </row>
    <row r="2661" spans="1:3" x14ac:dyDescent="0.25">
      <c r="A2661" s="115">
        <v>3078713</v>
      </c>
      <c r="B2661" s="115" t="s">
        <v>2532</v>
      </c>
      <c r="C2661" s="117">
        <v>1494.35</v>
      </c>
    </row>
    <row r="2662" spans="1:3" x14ac:dyDescent="0.25">
      <c r="A2662" s="115">
        <v>3078720</v>
      </c>
      <c r="B2662" s="115" t="s">
        <v>2533</v>
      </c>
      <c r="C2662" s="117">
        <v>3023.98</v>
      </c>
    </row>
    <row r="2663" spans="1:3" x14ac:dyDescent="0.25">
      <c r="A2663" s="115">
        <v>3078721</v>
      </c>
      <c r="B2663" s="115" t="s">
        <v>2534</v>
      </c>
      <c r="C2663" s="117">
        <v>3023.98</v>
      </c>
    </row>
    <row r="2664" spans="1:3" x14ac:dyDescent="0.25">
      <c r="A2664" s="115">
        <v>3078731</v>
      </c>
      <c r="B2664" s="115" t="s">
        <v>2535</v>
      </c>
      <c r="C2664" s="117">
        <v>2134.7800000000002</v>
      </c>
    </row>
    <row r="2665" spans="1:3" x14ac:dyDescent="0.25">
      <c r="A2665" s="115">
        <v>3078722</v>
      </c>
      <c r="B2665" s="115" t="s">
        <v>2536</v>
      </c>
      <c r="C2665" s="117">
        <v>2134.7800000000002</v>
      </c>
    </row>
    <row r="2666" spans="1:3" x14ac:dyDescent="0.25">
      <c r="A2666" s="115">
        <v>3078719</v>
      </c>
      <c r="B2666" s="115" t="s">
        <v>2537</v>
      </c>
      <c r="C2666" s="117">
        <v>2116.7800000000002</v>
      </c>
    </row>
    <row r="2667" spans="1:3" x14ac:dyDescent="0.25">
      <c r="A2667" s="115">
        <v>3078732</v>
      </c>
      <c r="B2667" s="115" t="s">
        <v>2538</v>
      </c>
      <c r="C2667" s="117">
        <v>1494.35</v>
      </c>
    </row>
    <row r="2668" spans="1:3" x14ac:dyDescent="0.25">
      <c r="A2668" s="115">
        <v>3078729</v>
      </c>
      <c r="B2668" s="115" t="s">
        <v>2539</v>
      </c>
      <c r="C2668" s="117">
        <v>2134.7800000000002</v>
      </c>
    </row>
    <row r="2669" spans="1:3" x14ac:dyDescent="0.25">
      <c r="A2669" s="115">
        <v>3078764</v>
      </c>
      <c r="B2669" s="115" t="s">
        <v>2540</v>
      </c>
      <c r="C2669" s="117">
        <v>3983.97</v>
      </c>
    </row>
    <row r="2670" spans="1:3" x14ac:dyDescent="0.25">
      <c r="A2670" s="115">
        <v>3078730</v>
      </c>
      <c r="B2670" s="115" t="s">
        <v>2541</v>
      </c>
      <c r="C2670" s="117">
        <v>2134.7800000000002</v>
      </c>
    </row>
    <row r="2671" spans="1:3" x14ac:dyDescent="0.25">
      <c r="A2671" s="115">
        <v>3078734</v>
      </c>
      <c r="B2671" s="115" t="s">
        <v>2542</v>
      </c>
      <c r="C2671" s="117">
        <v>1494.35</v>
      </c>
    </row>
    <row r="2672" spans="1:3" x14ac:dyDescent="0.25">
      <c r="A2672" s="115">
        <v>3078735</v>
      </c>
      <c r="B2672" s="115" t="s">
        <v>2543</v>
      </c>
      <c r="C2672" s="117">
        <v>1494.35</v>
      </c>
    </row>
    <row r="2673" spans="1:3" x14ac:dyDescent="0.25">
      <c r="A2673" s="115">
        <v>3078736</v>
      </c>
      <c r="B2673" s="115" t="s">
        <v>2544</v>
      </c>
      <c r="C2673" s="117">
        <v>1494.35</v>
      </c>
    </row>
    <row r="2674" spans="1:3" x14ac:dyDescent="0.25">
      <c r="A2674" s="115">
        <v>3078737</v>
      </c>
      <c r="B2674" s="115" t="s">
        <v>2545</v>
      </c>
      <c r="C2674" s="117">
        <v>1494.35</v>
      </c>
    </row>
    <row r="2675" spans="1:3" x14ac:dyDescent="0.25">
      <c r="A2675" s="115">
        <v>3078738</v>
      </c>
      <c r="B2675" s="115" t="s">
        <v>2546</v>
      </c>
      <c r="C2675" s="117">
        <v>1494.35</v>
      </c>
    </row>
    <row r="2676" spans="1:3" x14ac:dyDescent="0.25">
      <c r="A2676" s="115">
        <v>3078743</v>
      </c>
      <c r="B2676" s="115" t="s">
        <v>2547</v>
      </c>
      <c r="C2676" s="117">
        <v>1494.35</v>
      </c>
    </row>
    <row r="2677" spans="1:3" x14ac:dyDescent="0.25">
      <c r="A2677" s="115">
        <v>3078739</v>
      </c>
      <c r="B2677" s="115" t="s">
        <v>2548</v>
      </c>
      <c r="C2677" s="117">
        <v>1494.35</v>
      </c>
    </row>
    <row r="2678" spans="1:3" x14ac:dyDescent="0.25">
      <c r="A2678" s="115">
        <v>3078740</v>
      </c>
      <c r="B2678" s="115" t="s">
        <v>2549</v>
      </c>
      <c r="C2678" s="117">
        <v>1494.35</v>
      </c>
    </row>
    <row r="2679" spans="1:3" x14ac:dyDescent="0.25">
      <c r="A2679" s="115">
        <v>3078742</v>
      </c>
      <c r="B2679" s="115" t="s">
        <v>2550</v>
      </c>
      <c r="C2679" s="117">
        <v>1494.35</v>
      </c>
    </row>
    <row r="2680" spans="1:3" x14ac:dyDescent="0.25">
      <c r="A2680" s="115">
        <v>3078741</v>
      </c>
      <c r="B2680" s="115" t="s">
        <v>2551</v>
      </c>
      <c r="C2680" s="117">
        <v>1494.35</v>
      </c>
    </row>
    <row r="2681" spans="1:3" x14ac:dyDescent="0.25">
      <c r="A2681" s="115">
        <v>3078744</v>
      </c>
      <c r="B2681" s="115" t="s">
        <v>2552</v>
      </c>
      <c r="C2681" s="117">
        <v>1494.35</v>
      </c>
    </row>
    <row r="2682" spans="1:3" x14ac:dyDescent="0.25">
      <c r="A2682" s="115">
        <v>3078758</v>
      </c>
      <c r="B2682" s="115" t="s">
        <v>2553</v>
      </c>
      <c r="C2682" s="117">
        <v>2116.7800000000002</v>
      </c>
    </row>
    <row r="2683" spans="1:3" x14ac:dyDescent="0.25">
      <c r="A2683" s="115">
        <v>3078756</v>
      </c>
      <c r="B2683" s="115" t="s">
        <v>2554</v>
      </c>
      <c r="C2683" s="117">
        <v>2116.7800000000002</v>
      </c>
    </row>
    <row r="2684" spans="1:3" x14ac:dyDescent="0.25">
      <c r="A2684" s="115">
        <v>3078757</v>
      </c>
      <c r="B2684" s="115" t="s">
        <v>2555</v>
      </c>
      <c r="C2684" s="117">
        <v>2116.7800000000002</v>
      </c>
    </row>
    <row r="2685" spans="1:3" x14ac:dyDescent="0.25">
      <c r="A2685" s="115">
        <v>3078749</v>
      </c>
      <c r="B2685" s="115" t="s">
        <v>2556</v>
      </c>
      <c r="C2685" s="117">
        <v>2134.7800000000002</v>
      </c>
    </row>
    <row r="2686" spans="1:3" x14ac:dyDescent="0.25">
      <c r="A2686" s="115">
        <v>3078763</v>
      </c>
      <c r="B2686" s="115" t="s">
        <v>2557</v>
      </c>
      <c r="C2686" s="117">
        <v>2788.78</v>
      </c>
    </row>
    <row r="2687" spans="1:3" x14ac:dyDescent="0.25">
      <c r="A2687" s="115">
        <v>3740110</v>
      </c>
      <c r="B2687" s="115" t="s">
        <v>2558</v>
      </c>
      <c r="C2687" s="117">
        <v>3011.57</v>
      </c>
    </row>
    <row r="2688" spans="1:3" x14ac:dyDescent="0.25">
      <c r="A2688" s="115">
        <v>3984801</v>
      </c>
      <c r="B2688" s="115" t="s">
        <v>2559</v>
      </c>
      <c r="C2688" s="117">
        <v>2163.29</v>
      </c>
    </row>
    <row r="2689" spans="1:3" x14ac:dyDescent="0.25">
      <c r="A2689" s="115">
        <v>3984804</v>
      </c>
      <c r="B2689" s="115" t="s">
        <v>2560</v>
      </c>
      <c r="C2689" s="117">
        <v>2179.59</v>
      </c>
    </row>
    <row r="2690" spans="1:3" x14ac:dyDescent="0.25">
      <c r="A2690" s="115">
        <v>3984803</v>
      </c>
      <c r="B2690" s="115" t="s">
        <v>2561</v>
      </c>
      <c r="C2690" s="117">
        <v>2163.29</v>
      </c>
    </row>
    <row r="2691" spans="1:3" x14ac:dyDescent="0.25">
      <c r="A2691" s="115">
        <v>3984802</v>
      </c>
      <c r="B2691" s="115" t="s">
        <v>2562</v>
      </c>
      <c r="C2691" s="117">
        <v>2163.29</v>
      </c>
    </row>
    <row r="2692" spans="1:3" x14ac:dyDescent="0.25">
      <c r="A2692" s="115">
        <v>3590520</v>
      </c>
      <c r="B2692" s="115" t="s">
        <v>2563</v>
      </c>
      <c r="C2692" s="117">
        <v>8855.91</v>
      </c>
    </row>
    <row r="2693" spans="1:3" x14ac:dyDescent="0.25">
      <c r="A2693" s="115">
        <v>3590530</v>
      </c>
      <c r="B2693" s="115" t="s">
        <v>2564</v>
      </c>
      <c r="C2693" s="117">
        <v>8855.91</v>
      </c>
    </row>
    <row r="2694" spans="1:3" x14ac:dyDescent="0.25">
      <c r="A2694" s="115">
        <v>3590550</v>
      </c>
      <c r="B2694" s="115" t="s">
        <v>2565</v>
      </c>
      <c r="C2694" s="117">
        <v>8855.91</v>
      </c>
    </row>
    <row r="2695" spans="1:3" x14ac:dyDescent="0.25">
      <c r="A2695" s="115">
        <v>3590540</v>
      </c>
      <c r="B2695" s="115" t="s">
        <v>2566</v>
      </c>
      <c r="C2695" s="117">
        <v>8855.91</v>
      </c>
    </row>
    <row r="2696" spans="1:3" x14ac:dyDescent="0.25">
      <c r="A2696" s="115">
        <v>3590510</v>
      </c>
      <c r="B2696" s="115" t="s">
        <v>2567</v>
      </c>
      <c r="C2696" s="117">
        <v>8855.91</v>
      </c>
    </row>
    <row r="2697" spans="1:3" x14ac:dyDescent="0.25">
      <c r="A2697" s="115">
        <v>3741364</v>
      </c>
      <c r="B2697" s="115" t="s">
        <v>2568</v>
      </c>
      <c r="C2697" s="117">
        <v>27.23</v>
      </c>
    </row>
    <row r="2698" spans="1:3" x14ac:dyDescent="0.25">
      <c r="A2698" s="115">
        <v>3741929</v>
      </c>
      <c r="B2698" s="115" t="s">
        <v>2569</v>
      </c>
      <c r="C2698" s="117">
        <v>521.04999999999995</v>
      </c>
    </row>
    <row r="2699" spans="1:3" x14ac:dyDescent="0.25">
      <c r="A2699" s="115">
        <v>3742062</v>
      </c>
      <c r="B2699" s="115" t="s">
        <v>2570</v>
      </c>
      <c r="C2699" s="117">
        <v>775.02</v>
      </c>
    </row>
    <row r="2700" spans="1:3" x14ac:dyDescent="0.25">
      <c r="A2700" s="115">
        <v>3742076</v>
      </c>
      <c r="B2700" s="115" t="s">
        <v>2571</v>
      </c>
      <c r="C2700" s="117">
        <v>775.02</v>
      </c>
    </row>
    <row r="2701" spans="1:3" x14ac:dyDescent="0.25">
      <c r="A2701" s="115">
        <v>3742077</v>
      </c>
      <c r="B2701" s="115" t="s">
        <v>2572</v>
      </c>
      <c r="C2701" s="117">
        <v>775.02</v>
      </c>
    </row>
    <row r="2702" spans="1:3" x14ac:dyDescent="0.25">
      <c r="A2702" s="115">
        <v>3742029</v>
      </c>
      <c r="B2702" s="115" t="s">
        <v>2573</v>
      </c>
      <c r="C2702" s="117">
        <v>775.02</v>
      </c>
    </row>
    <row r="2703" spans="1:3" x14ac:dyDescent="0.25">
      <c r="A2703" s="115">
        <v>3741829</v>
      </c>
      <c r="B2703" s="115" t="s">
        <v>2574</v>
      </c>
      <c r="C2703" s="117">
        <v>361.33</v>
      </c>
    </row>
    <row r="2704" spans="1:3" x14ac:dyDescent="0.25">
      <c r="A2704" s="115">
        <v>3741823</v>
      </c>
      <c r="B2704" s="115" t="s">
        <v>2575</v>
      </c>
      <c r="C2704" s="117">
        <v>361.33</v>
      </c>
    </row>
    <row r="2705" spans="1:3" x14ac:dyDescent="0.25">
      <c r="A2705" s="115">
        <v>3741867</v>
      </c>
      <c r="B2705" s="115" t="s">
        <v>2576</v>
      </c>
      <c r="C2705" s="117">
        <v>252.93</v>
      </c>
    </row>
    <row r="2706" spans="1:3" x14ac:dyDescent="0.25">
      <c r="A2706" s="115">
        <v>3741884</v>
      </c>
      <c r="B2706" s="115" t="s">
        <v>2577</v>
      </c>
      <c r="C2706" s="117">
        <v>361.33</v>
      </c>
    </row>
    <row r="2707" spans="1:3" x14ac:dyDescent="0.25">
      <c r="A2707" s="115">
        <v>3741267</v>
      </c>
      <c r="B2707" s="115" t="s">
        <v>2578</v>
      </c>
      <c r="C2707" s="117">
        <v>22.26</v>
      </c>
    </row>
    <row r="2708" spans="1:3" x14ac:dyDescent="0.25">
      <c r="A2708" s="115">
        <v>3741276</v>
      </c>
      <c r="B2708" s="115" t="s">
        <v>2579</v>
      </c>
      <c r="C2708" s="117">
        <v>22.26</v>
      </c>
    </row>
    <row r="2709" spans="1:3" x14ac:dyDescent="0.25">
      <c r="A2709" s="115">
        <v>3747026</v>
      </c>
      <c r="B2709" s="115" t="s">
        <v>2580</v>
      </c>
      <c r="C2709" s="117">
        <v>4302.03</v>
      </c>
    </row>
    <row r="2710" spans="1:3" x14ac:dyDescent="0.25">
      <c r="A2710" s="115">
        <v>3747029</v>
      </c>
      <c r="B2710" s="115" t="s">
        <v>2581</v>
      </c>
      <c r="C2710" s="117">
        <v>4302.03</v>
      </c>
    </row>
    <row r="2711" spans="1:3" x14ac:dyDescent="0.25">
      <c r="A2711" s="115">
        <v>3747076</v>
      </c>
      <c r="B2711" s="115" t="s">
        <v>2582</v>
      </c>
      <c r="C2711" s="117">
        <v>4302.03</v>
      </c>
    </row>
    <row r="2712" spans="1:3" x14ac:dyDescent="0.25">
      <c r="A2712" s="115">
        <v>3747083</v>
      </c>
      <c r="B2712" s="115" t="s">
        <v>2583</v>
      </c>
      <c r="C2712" s="117">
        <v>4302.03</v>
      </c>
    </row>
    <row r="2713" spans="1:3" x14ac:dyDescent="0.25">
      <c r="A2713" s="115">
        <v>3740212</v>
      </c>
      <c r="B2713" s="115" t="s">
        <v>2584</v>
      </c>
      <c r="C2713" s="117">
        <v>5414.62</v>
      </c>
    </row>
    <row r="2714" spans="1:3" x14ac:dyDescent="0.25">
      <c r="A2714" s="115">
        <v>3740500</v>
      </c>
      <c r="B2714" s="115" t="s">
        <v>2585</v>
      </c>
      <c r="C2714" s="117">
        <v>309.04000000000002</v>
      </c>
    </row>
    <row r="2715" spans="1:3" x14ac:dyDescent="0.25">
      <c r="A2715" s="115">
        <v>3740210</v>
      </c>
      <c r="B2715" s="115" t="s">
        <v>2586</v>
      </c>
      <c r="C2715" s="117">
        <v>4575.72</v>
      </c>
    </row>
    <row r="2716" spans="1:3" x14ac:dyDescent="0.25">
      <c r="A2716" s="115">
        <v>3742400</v>
      </c>
      <c r="B2716" s="115" t="s">
        <v>2587</v>
      </c>
      <c r="C2716" s="117">
        <v>1967.01</v>
      </c>
    </row>
    <row r="2717" spans="1:3" x14ac:dyDescent="0.25">
      <c r="A2717" s="115">
        <v>3741708</v>
      </c>
      <c r="B2717" s="115" t="s">
        <v>2588</v>
      </c>
      <c r="C2717" s="117">
        <v>4740.53</v>
      </c>
    </row>
    <row r="2718" spans="1:3" x14ac:dyDescent="0.25">
      <c r="A2718" s="115">
        <v>3741709</v>
      </c>
      <c r="B2718" s="115" t="s">
        <v>2589</v>
      </c>
      <c r="C2718" s="117">
        <v>7636.07</v>
      </c>
    </row>
    <row r="2719" spans="1:3" x14ac:dyDescent="0.25">
      <c r="A2719" s="115">
        <v>3740736</v>
      </c>
      <c r="B2719" s="115" t="s">
        <v>2590</v>
      </c>
      <c r="C2719" s="117">
        <v>2846.57</v>
      </c>
    </row>
    <row r="2720" spans="1:3" x14ac:dyDescent="0.25">
      <c r="A2720" s="115">
        <v>3740775</v>
      </c>
      <c r="B2720" s="115" t="s">
        <v>2591</v>
      </c>
      <c r="C2720" s="117">
        <v>1897.68</v>
      </c>
    </row>
    <row r="2721" spans="1:3" x14ac:dyDescent="0.25">
      <c r="A2721" s="115">
        <v>3740829</v>
      </c>
      <c r="B2721" s="115" t="s">
        <v>2592</v>
      </c>
      <c r="C2721" s="117">
        <v>2877.71</v>
      </c>
    </row>
    <row r="2722" spans="1:3" x14ac:dyDescent="0.25">
      <c r="A2722" s="115">
        <v>3742236</v>
      </c>
      <c r="B2722" s="115" t="s">
        <v>2593</v>
      </c>
      <c r="C2722" s="117">
        <v>2877.71</v>
      </c>
    </row>
    <row r="2723" spans="1:3" x14ac:dyDescent="0.25">
      <c r="A2723" s="115">
        <v>3740876</v>
      </c>
      <c r="B2723" s="115" t="s">
        <v>2594</v>
      </c>
      <c r="C2723" s="117">
        <v>2877.71</v>
      </c>
    </row>
    <row r="2724" spans="1:3" x14ac:dyDescent="0.25">
      <c r="A2724" s="115">
        <v>3742275</v>
      </c>
      <c r="B2724" s="115" t="s">
        <v>2595</v>
      </c>
      <c r="C2724" s="117">
        <v>2877.71</v>
      </c>
    </row>
    <row r="2725" spans="1:3" x14ac:dyDescent="0.25">
      <c r="A2725" s="115">
        <v>3740329</v>
      </c>
      <c r="B2725" s="115" t="s">
        <v>2596</v>
      </c>
      <c r="C2725" s="117">
        <v>1433.8</v>
      </c>
    </row>
    <row r="2726" spans="1:3" x14ac:dyDescent="0.25">
      <c r="A2726" s="115">
        <v>3740376</v>
      </c>
      <c r="B2726" s="115" t="s">
        <v>2597</v>
      </c>
      <c r="C2726" s="117">
        <v>1433.8</v>
      </c>
    </row>
    <row r="2727" spans="1:3" x14ac:dyDescent="0.25">
      <c r="A2727" s="115">
        <v>3743063</v>
      </c>
      <c r="B2727" s="115" t="s">
        <v>2598</v>
      </c>
      <c r="C2727" s="117">
        <v>109.48</v>
      </c>
    </row>
    <row r="2728" spans="1:3" x14ac:dyDescent="0.25">
      <c r="A2728" s="115">
        <v>3742626</v>
      </c>
      <c r="B2728" s="115" t="s">
        <v>2599</v>
      </c>
      <c r="C2728" s="117">
        <v>1198.18</v>
      </c>
    </row>
    <row r="2729" spans="1:3" x14ac:dyDescent="0.25">
      <c r="A2729" s="115">
        <v>3742629</v>
      </c>
      <c r="B2729" s="115" t="s">
        <v>2600</v>
      </c>
      <c r="C2729" s="117">
        <v>1198.18</v>
      </c>
    </row>
    <row r="2730" spans="1:3" x14ac:dyDescent="0.25">
      <c r="A2730" s="115">
        <v>3742625</v>
      </c>
      <c r="B2730" s="115" t="s">
        <v>2601</v>
      </c>
      <c r="C2730" s="117">
        <v>1198.18</v>
      </c>
    </row>
    <row r="2731" spans="1:3" x14ac:dyDescent="0.25">
      <c r="A2731" s="115">
        <v>3742664</v>
      </c>
      <c r="B2731" s="115" t="s">
        <v>2602</v>
      </c>
      <c r="C2731" s="117">
        <v>1198.18</v>
      </c>
    </row>
    <row r="2732" spans="1:3" x14ac:dyDescent="0.25">
      <c r="A2732" s="115">
        <v>3742662</v>
      </c>
      <c r="B2732" s="115" t="s">
        <v>2603</v>
      </c>
      <c r="C2732" s="117">
        <v>1198.18</v>
      </c>
    </row>
    <row r="2733" spans="1:3" x14ac:dyDescent="0.25">
      <c r="A2733" s="115">
        <v>3742676</v>
      </c>
      <c r="B2733" s="115" t="s">
        <v>2604</v>
      </c>
      <c r="C2733" s="117">
        <v>1198.18</v>
      </c>
    </row>
    <row r="2734" spans="1:3" x14ac:dyDescent="0.25">
      <c r="A2734" s="115">
        <v>3742683</v>
      </c>
      <c r="B2734" s="115" t="s">
        <v>2605</v>
      </c>
      <c r="C2734" s="117">
        <v>1198.18</v>
      </c>
    </row>
    <row r="2735" spans="1:3" x14ac:dyDescent="0.25">
      <c r="A2735" s="115">
        <v>3742684</v>
      </c>
      <c r="B2735" s="115" t="s">
        <v>2606</v>
      </c>
      <c r="C2735" s="117">
        <v>1198.18</v>
      </c>
    </row>
    <row r="2736" spans="1:3" x14ac:dyDescent="0.25">
      <c r="A2736" s="115">
        <v>3742623</v>
      </c>
      <c r="B2736" s="115" t="s">
        <v>2607</v>
      </c>
      <c r="C2736" s="117">
        <v>1198.18</v>
      </c>
    </row>
    <row r="2737" spans="1:3" x14ac:dyDescent="0.25">
      <c r="A2737" s="115">
        <v>3740526</v>
      </c>
      <c r="B2737" s="115" t="s">
        <v>2608</v>
      </c>
      <c r="C2737" s="117">
        <v>1308.98</v>
      </c>
    </row>
    <row r="2738" spans="1:3" x14ac:dyDescent="0.25">
      <c r="A2738" s="115">
        <v>3740529</v>
      </c>
      <c r="B2738" s="115" t="s">
        <v>2609</v>
      </c>
      <c r="C2738" s="117">
        <v>1308.98</v>
      </c>
    </row>
    <row r="2739" spans="1:3" x14ac:dyDescent="0.25">
      <c r="A2739" s="115">
        <v>3740525</v>
      </c>
      <c r="B2739" s="115" t="s">
        <v>2610</v>
      </c>
      <c r="C2739" s="117">
        <v>1308.98</v>
      </c>
    </row>
    <row r="2740" spans="1:3" x14ac:dyDescent="0.25">
      <c r="A2740" s="115">
        <v>3740523</v>
      </c>
      <c r="B2740" s="115" t="s">
        <v>2611</v>
      </c>
      <c r="C2740" s="117">
        <v>1308.98</v>
      </c>
    </row>
    <row r="2741" spans="1:3" x14ac:dyDescent="0.25">
      <c r="A2741" s="115">
        <v>3740564</v>
      </c>
      <c r="B2741" s="115" t="s">
        <v>2612</v>
      </c>
      <c r="C2741" s="117">
        <v>1308.98</v>
      </c>
    </row>
    <row r="2742" spans="1:3" x14ac:dyDescent="0.25">
      <c r="A2742" s="115">
        <v>3740567</v>
      </c>
      <c r="B2742" s="115" t="s">
        <v>2613</v>
      </c>
      <c r="C2742" s="117">
        <v>1308.98</v>
      </c>
    </row>
    <row r="2743" spans="1:3" x14ac:dyDescent="0.25">
      <c r="A2743" s="115">
        <v>3740563</v>
      </c>
      <c r="B2743" s="115" t="s">
        <v>2614</v>
      </c>
      <c r="C2743" s="117">
        <v>1308.98</v>
      </c>
    </row>
    <row r="2744" spans="1:3" x14ac:dyDescent="0.25">
      <c r="A2744" s="115">
        <v>3740576</v>
      </c>
      <c r="B2744" s="115" t="s">
        <v>2615</v>
      </c>
      <c r="C2744" s="117">
        <v>1308.98</v>
      </c>
    </row>
    <row r="2745" spans="1:3" x14ac:dyDescent="0.25">
      <c r="A2745" s="115">
        <v>3740599</v>
      </c>
      <c r="B2745" s="115" t="s">
        <v>2616</v>
      </c>
      <c r="C2745" s="117">
        <v>1308.98</v>
      </c>
    </row>
    <row r="2746" spans="1:3" x14ac:dyDescent="0.25">
      <c r="A2746" s="115">
        <v>3740583</v>
      </c>
      <c r="B2746" s="115" t="s">
        <v>2617</v>
      </c>
      <c r="C2746" s="117">
        <v>1308.98</v>
      </c>
    </row>
    <row r="2747" spans="1:3" x14ac:dyDescent="0.25">
      <c r="A2747" s="115">
        <v>3740584</v>
      </c>
      <c r="B2747" s="115" t="s">
        <v>2618</v>
      </c>
      <c r="C2747" s="117">
        <v>1308.98</v>
      </c>
    </row>
    <row r="2748" spans="1:3" x14ac:dyDescent="0.25">
      <c r="A2748" s="115">
        <v>3742228</v>
      </c>
      <c r="B2748" s="115" t="s">
        <v>2619</v>
      </c>
      <c r="C2748" s="117">
        <v>1521.73</v>
      </c>
    </row>
    <row r="2749" spans="1:3" x14ac:dyDescent="0.25">
      <c r="A2749" s="115">
        <v>3742226</v>
      </c>
      <c r="B2749" s="115" t="s">
        <v>2620</v>
      </c>
      <c r="C2749" s="117">
        <v>1521.73</v>
      </c>
    </row>
    <row r="2750" spans="1:3" x14ac:dyDescent="0.25">
      <c r="A2750" s="115">
        <v>3742262</v>
      </c>
      <c r="B2750" s="115" t="s">
        <v>2621</v>
      </c>
      <c r="C2750" s="117">
        <v>1521.73</v>
      </c>
    </row>
    <row r="2751" spans="1:3" x14ac:dyDescent="0.25">
      <c r="A2751" s="115">
        <v>3742276</v>
      </c>
      <c r="B2751" s="115" t="s">
        <v>2622</v>
      </c>
      <c r="C2751" s="117">
        <v>1521.73</v>
      </c>
    </row>
    <row r="2752" spans="1:3" x14ac:dyDescent="0.25">
      <c r="A2752" s="115">
        <v>3742277</v>
      </c>
      <c r="B2752" s="115" t="s">
        <v>2623</v>
      </c>
      <c r="C2752" s="117">
        <v>1521.73</v>
      </c>
    </row>
    <row r="2753" spans="1:3" x14ac:dyDescent="0.25">
      <c r="A2753" s="115">
        <v>3742283</v>
      </c>
      <c r="B2753" s="115" t="s">
        <v>2624</v>
      </c>
      <c r="C2753" s="117">
        <v>1521.73</v>
      </c>
    </row>
    <row r="2754" spans="1:3" x14ac:dyDescent="0.25">
      <c r="A2754" s="115">
        <v>3741729</v>
      </c>
      <c r="B2754" s="115" t="s">
        <v>2625</v>
      </c>
      <c r="C2754" s="117">
        <v>1852.7</v>
      </c>
    </row>
    <row r="2755" spans="1:3" x14ac:dyDescent="0.25">
      <c r="A2755" s="115">
        <v>3741725</v>
      </c>
      <c r="B2755" s="115" t="s">
        <v>2626</v>
      </c>
      <c r="C2755" s="117">
        <v>1852.7</v>
      </c>
    </row>
    <row r="2756" spans="1:3" x14ac:dyDescent="0.25">
      <c r="A2756" s="115">
        <v>3741723</v>
      </c>
      <c r="B2756" s="115" t="s">
        <v>2627</v>
      </c>
      <c r="C2756" s="117">
        <v>1852.7</v>
      </c>
    </row>
    <row r="2757" spans="1:3" x14ac:dyDescent="0.25">
      <c r="A2757" s="115">
        <v>3741777</v>
      </c>
      <c r="B2757" s="115" t="s">
        <v>2628</v>
      </c>
      <c r="C2757" s="117">
        <v>1852.7</v>
      </c>
    </row>
    <row r="2758" spans="1:3" x14ac:dyDescent="0.25">
      <c r="A2758" s="115">
        <v>3741767</v>
      </c>
      <c r="B2758" s="115" t="s">
        <v>2629</v>
      </c>
      <c r="C2758" s="117">
        <v>1852.7</v>
      </c>
    </row>
    <row r="2759" spans="1:3" x14ac:dyDescent="0.25">
      <c r="A2759" s="115">
        <v>3741762</v>
      </c>
      <c r="B2759" s="115" t="s">
        <v>2630</v>
      </c>
      <c r="C2759" s="117">
        <v>1852.7</v>
      </c>
    </row>
    <row r="2760" spans="1:3" x14ac:dyDescent="0.25">
      <c r="A2760" s="115">
        <v>3741763</v>
      </c>
      <c r="B2760" s="115" t="s">
        <v>2631</v>
      </c>
      <c r="C2760" s="117">
        <v>1852.7</v>
      </c>
    </row>
    <row r="2761" spans="1:3" x14ac:dyDescent="0.25">
      <c r="A2761" s="115">
        <v>3741776</v>
      </c>
      <c r="B2761" s="115" t="s">
        <v>2632</v>
      </c>
      <c r="C2761" s="117">
        <v>1852.7</v>
      </c>
    </row>
    <row r="2762" spans="1:3" x14ac:dyDescent="0.25">
      <c r="A2762" s="115">
        <v>3741783</v>
      </c>
      <c r="B2762" s="115" t="s">
        <v>2633</v>
      </c>
      <c r="C2762" s="117">
        <v>1852.7</v>
      </c>
    </row>
    <row r="2763" spans="1:3" x14ac:dyDescent="0.25">
      <c r="A2763" s="115">
        <v>3741784</v>
      </c>
      <c r="B2763" s="115" t="s">
        <v>2634</v>
      </c>
      <c r="C2763" s="117">
        <v>1852.7</v>
      </c>
    </row>
    <row r="2764" spans="1:3" x14ac:dyDescent="0.25">
      <c r="A2764" s="115">
        <v>3742506</v>
      </c>
      <c r="B2764" s="115" t="s">
        <v>2635</v>
      </c>
      <c r="C2764" s="117">
        <v>778.29</v>
      </c>
    </row>
    <row r="2765" spans="1:3" x14ac:dyDescent="0.25">
      <c r="A2765" s="115">
        <v>3742525</v>
      </c>
      <c r="B2765" s="115" t="s">
        <v>2636</v>
      </c>
      <c r="C2765" s="117">
        <v>134.44999999999999</v>
      </c>
    </row>
    <row r="2766" spans="1:3" x14ac:dyDescent="0.25">
      <c r="A2766" s="115">
        <v>3742526</v>
      </c>
      <c r="B2766" s="115" t="s">
        <v>2637</v>
      </c>
      <c r="C2766" s="117">
        <v>134.44999999999999</v>
      </c>
    </row>
    <row r="2767" spans="1:3" x14ac:dyDescent="0.25">
      <c r="A2767" s="115">
        <v>3742530</v>
      </c>
      <c r="B2767" s="115" t="s">
        <v>2638</v>
      </c>
      <c r="C2767" s="117">
        <v>134.44999999999999</v>
      </c>
    </row>
    <row r="2768" spans="1:3" x14ac:dyDescent="0.25">
      <c r="A2768" s="115">
        <v>3742529</v>
      </c>
      <c r="B2768" s="115" t="s">
        <v>2639</v>
      </c>
      <c r="C2768" s="117">
        <v>134.44999999999999</v>
      </c>
    </row>
    <row r="2769" spans="1:3" x14ac:dyDescent="0.25">
      <c r="A2769" s="115">
        <v>3742523</v>
      </c>
      <c r="B2769" s="115" t="s">
        <v>2640</v>
      </c>
      <c r="C2769" s="117">
        <v>134.44999999999999</v>
      </c>
    </row>
    <row r="2770" spans="1:3" x14ac:dyDescent="0.25">
      <c r="A2770" s="115">
        <v>3742567</v>
      </c>
      <c r="B2770" s="115" t="s">
        <v>2641</v>
      </c>
      <c r="C2770" s="117">
        <v>134.44999999999999</v>
      </c>
    </row>
    <row r="2771" spans="1:3" x14ac:dyDescent="0.25">
      <c r="A2771" s="115">
        <v>3742562</v>
      </c>
      <c r="B2771" s="115" t="s">
        <v>2642</v>
      </c>
      <c r="C2771" s="117">
        <v>134.44999999999999</v>
      </c>
    </row>
    <row r="2772" spans="1:3" x14ac:dyDescent="0.25">
      <c r="A2772" s="115">
        <v>3742563</v>
      </c>
      <c r="B2772" s="115" t="s">
        <v>2643</v>
      </c>
      <c r="C2772" s="117">
        <v>134.44999999999999</v>
      </c>
    </row>
    <row r="2773" spans="1:3" x14ac:dyDescent="0.25">
      <c r="A2773" s="115">
        <v>3742554</v>
      </c>
      <c r="B2773" s="115" t="s">
        <v>2644</v>
      </c>
      <c r="C2773" s="117">
        <v>134.44999999999999</v>
      </c>
    </row>
    <row r="2774" spans="1:3" x14ac:dyDescent="0.25">
      <c r="A2774" s="115">
        <v>3742577</v>
      </c>
      <c r="B2774" s="115" t="s">
        <v>2645</v>
      </c>
      <c r="C2774" s="117">
        <v>134.44999999999999</v>
      </c>
    </row>
    <row r="2775" spans="1:3" x14ac:dyDescent="0.25">
      <c r="A2775" s="115">
        <v>3742564</v>
      </c>
      <c r="B2775" s="115" t="s">
        <v>2646</v>
      </c>
      <c r="C2775" s="117">
        <v>134.44999999999999</v>
      </c>
    </row>
    <row r="2776" spans="1:3" x14ac:dyDescent="0.25">
      <c r="A2776" s="115">
        <v>3742578</v>
      </c>
      <c r="B2776" s="115" t="s">
        <v>2647</v>
      </c>
      <c r="C2776" s="117">
        <v>134.44999999999999</v>
      </c>
    </row>
    <row r="2777" spans="1:3" x14ac:dyDescent="0.25">
      <c r="A2777" s="115">
        <v>3742583</v>
      </c>
      <c r="B2777" s="115" t="s">
        <v>2648</v>
      </c>
      <c r="C2777" s="117">
        <v>134.54</v>
      </c>
    </row>
    <row r="2778" spans="1:3" x14ac:dyDescent="0.25">
      <c r="A2778" s="115">
        <v>3742586</v>
      </c>
      <c r="B2778" s="115" t="s">
        <v>2649</v>
      </c>
      <c r="C2778" s="117">
        <v>134.44999999999999</v>
      </c>
    </row>
    <row r="2779" spans="1:3" x14ac:dyDescent="0.25">
      <c r="A2779" s="115">
        <v>3742584</v>
      </c>
      <c r="B2779" s="115" t="s">
        <v>2650</v>
      </c>
      <c r="C2779" s="117">
        <v>134.44999999999999</v>
      </c>
    </row>
    <row r="2780" spans="1:3" x14ac:dyDescent="0.25">
      <c r="A2780" s="115">
        <v>3742125</v>
      </c>
      <c r="B2780" s="115" t="s">
        <v>2651</v>
      </c>
      <c r="C2780" s="117">
        <v>996.75</v>
      </c>
    </row>
    <row r="2781" spans="1:3" x14ac:dyDescent="0.25">
      <c r="A2781" s="115">
        <v>3742323</v>
      </c>
      <c r="B2781" s="115" t="s">
        <v>2652</v>
      </c>
      <c r="C2781" s="117">
        <v>958.81</v>
      </c>
    </row>
    <row r="2782" spans="1:3" x14ac:dyDescent="0.25">
      <c r="A2782" s="115">
        <v>3742164</v>
      </c>
      <c r="B2782" s="115" t="s">
        <v>2653</v>
      </c>
      <c r="C2782" s="117">
        <v>958.81</v>
      </c>
    </row>
    <row r="2783" spans="1:3" x14ac:dyDescent="0.25">
      <c r="A2783" s="115">
        <v>3742167</v>
      </c>
      <c r="B2783" s="115" t="s">
        <v>2654</v>
      </c>
      <c r="C2783" s="117">
        <v>958.81</v>
      </c>
    </row>
    <row r="2784" spans="1:3" x14ac:dyDescent="0.25">
      <c r="A2784" s="115">
        <v>3742162</v>
      </c>
      <c r="B2784" s="115" t="s">
        <v>2655</v>
      </c>
      <c r="C2784" s="117">
        <v>958.81</v>
      </c>
    </row>
    <row r="2785" spans="1:3" x14ac:dyDescent="0.25">
      <c r="A2785" s="115">
        <v>3742354</v>
      </c>
      <c r="B2785" s="115" t="s">
        <v>2656</v>
      </c>
      <c r="C2785" s="117">
        <v>958.81</v>
      </c>
    </row>
    <row r="2786" spans="1:3" x14ac:dyDescent="0.25">
      <c r="A2786" s="115">
        <v>3742326</v>
      </c>
      <c r="B2786" s="115" t="s">
        <v>2657</v>
      </c>
      <c r="C2786" s="117">
        <v>958.81</v>
      </c>
    </row>
    <row r="2787" spans="1:3" x14ac:dyDescent="0.25">
      <c r="A2787" s="115">
        <v>3742330</v>
      </c>
      <c r="B2787" s="115" t="s">
        <v>2658</v>
      </c>
      <c r="C2787" s="117">
        <v>958.81</v>
      </c>
    </row>
    <row r="2788" spans="1:3" x14ac:dyDescent="0.25">
      <c r="A2788" s="115">
        <v>3742329</v>
      </c>
      <c r="B2788" s="115" t="s">
        <v>2659</v>
      </c>
      <c r="C2788" s="117">
        <v>958.81</v>
      </c>
    </row>
    <row r="2789" spans="1:3" x14ac:dyDescent="0.25">
      <c r="A2789" s="115">
        <v>3742322</v>
      </c>
      <c r="B2789" s="115" t="s">
        <v>2660</v>
      </c>
      <c r="C2789" s="117">
        <v>958.81</v>
      </c>
    </row>
    <row r="2790" spans="1:3" x14ac:dyDescent="0.25">
      <c r="A2790" s="115">
        <v>3742383</v>
      </c>
      <c r="B2790" s="115" t="s">
        <v>2661</v>
      </c>
      <c r="C2790" s="117">
        <v>958.81</v>
      </c>
    </row>
    <row r="2791" spans="1:3" x14ac:dyDescent="0.25">
      <c r="A2791" s="115">
        <v>3742386</v>
      </c>
      <c r="B2791" s="115" t="s">
        <v>2662</v>
      </c>
      <c r="C2791" s="117">
        <v>958.81</v>
      </c>
    </row>
    <row r="2792" spans="1:3" x14ac:dyDescent="0.25">
      <c r="A2792" s="115">
        <v>3742384</v>
      </c>
      <c r="B2792" s="115" t="s">
        <v>2663</v>
      </c>
      <c r="C2792" s="117">
        <v>958.81</v>
      </c>
    </row>
    <row r="2793" spans="1:3" x14ac:dyDescent="0.25">
      <c r="A2793" s="115">
        <v>3742363</v>
      </c>
      <c r="B2793" s="115" t="s">
        <v>2664</v>
      </c>
      <c r="C2793" s="117">
        <v>958.81</v>
      </c>
    </row>
    <row r="2794" spans="1:3" x14ac:dyDescent="0.25">
      <c r="A2794" s="115">
        <v>3741600</v>
      </c>
      <c r="B2794" s="115" t="s">
        <v>2665</v>
      </c>
      <c r="C2794" s="117">
        <v>134.49</v>
      </c>
    </row>
    <row r="2795" spans="1:3" x14ac:dyDescent="0.25">
      <c r="A2795" s="115">
        <v>3741001</v>
      </c>
      <c r="B2795" s="115" t="s">
        <v>2666</v>
      </c>
      <c r="C2795" s="117">
        <v>6356.88</v>
      </c>
    </row>
    <row r="2796" spans="1:3" x14ac:dyDescent="0.25">
      <c r="A2796" s="115">
        <v>3741003</v>
      </c>
      <c r="B2796" s="115" t="s">
        <v>2667</v>
      </c>
      <c r="C2796" s="117">
        <v>993.52</v>
      </c>
    </row>
    <row r="2797" spans="1:3" x14ac:dyDescent="0.25">
      <c r="A2797" s="115">
        <v>3747000</v>
      </c>
      <c r="B2797" s="115" t="s">
        <v>2668</v>
      </c>
      <c r="C2797" s="117">
        <v>1442.43</v>
      </c>
    </row>
    <row r="2798" spans="1:3" x14ac:dyDescent="0.25">
      <c r="A2798" s="144" t="s">
        <v>2669</v>
      </c>
      <c r="B2798" s="145"/>
      <c r="C2798" s="145"/>
    </row>
    <row r="2799" spans="1:3" x14ac:dyDescent="0.25">
      <c r="A2799" s="115">
        <v>3268500</v>
      </c>
      <c r="B2799" s="115" t="s">
        <v>2670</v>
      </c>
      <c r="C2799" s="117">
        <v>1110.03</v>
      </c>
    </row>
    <row r="2800" spans="1:3" x14ac:dyDescent="0.25">
      <c r="A2800" s="115">
        <v>4580501</v>
      </c>
      <c r="B2800" s="115" t="s">
        <v>2671</v>
      </c>
      <c r="C2800" s="117">
        <v>2189.5</v>
      </c>
    </row>
    <row r="2801" spans="1:3" x14ac:dyDescent="0.25">
      <c r="A2801" s="115">
        <v>3964900</v>
      </c>
      <c r="B2801" s="115" t="s">
        <v>2672</v>
      </c>
      <c r="C2801" s="117">
        <v>14746.93</v>
      </c>
    </row>
    <row r="2802" spans="1:3" x14ac:dyDescent="0.25">
      <c r="A2802" s="115">
        <v>3962000</v>
      </c>
      <c r="B2802" s="115" t="s">
        <v>2673</v>
      </c>
      <c r="C2802" s="117">
        <v>14311.11</v>
      </c>
    </row>
    <row r="2803" spans="1:3" x14ac:dyDescent="0.25">
      <c r="A2803" s="115">
        <v>3961000</v>
      </c>
      <c r="B2803" s="115" t="s">
        <v>2674</v>
      </c>
      <c r="C2803" s="117">
        <v>46473.55</v>
      </c>
    </row>
    <row r="2804" spans="1:3" x14ac:dyDescent="0.25">
      <c r="A2804" s="115">
        <v>3638716</v>
      </c>
      <c r="B2804" s="115" t="s">
        <v>2675</v>
      </c>
      <c r="C2804" s="117">
        <v>213840.6</v>
      </c>
    </row>
    <row r="2805" spans="1:3" x14ac:dyDescent="0.25">
      <c r="A2805" s="115">
        <v>3960210</v>
      </c>
      <c r="B2805" s="115" t="s">
        <v>2676</v>
      </c>
      <c r="C2805" s="117">
        <v>12393.99</v>
      </c>
    </row>
    <row r="2806" spans="1:3" x14ac:dyDescent="0.25">
      <c r="A2806" s="115">
        <v>3961400</v>
      </c>
      <c r="B2806" s="115" t="s">
        <v>2677</v>
      </c>
      <c r="C2806" s="117">
        <v>2223.3200000000002</v>
      </c>
    </row>
    <row r="2807" spans="1:3" x14ac:dyDescent="0.25">
      <c r="A2807" s="115">
        <v>3961500</v>
      </c>
      <c r="B2807" s="115" t="s">
        <v>2678</v>
      </c>
      <c r="C2807" s="117">
        <v>7485.27</v>
      </c>
    </row>
    <row r="2808" spans="1:3" x14ac:dyDescent="0.25">
      <c r="A2808" s="115">
        <v>3960312</v>
      </c>
      <c r="B2808" s="115" t="s">
        <v>2679</v>
      </c>
      <c r="C2808" s="117">
        <v>626.09</v>
      </c>
    </row>
    <row r="2809" spans="1:3" x14ac:dyDescent="0.25">
      <c r="A2809" s="115">
        <v>3960314</v>
      </c>
      <c r="B2809" s="115" t="s">
        <v>2680</v>
      </c>
      <c r="C2809" s="117">
        <v>709.57</v>
      </c>
    </row>
    <row r="2810" spans="1:3" x14ac:dyDescent="0.25">
      <c r="A2810" s="115">
        <v>3960318</v>
      </c>
      <c r="B2810" s="115" t="s">
        <v>2681</v>
      </c>
      <c r="C2810" s="117">
        <v>890.44</v>
      </c>
    </row>
    <row r="2811" spans="1:3" x14ac:dyDescent="0.25">
      <c r="A2811" s="115">
        <v>3960320</v>
      </c>
      <c r="B2811" s="115" t="s">
        <v>2682</v>
      </c>
      <c r="C2811" s="117">
        <v>1054.6199999999999</v>
      </c>
    </row>
    <row r="2812" spans="1:3" x14ac:dyDescent="0.25">
      <c r="A2812" s="115">
        <v>3960325</v>
      </c>
      <c r="B2812" s="115" t="s">
        <v>2683</v>
      </c>
      <c r="C2812" s="117">
        <v>1293.92</v>
      </c>
    </row>
    <row r="2813" spans="1:3" x14ac:dyDescent="0.25">
      <c r="A2813" s="115">
        <v>3969067</v>
      </c>
      <c r="B2813" s="115" t="s">
        <v>2684</v>
      </c>
      <c r="C2813" s="117">
        <v>127.47</v>
      </c>
    </row>
    <row r="2814" spans="1:3" x14ac:dyDescent="0.25">
      <c r="A2814" s="115">
        <v>3630140</v>
      </c>
      <c r="B2814" s="115" t="s">
        <v>2685</v>
      </c>
      <c r="C2814" s="117">
        <v>1245.8800000000001</v>
      </c>
    </row>
    <row r="2815" spans="1:3" x14ac:dyDescent="0.25">
      <c r="A2815" s="115">
        <v>3630170</v>
      </c>
      <c r="B2815" s="115" t="s">
        <v>2686</v>
      </c>
      <c r="C2815" s="117">
        <v>1463.13</v>
      </c>
    </row>
    <row r="2816" spans="1:3" x14ac:dyDescent="0.25">
      <c r="A2816" s="115">
        <v>3630150</v>
      </c>
      <c r="B2816" s="115" t="s">
        <v>2687</v>
      </c>
      <c r="C2816" s="117">
        <v>1082.98</v>
      </c>
    </row>
    <row r="2817" spans="1:3" x14ac:dyDescent="0.25">
      <c r="A2817" s="115">
        <v>3630130</v>
      </c>
      <c r="B2817" s="115" t="s">
        <v>2688</v>
      </c>
      <c r="C2817" s="117">
        <v>1138.1099999999999</v>
      </c>
    </row>
    <row r="2818" spans="1:3" x14ac:dyDescent="0.25">
      <c r="A2818" s="115">
        <v>3965601</v>
      </c>
      <c r="B2818" s="115" t="s">
        <v>2689</v>
      </c>
      <c r="C2818" s="117">
        <v>12562.57</v>
      </c>
    </row>
    <row r="2819" spans="1:3" x14ac:dyDescent="0.25">
      <c r="A2819" s="115">
        <v>3960605</v>
      </c>
      <c r="B2819" s="115" t="s">
        <v>2690</v>
      </c>
      <c r="C2819" s="117">
        <v>2005.01</v>
      </c>
    </row>
    <row r="2820" spans="1:3" x14ac:dyDescent="0.25">
      <c r="A2820" s="115">
        <v>3960410</v>
      </c>
      <c r="B2820" s="115" t="s">
        <v>2691</v>
      </c>
      <c r="C2820" s="117">
        <v>3109.6</v>
      </c>
    </row>
    <row r="2821" spans="1:3" x14ac:dyDescent="0.25">
      <c r="A2821" s="115">
        <v>3960406</v>
      </c>
      <c r="B2821" s="115" t="s">
        <v>2692</v>
      </c>
      <c r="C2821" s="117">
        <v>1604.02</v>
      </c>
    </row>
    <row r="2822" spans="1:3" x14ac:dyDescent="0.25">
      <c r="A2822" s="115">
        <v>3590301</v>
      </c>
      <c r="B2822" s="115" t="s">
        <v>2693</v>
      </c>
      <c r="C2822" s="117">
        <v>246.33</v>
      </c>
    </row>
    <row r="2823" spans="1:3" x14ac:dyDescent="0.25">
      <c r="A2823" s="115">
        <v>3590302</v>
      </c>
      <c r="B2823" s="115" t="s">
        <v>2694</v>
      </c>
      <c r="C2823" s="117">
        <v>405.45</v>
      </c>
    </row>
    <row r="2824" spans="1:3" x14ac:dyDescent="0.25">
      <c r="A2824" s="115">
        <v>3590303</v>
      </c>
      <c r="B2824" s="115" t="s">
        <v>2695</v>
      </c>
      <c r="C2824" s="117">
        <v>591.16999999999996</v>
      </c>
    </row>
    <row r="2825" spans="1:3" x14ac:dyDescent="0.25">
      <c r="A2825" s="115">
        <v>3590304</v>
      </c>
      <c r="B2825" s="115" t="s">
        <v>2696</v>
      </c>
      <c r="C2825" s="117">
        <v>795.78</v>
      </c>
    </row>
    <row r="2826" spans="1:3" x14ac:dyDescent="0.25">
      <c r="A2826" s="115">
        <v>3590305</v>
      </c>
      <c r="B2826" s="115" t="s">
        <v>2697</v>
      </c>
      <c r="C2826" s="117">
        <v>959.63</v>
      </c>
    </row>
    <row r="2827" spans="1:3" x14ac:dyDescent="0.25">
      <c r="A2827" s="115">
        <v>3590306</v>
      </c>
      <c r="B2827" s="115" t="s">
        <v>2698</v>
      </c>
      <c r="C2827" s="117">
        <v>1182.31</v>
      </c>
    </row>
    <row r="2828" spans="1:3" x14ac:dyDescent="0.25">
      <c r="A2828" s="115">
        <v>3590307</v>
      </c>
      <c r="B2828" s="115" t="s">
        <v>2699</v>
      </c>
      <c r="C2828" s="117">
        <v>1303.58</v>
      </c>
    </row>
    <row r="2829" spans="1:3" x14ac:dyDescent="0.25">
      <c r="A2829" s="115">
        <v>3590308</v>
      </c>
      <c r="B2829" s="115" t="s">
        <v>2700</v>
      </c>
      <c r="C2829" s="117">
        <v>1584.02</v>
      </c>
    </row>
    <row r="2830" spans="1:3" x14ac:dyDescent="0.25">
      <c r="A2830" s="115">
        <v>3590309</v>
      </c>
      <c r="B2830" s="115" t="s">
        <v>2701</v>
      </c>
      <c r="C2830" s="117">
        <v>1834.1</v>
      </c>
    </row>
    <row r="2831" spans="1:3" x14ac:dyDescent="0.25">
      <c r="A2831" s="115">
        <v>4200800</v>
      </c>
      <c r="B2831" s="115" t="s">
        <v>2702</v>
      </c>
      <c r="C2831" s="117">
        <v>12170.75</v>
      </c>
    </row>
    <row r="2832" spans="1:3" x14ac:dyDescent="0.25">
      <c r="A2832" s="115">
        <v>3964235</v>
      </c>
      <c r="B2832" s="115" t="s">
        <v>2703</v>
      </c>
      <c r="C2832" s="117">
        <v>2885.51</v>
      </c>
    </row>
    <row r="2833" spans="1:3" x14ac:dyDescent="0.25">
      <c r="A2833" s="115">
        <v>3964200</v>
      </c>
      <c r="B2833" s="115" t="s">
        <v>2704</v>
      </c>
      <c r="C2833" s="117">
        <v>5242.0200000000004</v>
      </c>
    </row>
    <row r="2834" spans="1:3" x14ac:dyDescent="0.25">
      <c r="A2834" s="115">
        <v>3980430</v>
      </c>
      <c r="B2834" s="115" t="s">
        <v>2705</v>
      </c>
      <c r="C2834" s="117">
        <v>3229.42</v>
      </c>
    </row>
    <row r="2835" spans="1:3" x14ac:dyDescent="0.25">
      <c r="A2835" s="115">
        <v>3980345</v>
      </c>
      <c r="B2835" s="115" t="s">
        <v>2706</v>
      </c>
      <c r="C2835" s="117">
        <v>5685.45</v>
      </c>
    </row>
    <row r="2836" spans="1:3" x14ac:dyDescent="0.25">
      <c r="A2836" s="115">
        <v>3980410</v>
      </c>
      <c r="B2836" s="115" t="s">
        <v>2707</v>
      </c>
      <c r="C2836" s="117">
        <v>3886</v>
      </c>
    </row>
    <row r="2837" spans="1:3" x14ac:dyDescent="0.25">
      <c r="A2837" s="115">
        <v>3980420</v>
      </c>
      <c r="B2837" s="115" t="s">
        <v>2708</v>
      </c>
      <c r="C2837" s="117">
        <v>5957.97</v>
      </c>
    </row>
    <row r="2838" spans="1:3" x14ac:dyDescent="0.25">
      <c r="A2838" s="115">
        <v>3964800</v>
      </c>
      <c r="B2838" s="115" t="s">
        <v>2709</v>
      </c>
      <c r="C2838" s="117">
        <v>9233.77</v>
      </c>
    </row>
    <row r="2839" spans="1:3" x14ac:dyDescent="0.25">
      <c r="A2839" s="115">
        <v>3960024</v>
      </c>
      <c r="B2839" s="115" t="s">
        <v>2710</v>
      </c>
      <c r="C2839" s="117">
        <v>11986.13</v>
      </c>
    </row>
    <row r="2840" spans="1:3" x14ac:dyDescent="0.25">
      <c r="A2840" s="115">
        <v>3960022</v>
      </c>
      <c r="B2840" s="115" t="s">
        <v>2711</v>
      </c>
      <c r="C2840" s="117">
        <v>10921.24</v>
      </c>
    </row>
    <row r="2841" spans="1:3" x14ac:dyDescent="0.25">
      <c r="A2841" s="115">
        <v>3960010</v>
      </c>
      <c r="B2841" s="115" t="s">
        <v>2712</v>
      </c>
      <c r="C2841" s="117">
        <v>7666.16</v>
      </c>
    </row>
    <row r="2842" spans="1:3" x14ac:dyDescent="0.25">
      <c r="A2842" s="115">
        <v>3960002</v>
      </c>
      <c r="B2842" s="115" t="s">
        <v>2713</v>
      </c>
      <c r="C2842" s="117">
        <v>1449.82</v>
      </c>
    </row>
    <row r="2843" spans="1:3" x14ac:dyDescent="0.25">
      <c r="A2843" s="115">
        <v>4586000</v>
      </c>
      <c r="B2843" s="115" t="s">
        <v>2714</v>
      </c>
      <c r="C2843" s="117">
        <v>2984.21</v>
      </c>
    </row>
    <row r="2844" spans="1:3" x14ac:dyDescent="0.25">
      <c r="A2844" s="115">
        <v>3965501</v>
      </c>
      <c r="B2844" s="115" t="s">
        <v>2715</v>
      </c>
      <c r="C2844" s="117">
        <v>67755.899999999994</v>
      </c>
    </row>
    <row r="2845" spans="1:3" x14ac:dyDescent="0.25">
      <c r="A2845" s="115">
        <v>3965500</v>
      </c>
      <c r="B2845" s="115" t="s">
        <v>2716</v>
      </c>
      <c r="C2845" s="117">
        <v>47175.56</v>
      </c>
    </row>
    <row r="2846" spans="1:3" x14ac:dyDescent="0.25">
      <c r="A2846" s="115">
        <v>3960510</v>
      </c>
      <c r="B2846" s="115" t="s">
        <v>2717</v>
      </c>
      <c r="C2846" s="117">
        <v>1490.23</v>
      </c>
    </row>
    <row r="2847" spans="1:3" x14ac:dyDescent="0.25">
      <c r="A2847" s="115">
        <v>3964400</v>
      </c>
      <c r="B2847" s="115" t="s">
        <v>2718</v>
      </c>
      <c r="C2847" s="117">
        <v>1563.15</v>
      </c>
    </row>
    <row r="2848" spans="1:3" x14ac:dyDescent="0.25">
      <c r="A2848" s="144" t="s">
        <v>2719</v>
      </c>
      <c r="B2848" s="145"/>
      <c r="C2848" s="145"/>
    </row>
    <row r="2849" spans="1:3" x14ac:dyDescent="0.25">
      <c r="A2849" s="115">
        <v>3305000</v>
      </c>
      <c r="B2849" s="115" t="s">
        <v>2720</v>
      </c>
      <c r="C2849" s="117">
        <v>476.71</v>
      </c>
    </row>
    <row r="2850" spans="1:3" x14ac:dyDescent="0.25">
      <c r="A2850" s="115">
        <v>3301924</v>
      </c>
      <c r="B2850" s="115" t="s">
        <v>2721</v>
      </c>
      <c r="C2850" s="117">
        <v>1389.3</v>
      </c>
    </row>
    <row r="2851" spans="1:3" x14ac:dyDescent="0.25">
      <c r="A2851" s="115">
        <v>3300811</v>
      </c>
      <c r="B2851" s="115" t="s">
        <v>2722</v>
      </c>
      <c r="C2851" s="117">
        <v>289.12</v>
      </c>
    </row>
    <row r="2852" spans="1:3" x14ac:dyDescent="0.25">
      <c r="A2852" s="115">
        <v>3300812</v>
      </c>
      <c r="B2852" s="115" t="s">
        <v>2723</v>
      </c>
      <c r="C2852" s="117">
        <v>1189.3800000000001</v>
      </c>
    </row>
    <row r="2853" spans="1:3" x14ac:dyDescent="0.25">
      <c r="A2853" s="115">
        <v>3301201</v>
      </c>
      <c r="B2853" s="115" t="s">
        <v>2724</v>
      </c>
      <c r="C2853" s="117">
        <v>1284.58</v>
      </c>
    </row>
    <row r="2854" spans="1:3" x14ac:dyDescent="0.25">
      <c r="A2854" s="115">
        <v>3301200</v>
      </c>
      <c r="B2854" s="115" t="s">
        <v>2725</v>
      </c>
      <c r="C2854" s="117">
        <v>1282.0999999999999</v>
      </c>
    </row>
    <row r="2855" spans="1:3" x14ac:dyDescent="0.25">
      <c r="A2855" s="115">
        <v>3301000</v>
      </c>
      <c r="B2855" s="115" t="s">
        <v>2726</v>
      </c>
      <c r="C2855" s="117">
        <v>189.05</v>
      </c>
    </row>
    <row r="2856" spans="1:3" x14ac:dyDescent="0.25">
      <c r="A2856" s="115">
        <v>3300900</v>
      </c>
      <c r="B2856" s="115" t="s">
        <v>2727</v>
      </c>
      <c r="C2856" s="117">
        <v>3579.37</v>
      </c>
    </row>
    <row r="2857" spans="1:3" x14ac:dyDescent="0.25">
      <c r="A2857" s="115">
        <v>3300710</v>
      </c>
      <c r="B2857" s="115" t="s">
        <v>2728</v>
      </c>
      <c r="C2857" s="117">
        <v>3218.44</v>
      </c>
    </row>
    <row r="2858" spans="1:3" x14ac:dyDescent="0.25">
      <c r="A2858" s="115">
        <v>3306000</v>
      </c>
      <c r="B2858" s="115" t="s">
        <v>2729</v>
      </c>
      <c r="C2858" s="117">
        <v>6655.06</v>
      </c>
    </row>
    <row r="2859" spans="1:3" x14ac:dyDescent="0.25">
      <c r="A2859" s="115">
        <v>3301700</v>
      </c>
      <c r="B2859" s="115" t="s">
        <v>2730</v>
      </c>
      <c r="C2859" s="117">
        <v>1691.12</v>
      </c>
    </row>
    <row r="2860" spans="1:3" x14ac:dyDescent="0.25">
      <c r="A2860" s="115">
        <v>3301718</v>
      </c>
      <c r="B2860" s="115" t="s">
        <v>2731</v>
      </c>
      <c r="C2860" s="117">
        <v>1076.71</v>
      </c>
    </row>
    <row r="2861" spans="1:3" x14ac:dyDescent="0.25">
      <c r="A2861" s="115">
        <v>3303200</v>
      </c>
      <c r="B2861" s="115" t="s">
        <v>2732</v>
      </c>
      <c r="C2861" s="117">
        <v>3967.39</v>
      </c>
    </row>
    <row r="2862" spans="1:3" x14ac:dyDescent="0.25">
      <c r="A2862" s="115">
        <v>3303014</v>
      </c>
      <c r="B2862" s="115" t="s">
        <v>2733</v>
      </c>
      <c r="C2862" s="117">
        <v>5174.1099999999997</v>
      </c>
    </row>
    <row r="2863" spans="1:3" x14ac:dyDescent="0.25">
      <c r="A2863" s="115">
        <v>3303015</v>
      </c>
      <c r="B2863" s="115" t="s">
        <v>2734</v>
      </c>
      <c r="C2863" s="117">
        <v>8414.7999999999993</v>
      </c>
    </row>
    <row r="2864" spans="1:3" x14ac:dyDescent="0.25">
      <c r="A2864" s="115">
        <v>3306001</v>
      </c>
      <c r="B2864" s="115" t="s">
        <v>2735</v>
      </c>
      <c r="C2864" s="117">
        <v>11995.94</v>
      </c>
    </row>
    <row r="2865" spans="1:3" x14ac:dyDescent="0.25">
      <c r="A2865" s="115">
        <v>3671600</v>
      </c>
      <c r="B2865" s="115" t="s">
        <v>2736</v>
      </c>
      <c r="C2865" s="117">
        <v>2605</v>
      </c>
    </row>
    <row r="2866" spans="1:3" x14ac:dyDescent="0.25">
      <c r="A2866" s="115">
        <v>3371000</v>
      </c>
      <c r="B2866" s="115" t="s">
        <v>2737</v>
      </c>
      <c r="C2866" s="117">
        <v>267.41000000000003</v>
      </c>
    </row>
    <row r="2867" spans="1:3" x14ac:dyDescent="0.25">
      <c r="A2867" s="115">
        <v>3375000</v>
      </c>
      <c r="B2867" s="115" t="s">
        <v>2738</v>
      </c>
      <c r="C2867" s="117">
        <v>658.95</v>
      </c>
    </row>
    <row r="2868" spans="1:3" x14ac:dyDescent="0.25">
      <c r="A2868" s="115">
        <v>3372000</v>
      </c>
      <c r="B2868" s="115" t="s">
        <v>2739</v>
      </c>
      <c r="C2868" s="117">
        <v>4499.3900000000003</v>
      </c>
    </row>
    <row r="2869" spans="1:3" x14ac:dyDescent="0.25">
      <c r="A2869" s="115">
        <v>3372060</v>
      </c>
      <c r="B2869" s="115" t="s">
        <v>2740</v>
      </c>
      <c r="C2869" s="117">
        <v>2639.74</v>
      </c>
    </row>
    <row r="2870" spans="1:3" x14ac:dyDescent="0.25">
      <c r="A2870" s="115">
        <v>3371700</v>
      </c>
      <c r="B2870" s="115" t="s">
        <v>2741</v>
      </c>
      <c r="C2870" s="117">
        <v>1186.73</v>
      </c>
    </row>
    <row r="2871" spans="1:3" x14ac:dyDescent="0.25">
      <c r="A2871" s="115">
        <v>3371620</v>
      </c>
      <c r="B2871" s="115" t="s">
        <v>2742</v>
      </c>
      <c r="C2871" s="117">
        <v>1186.73</v>
      </c>
    </row>
    <row r="2872" spans="1:3" x14ac:dyDescent="0.25">
      <c r="A2872" s="115">
        <v>3371200</v>
      </c>
      <c r="B2872" s="115" t="s">
        <v>2743</v>
      </c>
      <c r="C2872" s="117">
        <v>405.63</v>
      </c>
    </row>
    <row r="2873" spans="1:3" x14ac:dyDescent="0.25">
      <c r="A2873" s="115">
        <v>3371300</v>
      </c>
      <c r="B2873" s="115" t="s">
        <v>2744</v>
      </c>
      <c r="C2873" s="117">
        <v>1735.82</v>
      </c>
    </row>
    <row r="2874" spans="1:3" x14ac:dyDescent="0.25">
      <c r="A2874" s="115">
        <v>3371800</v>
      </c>
      <c r="B2874" s="115" t="s">
        <v>2745</v>
      </c>
      <c r="C2874" s="117">
        <v>2080.11</v>
      </c>
    </row>
    <row r="2875" spans="1:3" x14ac:dyDescent="0.25">
      <c r="A2875" s="115">
        <v>3371600</v>
      </c>
      <c r="B2875" s="115" t="s">
        <v>2746</v>
      </c>
      <c r="C2875" s="117">
        <v>2080.11</v>
      </c>
    </row>
    <row r="2876" spans="1:3" x14ac:dyDescent="0.25">
      <c r="A2876" s="115">
        <v>3371400</v>
      </c>
      <c r="B2876" s="115" t="s">
        <v>2747</v>
      </c>
      <c r="C2876" s="117">
        <v>925.02</v>
      </c>
    </row>
    <row r="2877" spans="1:3" x14ac:dyDescent="0.25">
      <c r="A2877" s="115">
        <v>3491010</v>
      </c>
      <c r="B2877" s="115" t="s">
        <v>2748</v>
      </c>
      <c r="C2877" s="117">
        <v>74.36</v>
      </c>
    </row>
    <row r="2878" spans="1:3" x14ac:dyDescent="0.25">
      <c r="A2878" s="115">
        <v>3491009</v>
      </c>
      <c r="B2878" s="115" t="s">
        <v>2749</v>
      </c>
      <c r="C2878" s="117">
        <v>69.56</v>
      </c>
    </row>
    <row r="2879" spans="1:3" x14ac:dyDescent="0.25">
      <c r="A2879" s="115">
        <v>3491110</v>
      </c>
      <c r="B2879" s="115" t="s">
        <v>2750</v>
      </c>
      <c r="C2879" s="117">
        <v>1736.3</v>
      </c>
    </row>
    <row r="2880" spans="1:3" x14ac:dyDescent="0.25">
      <c r="A2880" s="115">
        <v>3491114</v>
      </c>
      <c r="B2880" s="115" t="s">
        <v>2751</v>
      </c>
      <c r="C2880" s="117">
        <v>2978.02</v>
      </c>
    </row>
    <row r="2881" spans="1:3" x14ac:dyDescent="0.25">
      <c r="A2881" s="115">
        <v>3492317</v>
      </c>
      <c r="B2881" s="115" t="s">
        <v>2752</v>
      </c>
      <c r="C2881" s="117">
        <v>1869.39</v>
      </c>
    </row>
    <row r="2882" spans="1:3" x14ac:dyDescent="0.25">
      <c r="A2882" s="115">
        <v>3492320</v>
      </c>
      <c r="B2882" s="115" t="s">
        <v>2753</v>
      </c>
      <c r="C2882" s="117">
        <v>1869.39</v>
      </c>
    </row>
    <row r="2883" spans="1:3" x14ac:dyDescent="0.25">
      <c r="A2883" s="115">
        <v>3492325</v>
      </c>
      <c r="B2883" s="115" t="s">
        <v>2754</v>
      </c>
      <c r="C2883" s="117">
        <v>2874.17</v>
      </c>
    </row>
    <row r="2884" spans="1:3" x14ac:dyDescent="0.25">
      <c r="A2884" s="115">
        <v>3492330</v>
      </c>
      <c r="B2884" s="115" t="s">
        <v>2755</v>
      </c>
      <c r="C2884" s="117">
        <v>3005.34</v>
      </c>
    </row>
    <row r="2885" spans="1:3" x14ac:dyDescent="0.25">
      <c r="A2885" s="115">
        <v>3491300</v>
      </c>
      <c r="B2885" s="115" t="s">
        <v>2756</v>
      </c>
      <c r="C2885" s="117">
        <v>201.62</v>
      </c>
    </row>
    <row r="2886" spans="1:3" x14ac:dyDescent="0.25">
      <c r="A2886" s="115">
        <v>3491700</v>
      </c>
      <c r="B2886" s="115" t="s">
        <v>2757</v>
      </c>
      <c r="C2886" s="117">
        <v>139.44</v>
      </c>
    </row>
    <row r="2887" spans="1:3" x14ac:dyDescent="0.25">
      <c r="A2887" s="115">
        <v>3371100</v>
      </c>
      <c r="B2887" s="115" t="s">
        <v>2758</v>
      </c>
      <c r="C2887" s="117">
        <v>1943.46</v>
      </c>
    </row>
    <row r="2888" spans="1:3" x14ac:dyDescent="0.25">
      <c r="A2888" s="115">
        <v>3499000</v>
      </c>
      <c r="B2888" s="115" t="s">
        <v>2759</v>
      </c>
      <c r="C2888" s="117">
        <v>2439.6999999999998</v>
      </c>
    </row>
    <row r="2889" spans="1:3" x14ac:dyDescent="0.25">
      <c r="A2889" s="115">
        <v>3494100</v>
      </c>
      <c r="B2889" s="115" t="s">
        <v>2760</v>
      </c>
      <c r="C2889" s="117">
        <v>1567.16</v>
      </c>
    </row>
    <row r="2890" spans="1:3" x14ac:dyDescent="0.25">
      <c r="A2890" s="115">
        <v>3493300</v>
      </c>
      <c r="B2890" s="115" t="s">
        <v>2761</v>
      </c>
      <c r="C2890" s="117">
        <v>1729.08</v>
      </c>
    </row>
    <row r="2891" spans="1:3" x14ac:dyDescent="0.25">
      <c r="A2891" s="115">
        <v>3493400</v>
      </c>
      <c r="B2891" s="115" t="s">
        <v>2762</v>
      </c>
      <c r="C2891" s="117">
        <v>1567.16</v>
      </c>
    </row>
    <row r="2892" spans="1:3" x14ac:dyDescent="0.25">
      <c r="A2892" s="115">
        <v>3670315</v>
      </c>
      <c r="B2892" s="115" t="s">
        <v>12330</v>
      </c>
      <c r="C2892" s="117">
        <v>168.8</v>
      </c>
    </row>
    <row r="2893" spans="1:3" x14ac:dyDescent="0.25">
      <c r="A2893" s="115">
        <v>3671815</v>
      </c>
      <c r="B2893" s="115" t="s">
        <v>2763</v>
      </c>
      <c r="C2893" s="117">
        <v>270.75</v>
      </c>
    </row>
    <row r="2894" spans="1:3" x14ac:dyDescent="0.25">
      <c r="A2894" s="115">
        <v>3671820</v>
      </c>
      <c r="B2894" s="115" t="s">
        <v>2764</v>
      </c>
      <c r="C2894" s="117">
        <v>306.76</v>
      </c>
    </row>
    <row r="2895" spans="1:3" x14ac:dyDescent="0.25">
      <c r="A2895" s="115">
        <v>3671830</v>
      </c>
      <c r="B2895" s="115" t="s">
        <v>2765</v>
      </c>
      <c r="C2895" s="117">
        <v>419.38</v>
      </c>
    </row>
    <row r="2896" spans="1:3" x14ac:dyDescent="0.25">
      <c r="A2896" s="115">
        <v>3672600</v>
      </c>
      <c r="B2896" s="115" t="s">
        <v>2766</v>
      </c>
      <c r="C2896" s="117">
        <v>21.77</v>
      </c>
    </row>
    <row r="2897" spans="1:3" x14ac:dyDescent="0.25">
      <c r="A2897" s="115">
        <v>3671918</v>
      </c>
      <c r="B2897" s="115" t="s">
        <v>2767</v>
      </c>
      <c r="C2897" s="117">
        <v>1667.78</v>
      </c>
    </row>
    <row r="2898" spans="1:3" x14ac:dyDescent="0.25">
      <c r="A2898" s="115">
        <v>3671919</v>
      </c>
      <c r="B2898" s="115" t="s">
        <v>2768</v>
      </c>
      <c r="C2898" s="117">
        <v>2407.5</v>
      </c>
    </row>
    <row r="2899" spans="1:3" x14ac:dyDescent="0.25">
      <c r="A2899" s="115">
        <v>3671930</v>
      </c>
      <c r="B2899" s="115" t="s">
        <v>2769</v>
      </c>
      <c r="C2899" s="117">
        <v>1393.52</v>
      </c>
    </row>
    <row r="2900" spans="1:3" x14ac:dyDescent="0.25">
      <c r="A2900" s="115">
        <v>3671925</v>
      </c>
      <c r="B2900" s="115" t="s">
        <v>2770</v>
      </c>
      <c r="C2900" s="117">
        <v>906.22</v>
      </c>
    </row>
    <row r="2901" spans="1:3" x14ac:dyDescent="0.25">
      <c r="A2901" s="115">
        <v>3671921</v>
      </c>
      <c r="B2901" s="115" t="s">
        <v>2771</v>
      </c>
      <c r="C2901" s="117">
        <v>2696.48</v>
      </c>
    </row>
    <row r="2902" spans="1:3" x14ac:dyDescent="0.25">
      <c r="A2902" s="115">
        <v>3672300</v>
      </c>
      <c r="B2902" s="115" t="s">
        <v>2772</v>
      </c>
      <c r="C2902" s="117">
        <v>2085.42</v>
      </c>
    </row>
    <row r="2903" spans="1:3" x14ac:dyDescent="0.25">
      <c r="A2903" s="115">
        <v>3671361</v>
      </c>
      <c r="B2903" s="115" t="s">
        <v>2773</v>
      </c>
      <c r="C2903" s="117">
        <v>1381.13</v>
      </c>
    </row>
    <row r="2904" spans="1:3" x14ac:dyDescent="0.25">
      <c r="A2904" s="115">
        <v>3671362</v>
      </c>
      <c r="B2904" s="115" t="s">
        <v>2774</v>
      </c>
      <c r="C2904" s="117">
        <v>2102.35</v>
      </c>
    </row>
    <row r="2905" spans="1:3" x14ac:dyDescent="0.25">
      <c r="A2905" s="115">
        <v>3671363</v>
      </c>
      <c r="B2905" s="115" t="s">
        <v>2775</v>
      </c>
      <c r="C2905" s="117">
        <v>3423.69</v>
      </c>
    </row>
    <row r="2906" spans="1:3" x14ac:dyDescent="0.25">
      <c r="A2906" s="115">
        <v>3671115</v>
      </c>
      <c r="B2906" s="115" t="s">
        <v>2776</v>
      </c>
      <c r="C2906" s="117">
        <v>210.59</v>
      </c>
    </row>
    <row r="2907" spans="1:3" x14ac:dyDescent="0.25">
      <c r="A2907" s="115">
        <v>3671120</v>
      </c>
      <c r="B2907" s="115" t="s">
        <v>2777</v>
      </c>
      <c r="C2907" s="117">
        <v>232.25</v>
      </c>
    </row>
    <row r="2908" spans="1:3" x14ac:dyDescent="0.25">
      <c r="A2908" s="115">
        <v>3671130</v>
      </c>
      <c r="B2908" s="115" t="s">
        <v>2778</v>
      </c>
      <c r="C2908" s="117">
        <v>353.72</v>
      </c>
    </row>
    <row r="2909" spans="1:3" x14ac:dyDescent="0.25">
      <c r="A2909" s="115">
        <v>3671450</v>
      </c>
      <c r="B2909" s="115" t="s">
        <v>2779</v>
      </c>
      <c r="C2909" s="117">
        <v>4300.1400000000003</v>
      </c>
    </row>
    <row r="2910" spans="1:3" x14ac:dyDescent="0.25">
      <c r="A2910" s="115">
        <v>3671460</v>
      </c>
      <c r="B2910" s="115" t="s">
        <v>2780</v>
      </c>
      <c r="C2910" s="117">
        <v>4694.29</v>
      </c>
    </row>
    <row r="2911" spans="1:3" x14ac:dyDescent="0.25">
      <c r="A2911" s="115">
        <v>3671220</v>
      </c>
      <c r="B2911" s="115" t="s">
        <v>2781</v>
      </c>
      <c r="C2911" s="117">
        <v>753.61</v>
      </c>
    </row>
    <row r="2912" spans="1:3" x14ac:dyDescent="0.25">
      <c r="A2912" s="115">
        <v>3671230</v>
      </c>
      <c r="B2912" s="115" t="s">
        <v>2782</v>
      </c>
      <c r="C2912" s="117">
        <v>1094.3</v>
      </c>
    </row>
    <row r="2913" spans="1:3" x14ac:dyDescent="0.25">
      <c r="A2913" s="115">
        <v>3671240</v>
      </c>
      <c r="B2913" s="115" t="s">
        <v>2783</v>
      </c>
      <c r="C2913" s="117">
        <v>1828.61</v>
      </c>
    </row>
    <row r="2914" spans="1:3" x14ac:dyDescent="0.25">
      <c r="A2914" s="115">
        <v>3671250</v>
      </c>
      <c r="B2914" s="115" t="s">
        <v>2784</v>
      </c>
      <c r="C2914" s="117">
        <v>2583.58</v>
      </c>
    </row>
    <row r="2915" spans="1:3" x14ac:dyDescent="0.25">
      <c r="A2915" s="115">
        <v>3671260</v>
      </c>
      <c r="B2915" s="115" t="s">
        <v>2785</v>
      </c>
      <c r="C2915" s="117">
        <v>2852.06</v>
      </c>
    </row>
    <row r="2916" spans="1:3" x14ac:dyDescent="0.25">
      <c r="A2916" s="115">
        <v>3671020</v>
      </c>
      <c r="B2916" s="115" t="s">
        <v>2786</v>
      </c>
      <c r="C2916" s="117">
        <v>155.38</v>
      </c>
    </row>
    <row r="2917" spans="1:3" x14ac:dyDescent="0.25">
      <c r="A2917" s="115">
        <v>3671030</v>
      </c>
      <c r="B2917" s="115" t="s">
        <v>2787</v>
      </c>
      <c r="C2917" s="117">
        <v>234.34</v>
      </c>
    </row>
    <row r="2918" spans="1:3" x14ac:dyDescent="0.25">
      <c r="A2918" s="115">
        <v>3711015</v>
      </c>
      <c r="B2918" s="115" t="s">
        <v>2788</v>
      </c>
      <c r="C2918" s="117">
        <v>3295.85</v>
      </c>
    </row>
    <row r="2919" spans="1:3" x14ac:dyDescent="0.25">
      <c r="A2919" s="115">
        <v>3711200</v>
      </c>
      <c r="B2919" s="115" t="s">
        <v>2789</v>
      </c>
      <c r="C2919" s="117">
        <v>212.26</v>
      </c>
    </row>
    <row r="2920" spans="1:3" x14ac:dyDescent="0.25">
      <c r="A2920" s="115">
        <v>3711300</v>
      </c>
      <c r="B2920" s="115" t="s">
        <v>2790</v>
      </c>
      <c r="C2920" s="117">
        <v>942.47</v>
      </c>
    </row>
    <row r="2921" spans="1:3" x14ac:dyDescent="0.25">
      <c r="A2921" s="115">
        <v>3711710</v>
      </c>
      <c r="B2921" s="115" t="s">
        <v>2791</v>
      </c>
      <c r="C2921" s="117">
        <v>1020.7</v>
      </c>
    </row>
    <row r="2922" spans="1:3" x14ac:dyDescent="0.25">
      <c r="A2922" s="115">
        <v>3711700</v>
      </c>
      <c r="B2922" s="115" t="s">
        <v>2792</v>
      </c>
      <c r="C2922" s="117">
        <v>750.06</v>
      </c>
    </row>
    <row r="2923" spans="1:3" x14ac:dyDescent="0.25">
      <c r="A2923" s="115">
        <v>3711202</v>
      </c>
      <c r="B2923" s="115" t="s">
        <v>2793</v>
      </c>
      <c r="C2923" s="117">
        <v>3062.8</v>
      </c>
    </row>
    <row r="2924" spans="1:3" x14ac:dyDescent="0.25">
      <c r="A2924" s="115">
        <v>3711529</v>
      </c>
      <c r="B2924" s="115" t="s">
        <v>2794</v>
      </c>
      <c r="C2924" s="117">
        <v>464.23</v>
      </c>
    </row>
    <row r="2925" spans="1:3" x14ac:dyDescent="0.25">
      <c r="A2925" s="115">
        <v>3797000</v>
      </c>
      <c r="B2925" s="115" t="s">
        <v>2795</v>
      </c>
      <c r="C2925" s="117">
        <v>521.99</v>
      </c>
    </row>
    <row r="2926" spans="1:3" x14ac:dyDescent="0.25">
      <c r="A2926" s="115">
        <v>3794000</v>
      </c>
      <c r="B2926" s="115" t="s">
        <v>2796</v>
      </c>
      <c r="C2926" s="117">
        <v>2773.89</v>
      </c>
    </row>
    <row r="2927" spans="1:3" x14ac:dyDescent="0.25">
      <c r="A2927" s="115">
        <v>3796712</v>
      </c>
      <c r="B2927" s="115" t="s">
        <v>2797</v>
      </c>
      <c r="C2927" s="117">
        <v>313.61</v>
      </c>
    </row>
    <row r="2928" spans="1:3" x14ac:dyDescent="0.25">
      <c r="A2928" s="115">
        <v>3796710</v>
      </c>
      <c r="B2928" s="115" t="s">
        <v>2798</v>
      </c>
      <c r="C2928" s="117">
        <v>234.42</v>
      </c>
    </row>
    <row r="2929" spans="1:3" x14ac:dyDescent="0.25">
      <c r="A2929" s="115">
        <v>3796722</v>
      </c>
      <c r="B2929" s="115" t="s">
        <v>2799</v>
      </c>
      <c r="C2929" s="117">
        <v>737.67</v>
      </c>
    </row>
    <row r="2930" spans="1:3" x14ac:dyDescent="0.25">
      <c r="A2930" s="115">
        <v>3796702</v>
      </c>
      <c r="B2930" s="115" t="s">
        <v>2800</v>
      </c>
      <c r="C2930" s="117">
        <v>131.4</v>
      </c>
    </row>
    <row r="2931" spans="1:3" x14ac:dyDescent="0.25">
      <c r="A2931" s="115">
        <v>3671500</v>
      </c>
      <c r="B2931" s="115" t="s">
        <v>2801</v>
      </c>
      <c r="C2931" s="117">
        <v>1534.33</v>
      </c>
    </row>
    <row r="2932" spans="1:3" x14ac:dyDescent="0.25">
      <c r="A2932" s="144" t="s">
        <v>2802</v>
      </c>
      <c r="B2932" s="145"/>
      <c r="C2932" s="145"/>
    </row>
    <row r="2933" spans="1:3" x14ac:dyDescent="0.25">
      <c r="A2933" s="115">
        <v>3361506</v>
      </c>
      <c r="B2933" s="115" t="s">
        <v>2803</v>
      </c>
      <c r="C2933" s="117">
        <v>6404.39</v>
      </c>
    </row>
    <row r="2934" spans="1:3" x14ac:dyDescent="0.25">
      <c r="A2934" s="115">
        <v>3361503</v>
      </c>
      <c r="B2934" s="115" t="s">
        <v>2804</v>
      </c>
      <c r="C2934" s="117">
        <v>5433.46</v>
      </c>
    </row>
    <row r="2935" spans="1:3" x14ac:dyDescent="0.25">
      <c r="A2935" s="115">
        <v>3361504</v>
      </c>
      <c r="B2935" s="115" t="s">
        <v>2805</v>
      </c>
      <c r="C2935" s="117">
        <v>10134.700000000001</v>
      </c>
    </row>
    <row r="2936" spans="1:3" x14ac:dyDescent="0.25">
      <c r="A2936" s="115">
        <v>3361505</v>
      </c>
      <c r="B2936" s="115" t="s">
        <v>2806</v>
      </c>
      <c r="C2936" s="117">
        <v>3668.75</v>
      </c>
    </row>
    <row r="2937" spans="1:3" x14ac:dyDescent="0.25">
      <c r="A2937" s="115">
        <v>3361508</v>
      </c>
      <c r="B2937" s="115" t="s">
        <v>2807</v>
      </c>
      <c r="C2937" s="117">
        <v>4989.59</v>
      </c>
    </row>
    <row r="2938" spans="1:3" x14ac:dyDescent="0.25">
      <c r="A2938" s="115">
        <v>3361507</v>
      </c>
      <c r="B2938" s="115" t="s">
        <v>2808</v>
      </c>
      <c r="C2938" s="117">
        <v>6523.17</v>
      </c>
    </row>
    <row r="2939" spans="1:3" x14ac:dyDescent="0.25">
      <c r="A2939" s="115">
        <v>3361100</v>
      </c>
      <c r="B2939" s="115" t="s">
        <v>2809</v>
      </c>
      <c r="C2939" s="117">
        <v>321.77999999999997</v>
      </c>
    </row>
    <row r="2940" spans="1:3" x14ac:dyDescent="0.25">
      <c r="A2940" s="115">
        <v>3362012</v>
      </c>
      <c r="B2940" s="115" t="s">
        <v>2810</v>
      </c>
      <c r="C2940" s="117">
        <v>7111.79</v>
      </c>
    </row>
    <row r="2941" spans="1:3" x14ac:dyDescent="0.25">
      <c r="A2941" s="115">
        <v>3362002</v>
      </c>
      <c r="B2941" s="115" t="s">
        <v>12331</v>
      </c>
      <c r="C2941" s="117">
        <v>1926.72</v>
      </c>
    </row>
    <row r="2942" spans="1:3" x14ac:dyDescent="0.25">
      <c r="A2942" s="115">
        <v>3362003</v>
      </c>
      <c r="B2942" s="115" t="s">
        <v>12332</v>
      </c>
      <c r="C2942" s="117">
        <v>2427.84</v>
      </c>
    </row>
    <row r="2943" spans="1:3" x14ac:dyDescent="0.25">
      <c r="A2943" s="115">
        <v>3362005</v>
      </c>
      <c r="B2943" s="115" t="s">
        <v>12333</v>
      </c>
      <c r="C2943" s="117">
        <v>3141.71</v>
      </c>
    </row>
    <row r="2944" spans="1:3" x14ac:dyDescent="0.25">
      <c r="A2944" s="115">
        <v>3362009</v>
      </c>
      <c r="B2944" s="115" t="s">
        <v>12334</v>
      </c>
      <c r="C2944" s="117">
        <v>5558.75</v>
      </c>
    </row>
    <row r="2945" spans="1:3" x14ac:dyDescent="0.25">
      <c r="A2945" s="115">
        <v>3360506</v>
      </c>
      <c r="B2945" s="115" t="s">
        <v>2811</v>
      </c>
      <c r="C2945" s="117">
        <v>1697.76</v>
      </c>
    </row>
    <row r="2946" spans="1:3" x14ac:dyDescent="0.25">
      <c r="A2946" s="115">
        <v>3360508</v>
      </c>
      <c r="B2946" s="115" t="s">
        <v>2812</v>
      </c>
      <c r="C2946" s="117">
        <v>1845.72</v>
      </c>
    </row>
    <row r="2947" spans="1:3" x14ac:dyDescent="0.25">
      <c r="A2947" s="115">
        <v>3360509</v>
      </c>
      <c r="B2947" s="115" t="s">
        <v>12335</v>
      </c>
      <c r="C2947" s="117">
        <v>1885.68</v>
      </c>
    </row>
    <row r="2948" spans="1:3" x14ac:dyDescent="0.25">
      <c r="A2948" s="115">
        <v>3360510</v>
      </c>
      <c r="B2948" s="115" t="s">
        <v>2813</v>
      </c>
      <c r="C2948" s="117">
        <v>2465.64</v>
      </c>
    </row>
    <row r="2949" spans="1:3" x14ac:dyDescent="0.25">
      <c r="A2949" s="115">
        <v>3360524</v>
      </c>
      <c r="B2949" s="115" t="s">
        <v>12336</v>
      </c>
      <c r="C2949" s="117">
        <v>2831.75</v>
      </c>
    </row>
    <row r="2950" spans="1:3" x14ac:dyDescent="0.25">
      <c r="A2950" s="115">
        <v>3360525</v>
      </c>
      <c r="B2950" s="115" t="s">
        <v>12337</v>
      </c>
      <c r="C2950" s="117">
        <v>3813.47</v>
      </c>
    </row>
    <row r="2951" spans="1:3" x14ac:dyDescent="0.25">
      <c r="A2951" s="115">
        <v>3360527</v>
      </c>
      <c r="B2951" s="115" t="s">
        <v>11918</v>
      </c>
      <c r="C2951" s="117">
        <v>4242.2299999999996</v>
      </c>
    </row>
    <row r="2952" spans="1:3" x14ac:dyDescent="0.25">
      <c r="A2952" s="115">
        <v>3362100</v>
      </c>
      <c r="B2952" s="115" t="s">
        <v>2814</v>
      </c>
      <c r="C2952" s="117">
        <v>2.5499999999999998</v>
      </c>
    </row>
    <row r="2953" spans="1:3" x14ac:dyDescent="0.25">
      <c r="A2953" s="115">
        <v>3362300</v>
      </c>
      <c r="B2953" s="115" t="s">
        <v>2815</v>
      </c>
      <c r="C2953" s="117">
        <v>6.11</v>
      </c>
    </row>
    <row r="2954" spans="1:3" x14ac:dyDescent="0.25">
      <c r="A2954" s="115">
        <v>3360530</v>
      </c>
      <c r="B2954" s="115" t="s">
        <v>12338</v>
      </c>
      <c r="C2954" s="117">
        <v>1602.72</v>
      </c>
    </row>
    <row r="2955" spans="1:3" x14ac:dyDescent="0.25">
      <c r="A2955" s="115">
        <v>3360534</v>
      </c>
      <c r="B2955" s="115" t="s">
        <v>12339</v>
      </c>
      <c r="C2955" s="117">
        <v>1602.72</v>
      </c>
    </row>
    <row r="2956" spans="1:3" x14ac:dyDescent="0.25">
      <c r="A2956" s="144" t="s">
        <v>2816</v>
      </c>
      <c r="B2956" s="145"/>
      <c r="C2956" s="145"/>
    </row>
    <row r="2957" spans="1:3" x14ac:dyDescent="0.25">
      <c r="A2957" s="115">
        <v>3101601</v>
      </c>
      <c r="B2957" s="115" t="s">
        <v>12340</v>
      </c>
      <c r="C2957" s="117">
        <v>7202.48</v>
      </c>
    </row>
    <row r="2958" spans="1:3" x14ac:dyDescent="0.25">
      <c r="A2958" s="115">
        <v>3100315</v>
      </c>
      <c r="B2958" s="115" t="s">
        <v>2817</v>
      </c>
      <c r="C2958" s="117">
        <v>2965.85</v>
      </c>
    </row>
    <row r="2959" spans="1:3" x14ac:dyDescent="0.25">
      <c r="A2959" s="115">
        <v>3100230</v>
      </c>
      <c r="B2959" s="115" t="s">
        <v>2818</v>
      </c>
      <c r="C2959" s="117">
        <v>767.62</v>
      </c>
    </row>
    <row r="2960" spans="1:3" x14ac:dyDescent="0.25">
      <c r="A2960" s="115">
        <v>3101600</v>
      </c>
      <c r="B2960" s="115" t="s">
        <v>2819</v>
      </c>
      <c r="C2960" s="117">
        <v>9015.73</v>
      </c>
    </row>
    <row r="2961" spans="1:3" x14ac:dyDescent="0.25">
      <c r="A2961" s="115">
        <v>3101000</v>
      </c>
      <c r="B2961" s="115" t="s">
        <v>12341</v>
      </c>
      <c r="C2961" s="117">
        <v>579.54</v>
      </c>
    </row>
    <row r="2962" spans="1:3" x14ac:dyDescent="0.25">
      <c r="A2962" s="115">
        <v>3101200</v>
      </c>
      <c r="B2962" s="115" t="s">
        <v>2820</v>
      </c>
      <c r="C2962" s="117">
        <v>1199.8</v>
      </c>
    </row>
    <row r="2963" spans="1:3" x14ac:dyDescent="0.25">
      <c r="A2963" s="115">
        <v>3101500</v>
      </c>
      <c r="B2963" s="115" t="s">
        <v>2821</v>
      </c>
      <c r="C2963" s="117">
        <v>9903.14</v>
      </c>
    </row>
    <row r="2964" spans="1:3" x14ac:dyDescent="0.25">
      <c r="A2964" s="115">
        <v>3101300</v>
      </c>
      <c r="B2964" s="115" t="s">
        <v>2822</v>
      </c>
      <c r="C2964" s="117">
        <v>2754.09</v>
      </c>
    </row>
    <row r="2965" spans="1:3" x14ac:dyDescent="0.25">
      <c r="A2965" s="115">
        <v>3101400</v>
      </c>
      <c r="B2965" s="115" t="s">
        <v>2823</v>
      </c>
      <c r="C2965" s="117">
        <v>5290.85</v>
      </c>
    </row>
    <row r="2966" spans="1:3" x14ac:dyDescent="0.25">
      <c r="A2966" s="115">
        <v>3101100</v>
      </c>
      <c r="B2966" s="115" t="s">
        <v>2824</v>
      </c>
      <c r="C2966" s="117">
        <v>723.89</v>
      </c>
    </row>
    <row r="2967" spans="1:3" x14ac:dyDescent="0.25">
      <c r="A2967" s="115">
        <v>3105103</v>
      </c>
      <c r="B2967" s="115" t="s">
        <v>2825</v>
      </c>
      <c r="C2967" s="117">
        <v>1156.29</v>
      </c>
    </row>
    <row r="2968" spans="1:3" x14ac:dyDescent="0.25">
      <c r="A2968" s="115">
        <v>3102100</v>
      </c>
      <c r="B2968" s="115" t="s">
        <v>2826</v>
      </c>
      <c r="C2968" s="117">
        <v>1285.28</v>
      </c>
    </row>
    <row r="2969" spans="1:3" x14ac:dyDescent="0.25">
      <c r="A2969" s="115">
        <v>3101900</v>
      </c>
      <c r="B2969" s="115" t="s">
        <v>2827</v>
      </c>
      <c r="C2969" s="117">
        <v>537.33000000000004</v>
      </c>
    </row>
    <row r="2970" spans="1:3" x14ac:dyDescent="0.25">
      <c r="A2970" s="115">
        <v>3101960</v>
      </c>
      <c r="B2970" s="115" t="s">
        <v>2828</v>
      </c>
      <c r="C2970" s="117">
        <v>1318.39</v>
      </c>
    </row>
    <row r="2971" spans="1:3" x14ac:dyDescent="0.25">
      <c r="A2971" s="144" t="s">
        <v>2829</v>
      </c>
      <c r="B2971" s="145"/>
      <c r="C2971" s="145"/>
    </row>
    <row r="2972" spans="1:3" x14ac:dyDescent="0.25">
      <c r="A2972" s="115">
        <v>3261455</v>
      </c>
      <c r="B2972" s="115" t="s">
        <v>2830</v>
      </c>
      <c r="C2972" s="117">
        <v>1984.91</v>
      </c>
    </row>
    <row r="2973" spans="1:3" x14ac:dyDescent="0.25">
      <c r="A2973" s="115">
        <v>3261454</v>
      </c>
      <c r="B2973" s="115" t="s">
        <v>2831</v>
      </c>
      <c r="C2973" s="117">
        <v>1046.0999999999999</v>
      </c>
    </row>
    <row r="2974" spans="1:3" x14ac:dyDescent="0.25">
      <c r="A2974" s="115">
        <v>3261767</v>
      </c>
      <c r="B2974" s="115" t="s">
        <v>2832</v>
      </c>
      <c r="C2974" s="117">
        <v>1173.76</v>
      </c>
    </row>
    <row r="2975" spans="1:3" x14ac:dyDescent="0.25">
      <c r="A2975" s="115">
        <v>3261787</v>
      </c>
      <c r="B2975" s="115" t="s">
        <v>2833</v>
      </c>
      <c r="C2975" s="117">
        <v>1173.76</v>
      </c>
    </row>
    <row r="2976" spans="1:3" x14ac:dyDescent="0.25">
      <c r="A2976" s="115">
        <v>3260900</v>
      </c>
      <c r="B2976" s="115" t="s">
        <v>2834</v>
      </c>
      <c r="C2976" s="117">
        <v>2386.94</v>
      </c>
    </row>
    <row r="2977" spans="1:3" x14ac:dyDescent="0.25">
      <c r="A2977" s="115">
        <v>3261612</v>
      </c>
      <c r="B2977" s="115" t="s">
        <v>2835</v>
      </c>
      <c r="C2977" s="117">
        <v>794.59</v>
      </c>
    </row>
    <row r="2978" spans="1:3" x14ac:dyDescent="0.25">
      <c r="A2978" s="115">
        <v>3261618</v>
      </c>
      <c r="B2978" s="115" t="s">
        <v>2836</v>
      </c>
      <c r="C2978" s="117">
        <v>1243.29</v>
      </c>
    </row>
    <row r="2979" spans="1:3" x14ac:dyDescent="0.25">
      <c r="A2979" s="115">
        <v>3261624</v>
      </c>
      <c r="B2979" s="115" t="s">
        <v>2837</v>
      </c>
      <c r="C2979" s="117">
        <v>1657.72</v>
      </c>
    </row>
    <row r="2980" spans="1:3" x14ac:dyDescent="0.25">
      <c r="A2980" s="115">
        <v>3261636</v>
      </c>
      <c r="B2980" s="115" t="s">
        <v>2838</v>
      </c>
      <c r="C2980" s="117">
        <v>2486.58</v>
      </c>
    </row>
    <row r="2981" spans="1:3" x14ac:dyDescent="0.25">
      <c r="A2981" s="115">
        <v>3261648</v>
      </c>
      <c r="B2981" s="115" t="s">
        <v>2839</v>
      </c>
      <c r="C2981" s="117">
        <v>3315.44</v>
      </c>
    </row>
    <row r="2982" spans="1:3" x14ac:dyDescent="0.25">
      <c r="A2982" s="115">
        <v>3261230</v>
      </c>
      <c r="B2982" s="115" t="s">
        <v>2840</v>
      </c>
      <c r="C2982" s="117">
        <v>360.37</v>
      </c>
    </row>
    <row r="2983" spans="1:3" x14ac:dyDescent="0.25">
      <c r="A2983" s="115">
        <v>3261260</v>
      </c>
      <c r="B2983" s="115" t="s">
        <v>2841</v>
      </c>
      <c r="C2983" s="117">
        <v>657.68</v>
      </c>
    </row>
    <row r="2984" spans="1:3" x14ac:dyDescent="0.25">
      <c r="A2984" s="115">
        <v>3261210</v>
      </c>
      <c r="B2984" s="115" t="s">
        <v>2842</v>
      </c>
      <c r="C2984" s="117">
        <v>179.55</v>
      </c>
    </row>
    <row r="2985" spans="1:3" x14ac:dyDescent="0.25">
      <c r="A2985" s="115">
        <v>3262825</v>
      </c>
      <c r="B2985" s="115" t="s">
        <v>2843</v>
      </c>
      <c r="C2985" s="117">
        <v>477.5</v>
      </c>
    </row>
    <row r="2986" spans="1:3" x14ac:dyDescent="0.25">
      <c r="A2986" s="115">
        <v>3261300</v>
      </c>
      <c r="B2986" s="115" t="s">
        <v>2844</v>
      </c>
      <c r="C2986" s="117">
        <v>648.66999999999996</v>
      </c>
    </row>
    <row r="2987" spans="1:3" x14ac:dyDescent="0.25">
      <c r="A2987" s="115">
        <v>3261725</v>
      </c>
      <c r="B2987" s="115" t="s">
        <v>2845</v>
      </c>
      <c r="C2987" s="117">
        <v>1765.83</v>
      </c>
    </row>
    <row r="2988" spans="1:3" x14ac:dyDescent="0.25">
      <c r="A2988" s="115">
        <v>3261900</v>
      </c>
      <c r="B2988" s="115" t="s">
        <v>2846</v>
      </c>
      <c r="C2988" s="117">
        <v>1225.27</v>
      </c>
    </row>
    <row r="2989" spans="1:3" x14ac:dyDescent="0.25">
      <c r="A2989" s="115">
        <v>3261918</v>
      </c>
      <c r="B2989" s="115" t="s">
        <v>2847</v>
      </c>
      <c r="C2989" s="117">
        <v>3297.42</v>
      </c>
    </row>
    <row r="2990" spans="1:3" x14ac:dyDescent="0.25">
      <c r="A2990" s="115">
        <v>3261924</v>
      </c>
      <c r="B2990" s="115" t="s">
        <v>2848</v>
      </c>
      <c r="C2990" s="117">
        <v>4396.57</v>
      </c>
    </row>
    <row r="2991" spans="1:3" x14ac:dyDescent="0.25">
      <c r="A2991" s="115">
        <v>3262130</v>
      </c>
      <c r="B2991" s="115" t="s">
        <v>2849</v>
      </c>
      <c r="C2991" s="117">
        <v>1207.25</v>
      </c>
    </row>
    <row r="2992" spans="1:3" x14ac:dyDescent="0.25">
      <c r="A2992" s="115">
        <v>3261619</v>
      </c>
      <c r="B2992" s="115" t="s">
        <v>2850</v>
      </c>
      <c r="C2992" s="117">
        <v>639.66</v>
      </c>
    </row>
    <row r="2993" spans="1:3" x14ac:dyDescent="0.25">
      <c r="A2993" s="115">
        <v>3262518</v>
      </c>
      <c r="B2993" s="115" t="s">
        <v>11919</v>
      </c>
      <c r="C2993" s="117">
        <v>743.64</v>
      </c>
    </row>
    <row r="2994" spans="1:3" x14ac:dyDescent="0.25">
      <c r="A2994" s="115">
        <v>3260499</v>
      </c>
      <c r="B2994" s="115" t="s">
        <v>2851</v>
      </c>
      <c r="C2994" s="117">
        <v>1498.58</v>
      </c>
    </row>
    <row r="2995" spans="1:3" x14ac:dyDescent="0.25">
      <c r="A2995" s="115">
        <v>3260426</v>
      </c>
      <c r="B2995" s="115" t="s">
        <v>2852</v>
      </c>
      <c r="C2995" s="117">
        <v>699.34</v>
      </c>
    </row>
    <row r="2996" spans="1:3" x14ac:dyDescent="0.25">
      <c r="A2996" s="115">
        <v>3260429</v>
      </c>
      <c r="B2996" s="115" t="s">
        <v>2853</v>
      </c>
      <c r="C2996" s="117">
        <v>699.34</v>
      </c>
    </row>
    <row r="2997" spans="1:3" x14ac:dyDescent="0.25">
      <c r="A2997" s="115">
        <v>3260425</v>
      </c>
      <c r="B2997" s="115" t="s">
        <v>2854</v>
      </c>
      <c r="C2997" s="117">
        <v>699.34</v>
      </c>
    </row>
    <row r="2998" spans="1:3" x14ac:dyDescent="0.25">
      <c r="A2998" s="115">
        <v>3260462</v>
      </c>
      <c r="B2998" s="115" t="s">
        <v>2855</v>
      </c>
      <c r="C2998" s="117">
        <v>699.34</v>
      </c>
    </row>
    <row r="2999" spans="1:3" x14ac:dyDescent="0.25">
      <c r="A2999" s="115">
        <v>3260476</v>
      </c>
      <c r="B2999" s="115" t="s">
        <v>2856</v>
      </c>
      <c r="C2999" s="117">
        <v>699.34</v>
      </c>
    </row>
    <row r="3000" spans="1:3" x14ac:dyDescent="0.25">
      <c r="A3000" s="115">
        <v>3260483</v>
      </c>
      <c r="B3000" s="115" t="s">
        <v>2857</v>
      </c>
      <c r="C3000" s="117">
        <v>699.34</v>
      </c>
    </row>
    <row r="3001" spans="1:3" x14ac:dyDescent="0.25">
      <c r="A3001" s="115">
        <v>3260312</v>
      </c>
      <c r="B3001" s="115" t="s">
        <v>2858</v>
      </c>
      <c r="C3001" s="117">
        <v>1421.72</v>
      </c>
    </row>
    <row r="3002" spans="1:3" x14ac:dyDescent="0.25">
      <c r="A3002" s="115">
        <v>3260318</v>
      </c>
      <c r="B3002" s="115" t="s">
        <v>2859</v>
      </c>
      <c r="C3002" s="117">
        <v>2131.96</v>
      </c>
    </row>
    <row r="3003" spans="1:3" x14ac:dyDescent="0.25">
      <c r="A3003" s="115">
        <v>3260324</v>
      </c>
      <c r="B3003" s="115" t="s">
        <v>2860</v>
      </c>
      <c r="C3003" s="117">
        <v>2847.1</v>
      </c>
    </row>
    <row r="3004" spans="1:3" x14ac:dyDescent="0.25">
      <c r="A3004" s="115">
        <v>3260336</v>
      </c>
      <c r="B3004" s="115" t="s">
        <v>2861</v>
      </c>
      <c r="C3004" s="117">
        <v>4263.91</v>
      </c>
    </row>
    <row r="3005" spans="1:3" x14ac:dyDescent="0.25">
      <c r="A3005" s="115">
        <v>3260348</v>
      </c>
      <c r="B3005" s="115" t="s">
        <v>2862</v>
      </c>
      <c r="C3005" s="117">
        <v>5694.22</v>
      </c>
    </row>
    <row r="3006" spans="1:3" x14ac:dyDescent="0.25">
      <c r="A3006" s="115">
        <v>3260424</v>
      </c>
      <c r="B3006" s="115" t="s">
        <v>2863</v>
      </c>
      <c r="C3006" s="117">
        <v>765.94</v>
      </c>
    </row>
    <row r="3007" spans="1:3" x14ac:dyDescent="0.25">
      <c r="A3007" s="115">
        <v>3260400</v>
      </c>
      <c r="B3007" s="115" t="s">
        <v>2864</v>
      </c>
      <c r="C3007" s="117">
        <v>673.17</v>
      </c>
    </row>
    <row r="3008" spans="1:3" x14ac:dyDescent="0.25">
      <c r="A3008" s="115">
        <v>3980104</v>
      </c>
      <c r="B3008" s="115" t="s">
        <v>12342</v>
      </c>
      <c r="C3008" s="117">
        <v>13341.85</v>
      </c>
    </row>
    <row r="3009" spans="1:3" x14ac:dyDescent="0.25">
      <c r="A3009" s="115">
        <v>3981300</v>
      </c>
      <c r="B3009" s="115" t="s">
        <v>2865</v>
      </c>
      <c r="C3009" s="117">
        <v>1085.68</v>
      </c>
    </row>
    <row r="3010" spans="1:3" x14ac:dyDescent="0.25">
      <c r="A3010" s="115">
        <v>3984401</v>
      </c>
      <c r="B3010" s="115" t="s">
        <v>2866</v>
      </c>
      <c r="C3010" s="117">
        <v>2167.61</v>
      </c>
    </row>
    <row r="3011" spans="1:3" x14ac:dyDescent="0.25">
      <c r="A3011" s="115">
        <v>3984403</v>
      </c>
      <c r="B3011" s="115" t="s">
        <v>2867</v>
      </c>
      <c r="C3011" s="117">
        <v>5992.55</v>
      </c>
    </row>
    <row r="3012" spans="1:3" x14ac:dyDescent="0.25">
      <c r="A3012" s="115">
        <v>3984402</v>
      </c>
      <c r="B3012" s="115" t="s">
        <v>2868</v>
      </c>
      <c r="C3012" s="117">
        <v>3042.9</v>
      </c>
    </row>
    <row r="3013" spans="1:3" x14ac:dyDescent="0.25">
      <c r="A3013" s="115">
        <v>3981302</v>
      </c>
      <c r="B3013" s="115" t="s">
        <v>2869</v>
      </c>
      <c r="C3013" s="117">
        <v>243.51</v>
      </c>
    </row>
    <row r="3014" spans="1:3" x14ac:dyDescent="0.25">
      <c r="A3014" s="115">
        <v>3981303</v>
      </c>
      <c r="B3014" s="115" t="s">
        <v>2870</v>
      </c>
      <c r="C3014" s="117">
        <v>1302.82</v>
      </c>
    </row>
    <row r="3015" spans="1:3" x14ac:dyDescent="0.25">
      <c r="A3015" s="115">
        <v>3984800</v>
      </c>
      <c r="B3015" s="115" t="s">
        <v>2871</v>
      </c>
      <c r="C3015" s="117">
        <v>2605.66</v>
      </c>
    </row>
    <row r="3016" spans="1:3" x14ac:dyDescent="0.25">
      <c r="A3016" s="115">
        <v>3980501</v>
      </c>
      <c r="B3016" s="115" t="s">
        <v>2872</v>
      </c>
      <c r="C3016" s="117">
        <v>4152.87</v>
      </c>
    </row>
    <row r="3017" spans="1:3" x14ac:dyDescent="0.25">
      <c r="A3017" s="115">
        <v>3983831</v>
      </c>
      <c r="B3017" s="115" t="s">
        <v>2873</v>
      </c>
      <c r="C3017" s="117">
        <v>2905.97</v>
      </c>
    </row>
    <row r="3018" spans="1:3" x14ac:dyDescent="0.25">
      <c r="A3018" s="115">
        <v>3983830</v>
      </c>
      <c r="B3018" s="115" t="s">
        <v>2874</v>
      </c>
      <c r="C3018" s="117">
        <v>3589.72</v>
      </c>
    </row>
    <row r="3019" spans="1:3" x14ac:dyDescent="0.25">
      <c r="A3019" s="115">
        <v>3265101</v>
      </c>
      <c r="B3019" s="115" t="s">
        <v>2875</v>
      </c>
      <c r="C3019" s="117">
        <v>1079.2</v>
      </c>
    </row>
    <row r="3020" spans="1:3" x14ac:dyDescent="0.25">
      <c r="A3020" s="115">
        <v>3265110</v>
      </c>
      <c r="B3020" s="115" t="s">
        <v>2876</v>
      </c>
      <c r="C3020" s="117">
        <v>1416.66</v>
      </c>
    </row>
    <row r="3021" spans="1:3" x14ac:dyDescent="0.25">
      <c r="A3021" s="115">
        <v>3265100</v>
      </c>
      <c r="B3021" s="115" t="s">
        <v>2877</v>
      </c>
      <c r="C3021" s="117">
        <v>2542.11</v>
      </c>
    </row>
    <row r="3022" spans="1:3" x14ac:dyDescent="0.25">
      <c r="A3022" s="144" t="s">
        <v>2878</v>
      </c>
      <c r="B3022" s="145"/>
      <c r="C3022" s="145"/>
    </row>
    <row r="3023" spans="1:3" x14ac:dyDescent="0.25">
      <c r="A3023" s="115">
        <v>3030799</v>
      </c>
      <c r="B3023" s="115" t="s">
        <v>2879</v>
      </c>
      <c r="C3023" s="117">
        <v>5358.14</v>
      </c>
    </row>
    <row r="3024" spans="1:3" x14ac:dyDescent="0.25">
      <c r="A3024" s="115">
        <v>3030725</v>
      </c>
      <c r="B3024" s="115" t="s">
        <v>2880</v>
      </c>
      <c r="C3024" s="117">
        <v>1522.82</v>
      </c>
    </row>
    <row r="3025" spans="1:3" x14ac:dyDescent="0.25">
      <c r="A3025" s="115">
        <v>3030730</v>
      </c>
      <c r="B3025" s="115" t="s">
        <v>2881</v>
      </c>
      <c r="C3025" s="117">
        <v>400.28</v>
      </c>
    </row>
    <row r="3026" spans="1:3" x14ac:dyDescent="0.25">
      <c r="A3026" s="115">
        <v>3030750</v>
      </c>
      <c r="B3026" s="115" t="s">
        <v>2882</v>
      </c>
      <c r="C3026" s="117">
        <v>2579.92</v>
      </c>
    </row>
    <row r="3027" spans="1:3" x14ac:dyDescent="0.25">
      <c r="A3027" s="115">
        <v>3030705</v>
      </c>
      <c r="B3027" s="115" t="s">
        <v>2883</v>
      </c>
      <c r="C3027" s="117">
        <v>436.46</v>
      </c>
    </row>
    <row r="3028" spans="1:3" x14ac:dyDescent="0.25">
      <c r="A3028" s="115">
        <v>3030313</v>
      </c>
      <c r="B3028" s="115" t="s">
        <v>2884</v>
      </c>
      <c r="C3028" s="117">
        <v>1753.87</v>
      </c>
    </row>
    <row r="3029" spans="1:3" x14ac:dyDescent="0.25">
      <c r="A3029" s="115">
        <v>3030305</v>
      </c>
      <c r="B3029" s="115" t="s">
        <v>2885</v>
      </c>
      <c r="C3029" s="117">
        <v>2391.37</v>
      </c>
    </row>
    <row r="3030" spans="1:3" x14ac:dyDescent="0.25">
      <c r="A3030" s="115">
        <v>3030303</v>
      </c>
      <c r="B3030" s="115" t="s">
        <v>2886</v>
      </c>
      <c r="C3030" s="117">
        <v>1703.53</v>
      </c>
    </row>
    <row r="3031" spans="1:3" x14ac:dyDescent="0.25">
      <c r="A3031" s="115">
        <v>3034308</v>
      </c>
      <c r="B3031" s="115" t="s">
        <v>2887</v>
      </c>
      <c r="C3031" s="117">
        <v>477.65</v>
      </c>
    </row>
    <row r="3032" spans="1:3" x14ac:dyDescent="0.25">
      <c r="A3032" s="115">
        <v>3034321</v>
      </c>
      <c r="B3032" s="115" t="s">
        <v>2888</v>
      </c>
      <c r="C3032" s="117">
        <v>618.51</v>
      </c>
    </row>
    <row r="3033" spans="1:3" x14ac:dyDescent="0.25">
      <c r="A3033" s="115">
        <v>3034336</v>
      </c>
      <c r="B3033" s="115" t="s">
        <v>2889</v>
      </c>
      <c r="C3033" s="117">
        <v>852.82</v>
      </c>
    </row>
    <row r="3034" spans="1:3" x14ac:dyDescent="0.25">
      <c r="A3034" s="115">
        <v>3034021</v>
      </c>
      <c r="B3034" s="115" t="s">
        <v>2890</v>
      </c>
      <c r="C3034" s="117">
        <v>1222.93</v>
      </c>
    </row>
    <row r="3035" spans="1:3" x14ac:dyDescent="0.25">
      <c r="A3035" s="115">
        <v>3034040</v>
      </c>
      <c r="B3035" s="115" t="s">
        <v>2891</v>
      </c>
      <c r="C3035" s="117">
        <v>2033.48</v>
      </c>
    </row>
    <row r="3036" spans="1:3" x14ac:dyDescent="0.25">
      <c r="A3036" s="115">
        <v>3034008</v>
      </c>
      <c r="B3036" s="115" t="s">
        <v>2892</v>
      </c>
      <c r="C3036" s="117">
        <v>651.26</v>
      </c>
    </row>
    <row r="3037" spans="1:3" x14ac:dyDescent="0.25">
      <c r="A3037" s="115">
        <v>3034110</v>
      </c>
      <c r="B3037" s="115" t="s">
        <v>2893</v>
      </c>
      <c r="C3037" s="117">
        <v>1129.96</v>
      </c>
    </row>
    <row r="3038" spans="1:3" x14ac:dyDescent="0.25">
      <c r="A3038" s="115">
        <v>3034120</v>
      </c>
      <c r="B3038" s="115" t="s">
        <v>2894</v>
      </c>
      <c r="C3038" s="117">
        <v>1803.37</v>
      </c>
    </row>
    <row r="3039" spans="1:3" x14ac:dyDescent="0.25">
      <c r="A3039" s="115">
        <v>3034140</v>
      </c>
      <c r="B3039" s="115" t="s">
        <v>2895</v>
      </c>
      <c r="C3039" s="117">
        <v>2644.78</v>
      </c>
    </row>
    <row r="3040" spans="1:3" x14ac:dyDescent="0.25">
      <c r="A3040" s="115">
        <v>3574525</v>
      </c>
      <c r="B3040" s="115" t="s">
        <v>2896</v>
      </c>
      <c r="C3040" s="117">
        <v>2505.1799999999998</v>
      </c>
    </row>
    <row r="3041" spans="1:3" x14ac:dyDescent="0.25">
      <c r="A3041" s="115">
        <v>3576000</v>
      </c>
      <c r="B3041" s="115" t="s">
        <v>2897</v>
      </c>
      <c r="C3041" s="117">
        <v>3444.42</v>
      </c>
    </row>
    <row r="3042" spans="1:3" x14ac:dyDescent="0.25">
      <c r="A3042" s="115">
        <v>3036111</v>
      </c>
      <c r="B3042" s="115" t="s">
        <v>2898</v>
      </c>
      <c r="C3042" s="117">
        <v>2278.0100000000002</v>
      </c>
    </row>
    <row r="3043" spans="1:3" x14ac:dyDescent="0.25">
      <c r="A3043" s="115">
        <v>3035552</v>
      </c>
      <c r="B3043" s="115" t="s">
        <v>2899</v>
      </c>
      <c r="C3043" s="117">
        <v>1729.77</v>
      </c>
    </row>
    <row r="3044" spans="1:3" x14ac:dyDescent="0.25">
      <c r="A3044" s="115">
        <v>3035550</v>
      </c>
      <c r="B3044" s="115" t="s">
        <v>2900</v>
      </c>
      <c r="C3044" s="117">
        <v>698.71</v>
      </c>
    </row>
    <row r="3045" spans="1:3" x14ac:dyDescent="0.25">
      <c r="A3045" s="115">
        <v>3035551</v>
      </c>
      <c r="B3045" s="115" t="s">
        <v>2901</v>
      </c>
      <c r="C3045" s="117">
        <v>1355.88</v>
      </c>
    </row>
    <row r="3046" spans="1:3" x14ac:dyDescent="0.25">
      <c r="A3046" s="115">
        <v>3030312</v>
      </c>
      <c r="B3046" s="115" t="s">
        <v>2902</v>
      </c>
      <c r="C3046" s="117">
        <v>14372.6</v>
      </c>
    </row>
    <row r="3047" spans="1:3" x14ac:dyDescent="0.25">
      <c r="A3047" s="115">
        <v>3030302</v>
      </c>
      <c r="B3047" s="115" t="s">
        <v>2903</v>
      </c>
      <c r="C3047" s="117">
        <v>1275.01</v>
      </c>
    </row>
    <row r="3048" spans="1:3" x14ac:dyDescent="0.25">
      <c r="A3048" s="115">
        <v>3030314</v>
      </c>
      <c r="B3048" s="115" t="s">
        <v>2904</v>
      </c>
      <c r="C3048" s="117">
        <v>8014.44</v>
      </c>
    </row>
    <row r="3049" spans="1:3" x14ac:dyDescent="0.25">
      <c r="A3049" s="115">
        <v>3575025</v>
      </c>
      <c r="B3049" s="115" t="s">
        <v>2905</v>
      </c>
      <c r="C3049" s="117">
        <v>3226.93</v>
      </c>
    </row>
    <row r="3050" spans="1:3" x14ac:dyDescent="0.25">
      <c r="A3050" s="115">
        <v>3575010</v>
      </c>
      <c r="B3050" s="115" t="s">
        <v>2906</v>
      </c>
      <c r="C3050" s="117">
        <v>2226.71</v>
      </c>
    </row>
    <row r="3051" spans="1:3" x14ac:dyDescent="0.25">
      <c r="A3051" s="115">
        <v>3575030</v>
      </c>
      <c r="B3051" s="115" t="s">
        <v>2907</v>
      </c>
      <c r="C3051" s="117">
        <v>878.65</v>
      </c>
    </row>
    <row r="3052" spans="1:3" x14ac:dyDescent="0.25">
      <c r="A3052" s="115">
        <v>3032098</v>
      </c>
      <c r="B3052" s="115" t="s">
        <v>2908</v>
      </c>
      <c r="C3052" s="117">
        <v>6494.87</v>
      </c>
    </row>
    <row r="3053" spans="1:3" x14ac:dyDescent="0.25">
      <c r="A3053" s="115">
        <v>3032012</v>
      </c>
      <c r="B3053" s="115" t="s">
        <v>2909</v>
      </c>
      <c r="C3053" s="117">
        <v>320.2</v>
      </c>
    </row>
    <row r="3054" spans="1:3" x14ac:dyDescent="0.25">
      <c r="A3054" s="115">
        <v>3032099</v>
      </c>
      <c r="B3054" s="115" t="s">
        <v>2910</v>
      </c>
      <c r="C3054" s="117">
        <v>6494.87</v>
      </c>
    </row>
    <row r="3055" spans="1:3" x14ac:dyDescent="0.25">
      <c r="A3055" s="115">
        <v>3032029</v>
      </c>
      <c r="B3055" s="115" t="s">
        <v>2911</v>
      </c>
      <c r="C3055" s="117">
        <v>1082.6600000000001</v>
      </c>
    </row>
    <row r="3056" spans="1:3" x14ac:dyDescent="0.25">
      <c r="A3056" s="115">
        <v>3032036</v>
      </c>
      <c r="B3056" s="115" t="s">
        <v>2912</v>
      </c>
      <c r="C3056" s="117">
        <v>1082.6600000000001</v>
      </c>
    </row>
    <row r="3057" spans="1:3" x14ac:dyDescent="0.25">
      <c r="A3057" s="115">
        <v>3032047</v>
      </c>
      <c r="B3057" s="115" t="s">
        <v>2913</v>
      </c>
      <c r="C3057" s="117">
        <v>1082.6600000000001</v>
      </c>
    </row>
    <row r="3058" spans="1:3" x14ac:dyDescent="0.25">
      <c r="A3058" s="115">
        <v>3032064</v>
      </c>
      <c r="B3058" s="115" t="s">
        <v>2914</v>
      </c>
      <c r="C3058" s="117">
        <v>1082.6600000000001</v>
      </c>
    </row>
    <row r="3059" spans="1:3" x14ac:dyDescent="0.25">
      <c r="A3059" s="115">
        <v>3032063</v>
      </c>
      <c r="B3059" s="115" t="s">
        <v>2915</v>
      </c>
      <c r="C3059" s="117">
        <v>1082.6600000000001</v>
      </c>
    </row>
    <row r="3060" spans="1:3" x14ac:dyDescent="0.25">
      <c r="A3060" s="115">
        <v>3032062</v>
      </c>
      <c r="B3060" s="115" t="s">
        <v>2916</v>
      </c>
      <c r="C3060" s="117">
        <v>1082.6600000000001</v>
      </c>
    </row>
    <row r="3061" spans="1:3" x14ac:dyDescent="0.25">
      <c r="A3061" s="115">
        <v>3032075</v>
      </c>
      <c r="B3061" s="115" t="s">
        <v>2917</v>
      </c>
      <c r="C3061" s="117">
        <v>1082.6600000000001</v>
      </c>
    </row>
    <row r="3062" spans="1:3" x14ac:dyDescent="0.25">
      <c r="A3062" s="115">
        <v>3032084</v>
      </c>
      <c r="B3062" s="115" t="s">
        <v>2918</v>
      </c>
      <c r="C3062" s="117">
        <v>1082.6600000000001</v>
      </c>
    </row>
    <row r="3063" spans="1:3" x14ac:dyDescent="0.25">
      <c r="A3063" s="115">
        <v>3032076</v>
      </c>
      <c r="B3063" s="115" t="s">
        <v>2919</v>
      </c>
      <c r="C3063" s="117">
        <v>1082.6600000000001</v>
      </c>
    </row>
    <row r="3064" spans="1:3" x14ac:dyDescent="0.25">
      <c r="A3064" s="115">
        <v>3032087</v>
      </c>
      <c r="B3064" s="115" t="s">
        <v>2920</v>
      </c>
      <c r="C3064" s="117">
        <v>1082.6600000000001</v>
      </c>
    </row>
    <row r="3065" spans="1:3" x14ac:dyDescent="0.25">
      <c r="A3065" s="115">
        <v>3032083</v>
      </c>
      <c r="B3065" s="115" t="s">
        <v>2921</v>
      </c>
      <c r="C3065" s="117">
        <v>1082.6600000000001</v>
      </c>
    </row>
    <row r="3066" spans="1:3" x14ac:dyDescent="0.25">
      <c r="A3066" s="115">
        <v>3032089</v>
      </c>
      <c r="B3066" s="115" t="s">
        <v>2922</v>
      </c>
      <c r="C3066" s="117">
        <v>174.8</v>
      </c>
    </row>
    <row r="3067" spans="1:3" x14ac:dyDescent="0.25">
      <c r="A3067" s="115">
        <v>3032100</v>
      </c>
      <c r="B3067" s="115" t="s">
        <v>2923</v>
      </c>
      <c r="C3067" s="117">
        <v>3842.44</v>
      </c>
    </row>
    <row r="3068" spans="1:3" x14ac:dyDescent="0.25">
      <c r="A3068" s="115">
        <v>3031884</v>
      </c>
      <c r="B3068" s="115" t="s">
        <v>11920</v>
      </c>
      <c r="C3068" s="117">
        <v>975.28</v>
      </c>
    </row>
    <row r="3069" spans="1:3" x14ac:dyDescent="0.25">
      <c r="A3069" s="115">
        <v>3031826</v>
      </c>
      <c r="B3069" s="115" t="s">
        <v>2924</v>
      </c>
      <c r="C3069" s="117">
        <v>975.28</v>
      </c>
    </row>
    <row r="3070" spans="1:3" x14ac:dyDescent="0.25">
      <c r="A3070" s="115">
        <v>3031829</v>
      </c>
      <c r="B3070" s="115" t="s">
        <v>2925</v>
      </c>
      <c r="C3070" s="117">
        <v>975.28</v>
      </c>
    </row>
    <row r="3071" spans="1:3" x14ac:dyDescent="0.25">
      <c r="A3071" s="115">
        <v>3031825</v>
      </c>
      <c r="B3071" s="115" t="s">
        <v>2926</v>
      </c>
      <c r="C3071" s="117">
        <v>975.28</v>
      </c>
    </row>
    <row r="3072" spans="1:3" x14ac:dyDescent="0.25">
      <c r="A3072" s="115">
        <v>3031823</v>
      </c>
      <c r="B3072" s="115" t="s">
        <v>2927</v>
      </c>
      <c r="C3072" s="117">
        <v>975.28</v>
      </c>
    </row>
    <row r="3073" spans="1:3" x14ac:dyDescent="0.25">
      <c r="A3073" s="115">
        <v>3031863</v>
      </c>
      <c r="B3073" s="115" t="s">
        <v>2928</v>
      </c>
      <c r="C3073" s="117">
        <v>975.28</v>
      </c>
    </row>
    <row r="3074" spans="1:3" x14ac:dyDescent="0.25">
      <c r="A3074" s="115">
        <v>3031862</v>
      </c>
      <c r="B3074" s="115" t="s">
        <v>2929</v>
      </c>
      <c r="C3074" s="117">
        <v>975.28</v>
      </c>
    </row>
    <row r="3075" spans="1:3" x14ac:dyDescent="0.25">
      <c r="A3075" s="115">
        <v>3031876</v>
      </c>
      <c r="B3075" s="115" t="s">
        <v>2930</v>
      </c>
      <c r="C3075" s="117">
        <v>975.28</v>
      </c>
    </row>
    <row r="3076" spans="1:3" x14ac:dyDescent="0.25">
      <c r="A3076" s="115">
        <v>3031883</v>
      </c>
      <c r="B3076" s="115" t="s">
        <v>2931</v>
      </c>
      <c r="C3076" s="117">
        <v>975.28</v>
      </c>
    </row>
    <row r="3077" spans="1:3" x14ac:dyDescent="0.25">
      <c r="A3077" s="115">
        <v>3031811</v>
      </c>
      <c r="B3077" s="115" t="s">
        <v>2932</v>
      </c>
      <c r="C3077" s="117">
        <v>975.22</v>
      </c>
    </row>
    <row r="3078" spans="1:3" x14ac:dyDescent="0.25">
      <c r="A3078" s="115">
        <v>3031812</v>
      </c>
      <c r="B3078" s="115" t="s">
        <v>2933</v>
      </c>
      <c r="C3078" s="117">
        <v>975.22</v>
      </c>
    </row>
    <row r="3079" spans="1:3" x14ac:dyDescent="0.25">
      <c r="A3079" s="115">
        <v>3031912</v>
      </c>
      <c r="B3079" s="115" t="s">
        <v>11921</v>
      </c>
      <c r="C3079" s="117">
        <v>1082.6099999999999</v>
      </c>
    </row>
    <row r="3080" spans="1:3" x14ac:dyDescent="0.25">
      <c r="A3080" s="115">
        <v>3031926</v>
      </c>
      <c r="B3080" s="115" t="s">
        <v>2934</v>
      </c>
      <c r="C3080" s="117">
        <v>1082.6600000000001</v>
      </c>
    </row>
    <row r="3081" spans="1:3" x14ac:dyDescent="0.25">
      <c r="A3081" s="115">
        <v>3031929</v>
      </c>
      <c r="B3081" s="115" t="s">
        <v>2935</v>
      </c>
      <c r="C3081" s="117">
        <v>1082.6600000000001</v>
      </c>
    </row>
    <row r="3082" spans="1:3" x14ac:dyDescent="0.25">
      <c r="A3082" s="115">
        <v>3031962</v>
      </c>
      <c r="B3082" s="115" t="s">
        <v>2936</v>
      </c>
      <c r="C3082" s="117">
        <v>1082.6600000000001</v>
      </c>
    </row>
    <row r="3083" spans="1:3" x14ac:dyDescent="0.25">
      <c r="A3083" s="115">
        <v>3031977</v>
      </c>
      <c r="B3083" s="115" t="s">
        <v>2937</v>
      </c>
      <c r="C3083" s="117">
        <v>1082.6600000000001</v>
      </c>
    </row>
    <row r="3084" spans="1:3" x14ac:dyDescent="0.25">
      <c r="A3084" s="115">
        <v>3031983</v>
      </c>
      <c r="B3084" s="115" t="s">
        <v>2938</v>
      </c>
      <c r="C3084" s="117">
        <v>1082.6600000000001</v>
      </c>
    </row>
    <row r="3085" spans="1:3" x14ac:dyDescent="0.25">
      <c r="A3085" s="115">
        <v>3031210</v>
      </c>
      <c r="B3085" s="115" t="s">
        <v>2939</v>
      </c>
      <c r="C3085" s="117">
        <v>1033.97</v>
      </c>
    </row>
    <row r="3086" spans="1:3" x14ac:dyDescent="0.25">
      <c r="A3086" s="115">
        <v>3031280</v>
      </c>
      <c r="B3086" s="115" t="s">
        <v>2940</v>
      </c>
      <c r="C3086" s="117">
        <v>848.2</v>
      </c>
    </row>
    <row r="3087" spans="1:3" x14ac:dyDescent="0.25">
      <c r="A3087" s="115">
        <v>3031290</v>
      </c>
      <c r="B3087" s="115" t="s">
        <v>2941</v>
      </c>
      <c r="C3087" s="117">
        <v>1033.97</v>
      </c>
    </row>
    <row r="3088" spans="1:3" x14ac:dyDescent="0.25">
      <c r="A3088" s="115">
        <v>3031200</v>
      </c>
      <c r="B3088" s="115" t="s">
        <v>11922</v>
      </c>
      <c r="C3088" s="117">
        <v>2691.81</v>
      </c>
    </row>
    <row r="3089" spans="1:3" x14ac:dyDescent="0.25">
      <c r="A3089" s="115">
        <v>3031100</v>
      </c>
      <c r="B3089" s="115" t="s">
        <v>11569</v>
      </c>
      <c r="C3089" s="117">
        <v>1108.49</v>
      </c>
    </row>
    <row r="3090" spans="1:3" x14ac:dyDescent="0.25">
      <c r="A3090" s="115">
        <v>3031400</v>
      </c>
      <c r="B3090" s="115" t="s">
        <v>11570</v>
      </c>
      <c r="C3090" s="117">
        <v>9151.01</v>
      </c>
    </row>
    <row r="3091" spans="1:3" x14ac:dyDescent="0.25">
      <c r="A3091" s="115">
        <v>3031000</v>
      </c>
      <c r="B3091" s="115" t="s">
        <v>2942</v>
      </c>
      <c r="C3091" s="117">
        <v>975.28</v>
      </c>
    </row>
    <row r="3092" spans="1:3" x14ac:dyDescent="0.25">
      <c r="A3092" s="115">
        <v>3031300</v>
      </c>
      <c r="B3092" s="115" t="s">
        <v>11571</v>
      </c>
      <c r="C3092" s="117">
        <v>4018.44</v>
      </c>
    </row>
    <row r="3093" spans="1:3" x14ac:dyDescent="0.25">
      <c r="A3093" s="115">
        <v>3031500</v>
      </c>
      <c r="B3093" s="115" t="s">
        <v>2943</v>
      </c>
      <c r="C3093" s="117">
        <v>176.99</v>
      </c>
    </row>
    <row r="3094" spans="1:3" x14ac:dyDescent="0.25">
      <c r="A3094" s="115">
        <v>3032800</v>
      </c>
      <c r="B3094" s="115" t="s">
        <v>2944</v>
      </c>
      <c r="C3094" s="117">
        <v>654.41999999999996</v>
      </c>
    </row>
    <row r="3095" spans="1:3" x14ac:dyDescent="0.25">
      <c r="A3095" s="115">
        <v>3033100</v>
      </c>
      <c r="B3095" s="115" t="s">
        <v>2945</v>
      </c>
      <c r="C3095" s="117">
        <v>4169.78</v>
      </c>
    </row>
    <row r="3096" spans="1:3" x14ac:dyDescent="0.25">
      <c r="A3096" s="115">
        <v>3032900</v>
      </c>
      <c r="B3096" s="115" t="s">
        <v>2946</v>
      </c>
      <c r="C3096" s="117">
        <v>1115.8599999999999</v>
      </c>
    </row>
    <row r="3097" spans="1:3" x14ac:dyDescent="0.25">
      <c r="A3097" s="115">
        <v>3032600</v>
      </c>
      <c r="B3097" s="115" t="s">
        <v>2947</v>
      </c>
      <c r="C3097" s="117">
        <v>199.56</v>
      </c>
    </row>
    <row r="3098" spans="1:3" x14ac:dyDescent="0.25">
      <c r="A3098" s="115">
        <v>3033000</v>
      </c>
      <c r="B3098" s="115" t="s">
        <v>2948</v>
      </c>
      <c r="C3098" s="117">
        <v>2120.13</v>
      </c>
    </row>
    <row r="3099" spans="1:3" x14ac:dyDescent="0.25">
      <c r="A3099" s="115">
        <v>3032700</v>
      </c>
      <c r="B3099" s="115" t="s">
        <v>2949</v>
      </c>
      <c r="C3099" s="117">
        <v>356.96</v>
      </c>
    </row>
    <row r="3100" spans="1:3" x14ac:dyDescent="0.25">
      <c r="A3100" s="115">
        <v>3033547</v>
      </c>
      <c r="B3100" s="115" t="s">
        <v>2950</v>
      </c>
      <c r="C3100" s="117">
        <v>19.600000000000001</v>
      </c>
    </row>
    <row r="3101" spans="1:3" x14ac:dyDescent="0.25">
      <c r="A3101" s="115">
        <v>3033575</v>
      </c>
      <c r="B3101" s="115" t="s">
        <v>2951</v>
      </c>
      <c r="C3101" s="117">
        <v>19.600000000000001</v>
      </c>
    </row>
    <row r="3102" spans="1:3" x14ac:dyDescent="0.25">
      <c r="A3102" s="115">
        <v>3033585</v>
      </c>
      <c r="B3102" s="115" t="s">
        <v>2952</v>
      </c>
      <c r="C3102" s="117">
        <v>19.600000000000001</v>
      </c>
    </row>
    <row r="3103" spans="1:3" x14ac:dyDescent="0.25">
      <c r="A3103" s="115">
        <v>3033583</v>
      </c>
      <c r="B3103" s="115" t="s">
        <v>2953</v>
      </c>
      <c r="C3103" s="117">
        <v>114.93</v>
      </c>
    </row>
    <row r="3104" spans="1:3" x14ac:dyDescent="0.25">
      <c r="A3104" s="115">
        <v>3031600</v>
      </c>
      <c r="B3104" s="115" t="s">
        <v>2954</v>
      </c>
      <c r="C3104" s="117">
        <v>19.600000000000001</v>
      </c>
    </row>
    <row r="3105" spans="1:3" x14ac:dyDescent="0.25">
      <c r="A3105" s="115">
        <v>3033363</v>
      </c>
      <c r="B3105" s="115" t="s">
        <v>2955</v>
      </c>
      <c r="C3105" s="117">
        <v>113.29</v>
      </c>
    </row>
    <row r="3106" spans="1:3" x14ac:dyDescent="0.25">
      <c r="A3106" s="115">
        <v>3033329</v>
      </c>
      <c r="B3106" s="115" t="s">
        <v>2956</v>
      </c>
      <c r="C3106" s="117">
        <v>113.29</v>
      </c>
    </row>
    <row r="3107" spans="1:3" x14ac:dyDescent="0.25">
      <c r="A3107" s="115">
        <v>3033336</v>
      </c>
      <c r="B3107" s="115" t="s">
        <v>2957</v>
      </c>
      <c r="C3107" s="117">
        <v>113.29</v>
      </c>
    </row>
    <row r="3108" spans="1:3" x14ac:dyDescent="0.25">
      <c r="A3108" s="115">
        <v>3033384</v>
      </c>
      <c r="B3108" s="115" t="s">
        <v>2958</v>
      </c>
      <c r="C3108" s="117">
        <v>113.29</v>
      </c>
    </row>
    <row r="3109" spans="1:3" x14ac:dyDescent="0.25">
      <c r="A3109" s="115">
        <v>3033347</v>
      </c>
      <c r="B3109" s="115" t="s">
        <v>2959</v>
      </c>
      <c r="C3109" s="117">
        <v>113.29</v>
      </c>
    </row>
    <row r="3110" spans="1:3" x14ac:dyDescent="0.25">
      <c r="A3110" s="115">
        <v>3033362</v>
      </c>
      <c r="B3110" s="115" t="s">
        <v>2960</v>
      </c>
      <c r="C3110" s="117">
        <v>113.29</v>
      </c>
    </row>
    <row r="3111" spans="1:3" x14ac:dyDescent="0.25">
      <c r="A3111" s="115">
        <v>3033375</v>
      </c>
      <c r="B3111" s="115" t="s">
        <v>2961</v>
      </c>
      <c r="C3111" s="117">
        <v>113.29</v>
      </c>
    </row>
    <row r="3112" spans="1:3" x14ac:dyDescent="0.25">
      <c r="A3112" s="115">
        <v>3033359</v>
      </c>
      <c r="B3112" s="115" t="s">
        <v>2962</v>
      </c>
      <c r="C3112" s="117">
        <v>113.29</v>
      </c>
    </row>
    <row r="3113" spans="1:3" x14ac:dyDescent="0.25">
      <c r="A3113" s="115">
        <v>3033376</v>
      </c>
      <c r="B3113" s="115" t="s">
        <v>2963</v>
      </c>
      <c r="C3113" s="117">
        <v>113.29</v>
      </c>
    </row>
    <row r="3114" spans="1:3" x14ac:dyDescent="0.25">
      <c r="A3114" s="115">
        <v>3033387</v>
      </c>
      <c r="B3114" s="115" t="s">
        <v>2964</v>
      </c>
      <c r="C3114" s="117">
        <v>113.29</v>
      </c>
    </row>
    <row r="3115" spans="1:3" x14ac:dyDescent="0.25">
      <c r="A3115" s="115">
        <v>3033383</v>
      </c>
      <c r="B3115" s="115" t="s">
        <v>2965</v>
      </c>
      <c r="C3115" s="117">
        <v>113.29</v>
      </c>
    </row>
    <row r="3116" spans="1:3" x14ac:dyDescent="0.25">
      <c r="A3116" s="115">
        <v>3033312</v>
      </c>
      <c r="B3116" s="115" t="s">
        <v>2966</v>
      </c>
      <c r="C3116" s="117">
        <v>113.29</v>
      </c>
    </row>
    <row r="3117" spans="1:3" x14ac:dyDescent="0.25">
      <c r="A3117" s="115">
        <v>3033223</v>
      </c>
      <c r="B3117" s="115" t="s">
        <v>2967</v>
      </c>
      <c r="C3117" s="117">
        <v>379.23</v>
      </c>
    </row>
    <row r="3118" spans="1:3" x14ac:dyDescent="0.25">
      <c r="A3118" s="115">
        <v>3033277</v>
      </c>
      <c r="B3118" s="115" t="s">
        <v>2968</v>
      </c>
      <c r="C3118" s="117">
        <v>379.23</v>
      </c>
    </row>
    <row r="3119" spans="1:3" x14ac:dyDescent="0.25">
      <c r="A3119" s="115">
        <v>3033229</v>
      </c>
      <c r="B3119" s="115" t="s">
        <v>2969</v>
      </c>
      <c r="C3119" s="117">
        <v>379.23</v>
      </c>
    </row>
    <row r="3120" spans="1:3" x14ac:dyDescent="0.25">
      <c r="A3120" s="115">
        <v>3033263</v>
      </c>
      <c r="B3120" s="115" t="s">
        <v>2970</v>
      </c>
      <c r="C3120" s="117">
        <v>379.23</v>
      </c>
    </row>
    <row r="3121" spans="1:3" x14ac:dyDescent="0.25">
      <c r="A3121" s="115">
        <v>3033278</v>
      </c>
      <c r="B3121" s="115" t="s">
        <v>2971</v>
      </c>
      <c r="C3121" s="117">
        <v>379.23</v>
      </c>
    </row>
    <row r="3122" spans="1:3" x14ac:dyDescent="0.25">
      <c r="A3122" s="115">
        <v>3033267</v>
      </c>
      <c r="B3122" s="115" t="s">
        <v>2972</v>
      </c>
      <c r="C3122" s="117">
        <v>379.23</v>
      </c>
    </row>
    <row r="3123" spans="1:3" x14ac:dyDescent="0.25">
      <c r="A3123" s="115">
        <v>3033262</v>
      </c>
      <c r="B3123" s="115" t="s">
        <v>2973</v>
      </c>
      <c r="C3123" s="117">
        <v>379.23</v>
      </c>
    </row>
    <row r="3124" spans="1:3" x14ac:dyDescent="0.25">
      <c r="A3124" s="115">
        <v>3033276</v>
      </c>
      <c r="B3124" s="115" t="s">
        <v>2974</v>
      </c>
      <c r="C3124" s="117">
        <v>379.23</v>
      </c>
    </row>
    <row r="3125" spans="1:3" x14ac:dyDescent="0.25">
      <c r="A3125" s="115">
        <v>3033283</v>
      </c>
      <c r="B3125" s="115" t="s">
        <v>2975</v>
      </c>
      <c r="C3125" s="117">
        <v>379.23</v>
      </c>
    </row>
    <row r="3126" spans="1:3" x14ac:dyDescent="0.25">
      <c r="A3126" s="115">
        <v>3033284</v>
      </c>
      <c r="B3126" s="115" t="s">
        <v>2976</v>
      </c>
      <c r="C3126" s="117">
        <v>379.23</v>
      </c>
    </row>
    <row r="3127" spans="1:3" x14ac:dyDescent="0.25">
      <c r="A3127" s="115">
        <v>3033226</v>
      </c>
      <c r="B3127" s="115" t="s">
        <v>2977</v>
      </c>
      <c r="C3127" s="117">
        <v>379.23</v>
      </c>
    </row>
    <row r="3128" spans="1:3" x14ac:dyDescent="0.25">
      <c r="A3128" s="115">
        <v>3033212</v>
      </c>
      <c r="B3128" s="115" t="s">
        <v>2978</v>
      </c>
      <c r="C3128" s="117">
        <v>379.23</v>
      </c>
    </row>
    <row r="3129" spans="1:3" x14ac:dyDescent="0.25">
      <c r="A3129" s="115">
        <v>3574400</v>
      </c>
      <c r="B3129" s="115" t="s">
        <v>2979</v>
      </c>
      <c r="C3129" s="117">
        <v>2396.7600000000002</v>
      </c>
    </row>
    <row r="3130" spans="1:3" x14ac:dyDescent="0.25">
      <c r="A3130" s="115">
        <v>3574800</v>
      </c>
      <c r="B3130" s="115" t="s">
        <v>2980</v>
      </c>
      <c r="C3130" s="117">
        <v>4166.32</v>
      </c>
    </row>
    <row r="3131" spans="1:3" x14ac:dyDescent="0.25">
      <c r="A3131" s="115">
        <v>3573825</v>
      </c>
      <c r="B3131" s="115" t="s">
        <v>2981</v>
      </c>
      <c r="C3131" s="117">
        <v>2409.19</v>
      </c>
    </row>
    <row r="3132" spans="1:3" x14ac:dyDescent="0.25">
      <c r="A3132" s="115">
        <v>3573850</v>
      </c>
      <c r="B3132" s="115" t="s">
        <v>2982</v>
      </c>
      <c r="C3132" s="117">
        <v>3727.45</v>
      </c>
    </row>
    <row r="3133" spans="1:3" x14ac:dyDescent="0.25">
      <c r="A3133" s="115">
        <v>3033700</v>
      </c>
      <c r="B3133" s="115" t="s">
        <v>2983</v>
      </c>
      <c r="C3133" s="117">
        <v>911.25</v>
      </c>
    </row>
    <row r="3134" spans="1:3" x14ac:dyDescent="0.25">
      <c r="A3134" s="115">
        <v>3033800</v>
      </c>
      <c r="B3134" s="115" t="s">
        <v>2984</v>
      </c>
      <c r="C3134" s="117">
        <v>1409.47</v>
      </c>
    </row>
    <row r="3135" spans="1:3" x14ac:dyDescent="0.25">
      <c r="A3135" s="115">
        <v>3574220</v>
      </c>
      <c r="B3135" s="115" t="s">
        <v>2985</v>
      </c>
      <c r="C3135" s="117">
        <v>1774.39</v>
      </c>
    </row>
    <row r="3136" spans="1:3" x14ac:dyDescent="0.25">
      <c r="A3136" s="115">
        <v>3574230</v>
      </c>
      <c r="B3136" s="115" t="s">
        <v>2986</v>
      </c>
      <c r="C3136" s="117">
        <v>1900.57</v>
      </c>
    </row>
    <row r="3137" spans="1:3" x14ac:dyDescent="0.25">
      <c r="A3137" s="115">
        <v>3574000</v>
      </c>
      <c r="B3137" s="115" t="s">
        <v>2987</v>
      </c>
      <c r="C3137" s="117">
        <v>4971.84</v>
      </c>
    </row>
    <row r="3138" spans="1:3" x14ac:dyDescent="0.25">
      <c r="A3138" s="115">
        <v>3574520</v>
      </c>
      <c r="B3138" s="115" t="s">
        <v>2988</v>
      </c>
      <c r="C3138" s="117">
        <v>3971.24</v>
      </c>
    </row>
    <row r="3139" spans="1:3" x14ac:dyDescent="0.25">
      <c r="A3139" s="115">
        <v>3570525</v>
      </c>
      <c r="B3139" s="115" t="s">
        <v>2989</v>
      </c>
      <c r="C3139" s="117">
        <v>3310.48</v>
      </c>
    </row>
    <row r="3140" spans="1:3" x14ac:dyDescent="0.25">
      <c r="A3140" s="115">
        <v>3574510</v>
      </c>
      <c r="B3140" s="115" t="s">
        <v>2990</v>
      </c>
      <c r="C3140" s="117">
        <v>1181.69</v>
      </c>
    </row>
    <row r="3141" spans="1:3" x14ac:dyDescent="0.25">
      <c r="A3141" s="115">
        <v>3570310</v>
      </c>
      <c r="B3141" s="115" t="s">
        <v>2991</v>
      </c>
      <c r="C3141" s="117">
        <v>2814.45</v>
      </c>
    </row>
    <row r="3142" spans="1:3" x14ac:dyDescent="0.25">
      <c r="A3142" s="115">
        <v>3577020</v>
      </c>
      <c r="B3142" s="115" t="s">
        <v>2992</v>
      </c>
      <c r="C3142" s="117">
        <v>2452.8000000000002</v>
      </c>
    </row>
    <row r="3143" spans="1:3" x14ac:dyDescent="0.25">
      <c r="A3143" s="115">
        <v>3575023</v>
      </c>
      <c r="B3143" s="115" t="s">
        <v>2993</v>
      </c>
      <c r="C3143" s="117">
        <v>1155.48</v>
      </c>
    </row>
    <row r="3144" spans="1:3" x14ac:dyDescent="0.25">
      <c r="A3144" s="115">
        <v>3575036</v>
      </c>
      <c r="B3144" s="115" t="s">
        <v>2994</v>
      </c>
      <c r="C3144" s="117">
        <v>1745.26</v>
      </c>
    </row>
    <row r="3145" spans="1:3" x14ac:dyDescent="0.25">
      <c r="A3145" s="115">
        <v>3575022</v>
      </c>
      <c r="B3145" s="115" t="s">
        <v>2995</v>
      </c>
      <c r="C3145" s="117">
        <v>577.74</v>
      </c>
    </row>
    <row r="3146" spans="1:3" x14ac:dyDescent="0.25">
      <c r="A3146" s="115">
        <v>3578020</v>
      </c>
      <c r="B3146" s="115" t="s">
        <v>2996</v>
      </c>
      <c r="C3146" s="117">
        <v>284.52999999999997</v>
      </c>
    </row>
    <row r="3147" spans="1:3" x14ac:dyDescent="0.25">
      <c r="A3147" s="115">
        <v>3578010</v>
      </c>
      <c r="B3147" s="115" t="s">
        <v>2997</v>
      </c>
      <c r="C3147" s="117">
        <v>116.97</v>
      </c>
    </row>
    <row r="3148" spans="1:3" x14ac:dyDescent="0.25">
      <c r="A3148" s="115">
        <v>3574200</v>
      </c>
      <c r="B3148" s="115" t="s">
        <v>2998</v>
      </c>
      <c r="C3148" s="117">
        <v>268.95999999999998</v>
      </c>
    </row>
    <row r="3149" spans="1:3" x14ac:dyDescent="0.25">
      <c r="A3149" s="115">
        <v>3574210</v>
      </c>
      <c r="B3149" s="115" t="s">
        <v>2999</v>
      </c>
      <c r="C3149" s="117">
        <v>717.23</v>
      </c>
    </row>
    <row r="3150" spans="1:3" x14ac:dyDescent="0.25">
      <c r="A3150" s="115">
        <v>3037500</v>
      </c>
      <c r="B3150" s="115" t="s">
        <v>3000</v>
      </c>
      <c r="C3150" s="117">
        <v>782.63</v>
      </c>
    </row>
    <row r="3151" spans="1:3" x14ac:dyDescent="0.25">
      <c r="A3151" s="115">
        <v>3037577</v>
      </c>
      <c r="B3151" s="115" t="s">
        <v>3001</v>
      </c>
      <c r="C3151" s="117">
        <v>782.63</v>
      </c>
    </row>
    <row r="3152" spans="1:3" x14ac:dyDescent="0.25">
      <c r="A3152" s="115">
        <v>3037587</v>
      </c>
      <c r="B3152" s="115" t="s">
        <v>3002</v>
      </c>
      <c r="C3152" s="117">
        <v>782.63</v>
      </c>
    </row>
    <row r="3153" spans="1:3" x14ac:dyDescent="0.25">
      <c r="A3153" s="115">
        <v>3037026</v>
      </c>
      <c r="B3153" s="115" t="s">
        <v>3003</v>
      </c>
      <c r="C3153" s="117">
        <v>4066.61</v>
      </c>
    </row>
    <row r="3154" spans="1:3" x14ac:dyDescent="0.25">
      <c r="A3154" s="115">
        <v>3037063</v>
      </c>
      <c r="B3154" s="115" t="s">
        <v>3004</v>
      </c>
      <c r="C3154" s="117">
        <v>4066.61</v>
      </c>
    </row>
    <row r="3155" spans="1:3" x14ac:dyDescent="0.25">
      <c r="A3155" s="115">
        <v>3037075</v>
      </c>
      <c r="B3155" s="115" t="s">
        <v>3005</v>
      </c>
      <c r="C3155" s="117">
        <v>4066.61</v>
      </c>
    </row>
    <row r="3156" spans="1:3" x14ac:dyDescent="0.25">
      <c r="A3156" s="115">
        <v>3037076</v>
      </c>
      <c r="B3156" s="115" t="s">
        <v>3006</v>
      </c>
      <c r="C3156" s="117">
        <v>4066.61</v>
      </c>
    </row>
    <row r="3157" spans="1:3" x14ac:dyDescent="0.25">
      <c r="A3157" s="115">
        <v>3037077</v>
      </c>
      <c r="B3157" s="115" t="s">
        <v>3007</v>
      </c>
      <c r="C3157" s="117">
        <v>4066.61</v>
      </c>
    </row>
    <row r="3158" spans="1:3" x14ac:dyDescent="0.25">
      <c r="A3158" s="115">
        <v>3037629</v>
      </c>
      <c r="B3158" s="115" t="s">
        <v>3008</v>
      </c>
      <c r="C3158" s="117">
        <v>261.54000000000002</v>
      </c>
    </row>
    <row r="3159" spans="1:3" x14ac:dyDescent="0.25">
      <c r="A3159" s="115">
        <v>3037683</v>
      </c>
      <c r="B3159" s="115" t="s">
        <v>3009</v>
      </c>
      <c r="C3159" s="117">
        <v>261.54000000000002</v>
      </c>
    </row>
    <row r="3160" spans="1:3" x14ac:dyDescent="0.25">
      <c r="A3160" s="115">
        <v>3570450</v>
      </c>
      <c r="B3160" s="115" t="s">
        <v>3010</v>
      </c>
      <c r="C3160" s="117">
        <v>3265.34</v>
      </c>
    </row>
    <row r="3161" spans="1:3" x14ac:dyDescent="0.25">
      <c r="A3161" s="115">
        <v>3571700</v>
      </c>
      <c r="B3161" s="115" t="s">
        <v>3011</v>
      </c>
      <c r="C3161" s="117">
        <v>3303.78</v>
      </c>
    </row>
    <row r="3162" spans="1:3" x14ac:dyDescent="0.25">
      <c r="A3162" s="115">
        <v>3571200</v>
      </c>
      <c r="B3162" s="115" t="s">
        <v>3012</v>
      </c>
      <c r="C3162" s="117">
        <v>1726.74</v>
      </c>
    </row>
    <row r="3163" spans="1:3" x14ac:dyDescent="0.25">
      <c r="A3163" s="115">
        <v>3571100</v>
      </c>
      <c r="B3163" s="115" t="s">
        <v>3013</v>
      </c>
      <c r="C3163" s="117">
        <v>1375.72</v>
      </c>
    </row>
    <row r="3164" spans="1:3" x14ac:dyDescent="0.25">
      <c r="A3164" s="115">
        <v>3571010</v>
      </c>
      <c r="B3164" s="115" t="s">
        <v>3014</v>
      </c>
      <c r="C3164" s="117">
        <v>6380.75</v>
      </c>
    </row>
    <row r="3165" spans="1:3" x14ac:dyDescent="0.25">
      <c r="A3165" s="115">
        <v>3571500</v>
      </c>
      <c r="B3165" s="115" t="s">
        <v>3015</v>
      </c>
      <c r="C3165" s="117">
        <v>2632.95</v>
      </c>
    </row>
    <row r="3166" spans="1:3" x14ac:dyDescent="0.25">
      <c r="A3166" s="115">
        <v>3571900</v>
      </c>
      <c r="B3166" s="115" t="s">
        <v>3016</v>
      </c>
      <c r="C3166" s="117">
        <v>3440.23</v>
      </c>
    </row>
    <row r="3167" spans="1:3" x14ac:dyDescent="0.25">
      <c r="A3167" s="115">
        <v>3571300</v>
      </c>
      <c r="B3167" s="115" t="s">
        <v>3017</v>
      </c>
      <c r="C3167" s="117">
        <v>3792.36</v>
      </c>
    </row>
    <row r="3168" spans="1:3" x14ac:dyDescent="0.25">
      <c r="A3168" s="115">
        <v>3571400</v>
      </c>
      <c r="B3168" s="115" t="s">
        <v>3018</v>
      </c>
      <c r="C3168" s="117">
        <v>3792.36</v>
      </c>
    </row>
    <row r="3169" spans="1:3" x14ac:dyDescent="0.25">
      <c r="A3169" s="115">
        <v>3573351</v>
      </c>
      <c r="B3169" s="115" t="s">
        <v>3019</v>
      </c>
      <c r="C3169" s="117">
        <v>3177.38</v>
      </c>
    </row>
    <row r="3170" spans="1:3" x14ac:dyDescent="0.25">
      <c r="A3170" s="115">
        <v>3573131</v>
      </c>
      <c r="B3170" s="115" t="s">
        <v>3020</v>
      </c>
      <c r="C3170" s="117">
        <v>1081.47</v>
      </c>
    </row>
    <row r="3171" spans="1:3" x14ac:dyDescent="0.25">
      <c r="A3171" s="115">
        <v>3573160</v>
      </c>
      <c r="B3171" s="115" t="s">
        <v>3021</v>
      </c>
      <c r="C3171" s="117">
        <v>1641.76</v>
      </c>
    </row>
    <row r="3172" spans="1:3" x14ac:dyDescent="0.25">
      <c r="A3172" s="115">
        <v>3573200</v>
      </c>
      <c r="B3172" s="115" t="s">
        <v>3022</v>
      </c>
      <c r="C3172" s="117">
        <v>3259.08</v>
      </c>
    </row>
    <row r="3173" spans="1:3" x14ac:dyDescent="0.25">
      <c r="A3173" s="115">
        <v>3573120</v>
      </c>
      <c r="B3173" s="115" t="s">
        <v>3023</v>
      </c>
      <c r="C3173" s="117">
        <v>851.54</v>
      </c>
    </row>
    <row r="3174" spans="1:3" x14ac:dyDescent="0.25">
      <c r="A3174" s="115">
        <v>3573100</v>
      </c>
      <c r="B3174" s="115" t="s">
        <v>3024</v>
      </c>
      <c r="C3174" s="117">
        <v>1080.69</v>
      </c>
    </row>
    <row r="3175" spans="1:3" x14ac:dyDescent="0.25">
      <c r="A3175" s="115">
        <v>3572240</v>
      </c>
      <c r="B3175" s="115" t="s">
        <v>3025</v>
      </c>
      <c r="C3175" s="117">
        <v>2644.78</v>
      </c>
    </row>
    <row r="3176" spans="1:3" x14ac:dyDescent="0.25">
      <c r="A3176" s="115">
        <v>3572100</v>
      </c>
      <c r="B3176" s="115" t="s">
        <v>3026</v>
      </c>
      <c r="C3176" s="117">
        <v>4044.34</v>
      </c>
    </row>
    <row r="3177" spans="1:3" x14ac:dyDescent="0.25">
      <c r="A3177" s="115">
        <v>3572000</v>
      </c>
      <c r="B3177" s="115" t="s">
        <v>3027</v>
      </c>
      <c r="C3177" s="117">
        <v>1317.47</v>
      </c>
    </row>
    <row r="3178" spans="1:3" x14ac:dyDescent="0.25">
      <c r="A3178" s="115">
        <v>3574600</v>
      </c>
      <c r="B3178" s="115" t="s">
        <v>3028</v>
      </c>
      <c r="C3178" s="117">
        <v>8970.26</v>
      </c>
    </row>
    <row r="3179" spans="1:3" x14ac:dyDescent="0.25">
      <c r="A3179" s="115">
        <v>3574700</v>
      </c>
      <c r="B3179" s="115" t="s">
        <v>3029</v>
      </c>
      <c r="C3179" s="117">
        <v>13312.97</v>
      </c>
    </row>
    <row r="3180" spans="1:3" x14ac:dyDescent="0.25">
      <c r="A3180" s="115">
        <v>3574911</v>
      </c>
      <c r="B3180" s="115" t="s">
        <v>3030</v>
      </c>
      <c r="C3180" s="117">
        <v>13443.59</v>
      </c>
    </row>
    <row r="3181" spans="1:3" x14ac:dyDescent="0.25">
      <c r="A3181" s="115">
        <v>3574907</v>
      </c>
      <c r="B3181" s="115" t="s">
        <v>3031</v>
      </c>
      <c r="C3181" s="117">
        <v>9186.31</v>
      </c>
    </row>
    <row r="3182" spans="1:3" x14ac:dyDescent="0.25">
      <c r="A3182" s="115">
        <v>3577010</v>
      </c>
      <c r="B3182" s="115" t="s">
        <v>3032</v>
      </c>
      <c r="C3182" s="117">
        <v>1421.43</v>
      </c>
    </row>
    <row r="3183" spans="1:3" x14ac:dyDescent="0.25">
      <c r="A3183" s="115">
        <v>3577030</v>
      </c>
      <c r="B3183" s="115" t="s">
        <v>3033</v>
      </c>
      <c r="C3183" s="117">
        <v>557.79</v>
      </c>
    </row>
    <row r="3184" spans="1:3" x14ac:dyDescent="0.25">
      <c r="A3184" s="115">
        <v>3576001</v>
      </c>
      <c r="B3184" s="115" t="s">
        <v>3034</v>
      </c>
      <c r="C3184" s="117">
        <v>199.98</v>
      </c>
    </row>
    <row r="3185" spans="1:3" x14ac:dyDescent="0.25">
      <c r="A3185" s="144" t="s">
        <v>3035</v>
      </c>
      <c r="B3185" s="145"/>
      <c r="C3185" s="145"/>
    </row>
    <row r="3186" spans="1:3" x14ac:dyDescent="0.25">
      <c r="A3186" s="115">
        <v>3561200</v>
      </c>
      <c r="B3186" s="115" t="s">
        <v>3036</v>
      </c>
      <c r="C3186" s="117">
        <v>701.7</v>
      </c>
    </row>
    <row r="3187" spans="1:3" x14ac:dyDescent="0.25">
      <c r="A3187" s="115">
        <v>3561000</v>
      </c>
      <c r="B3187" s="115" t="s">
        <v>3037</v>
      </c>
      <c r="C3187" s="117">
        <v>622.04</v>
      </c>
    </row>
    <row r="3188" spans="1:3" x14ac:dyDescent="0.25">
      <c r="A3188" s="115">
        <v>3561300</v>
      </c>
      <c r="B3188" s="115" t="s">
        <v>3038</v>
      </c>
      <c r="C3188" s="117">
        <v>1253.8</v>
      </c>
    </row>
    <row r="3189" spans="1:3" x14ac:dyDescent="0.25">
      <c r="A3189" s="115">
        <v>3561500</v>
      </c>
      <c r="B3189" s="115" t="s">
        <v>3039</v>
      </c>
      <c r="C3189" s="117">
        <v>622</v>
      </c>
    </row>
    <row r="3190" spans="1:3" x14ac:dyDescent="0.25">
      <c r="A3190" s="144" t="s">
        <v>3040</v>
      </c>
      <c r="B3190" s="145"/>
      <c r="C3190" s="145"/>
    </row>
    <row r="3191" spans="1:3" x14ac:dyDescent="0.25">
      <c r="A3191" s="115">
        <v>3411026</v>
      </c>
      <c r="B3191" s="115" t="s">
        <v>3041</v>
      </c>
      <c r="C3191" s="117">
        <v>733.48</v>
      </c>
    </row>
    <row r="3192" spans="1:3" x14ac:dyDescent="0.25">
      <c r="A3192" s="115">
        <v>3411012</v>
      </c>
      <c r="B3192" s="115" t="s">
        <v>3042</v>
      </c>
      <c r="C3192" s="117">
        <v>7334.75</v>
      </c>
    </row>
    <row r="3193" spans="1:3" x14ac:dyDescent="0.25">
      <c r="A3193" s="115">
        <v>3411029</v>
      </c>
      <c r="B3193" s="115" t="s">
        <v>3043</v>
      </c>
      <c r="C3193" s="117">
        <v>733.48</v>
      </c>
    </row>
    <row r="3194" spans="1:3" x14ac:dyDescent="0.25">
      <c r="A3194" s="115">
        <v>3411001</v>
      </c>
      <c r="B3194" s="115" t="s">
        <v>3044</v>
      </c>
      <c r="C3194" s="117">
        <v>733.48</v>
      </c>
    </row>
    <row r="3195" spans="1:3" x14ac:dyDescent="0.25">
      <c r="A3195" s="115">
        <v>3411023</v>
      </c>
      <c r="B3195" s="115" t="s">
        <v>3045</v>
      </c>
      <c r="C3195" s="117">
        <v>733.48</v>
      </c>
    </row>
    <row r="3196" spans="1:3" x14ac:dyDescent="0.25">
      <c r="A3196" s="115">
        <v>3411038</v>
      </c>
      <c r="B3196" s="115" t="s">
        <v>3046</v>
      </c>
      <c r="C3196" s="117">
        <v>733.48</v>
      </c>
    </row>
    <row r="3197" spans="1:3" x14ac:dyDescent="0.25">
      <c r="A3197" s="115">
        <v>3411044</v>
      </c>
      <c r="B3197" s="115" t="s">
        <v>3047</v>
      </c>
      <c r="C3197" s="117">
        <v>733.48</v>
      </c>
    </row>
    <row r="3198" spans="1:3" x14ac:dyDescent="0.25">
      <c r="A3198" s="115">
        <v>3411059</v>
      </c>
      <c r="B3198" s="115" t="s">
        <v>3048</v>
      </c>
      <c r="C3198" s="117">
        <v>733.48</v>
      </c>
    </row>
    <row r="3199" spans="1:3" x14ac:dyDescent="0.25">
      <c r="A3199" s="115">
        <v>3411062</v>
      </c>
      <c r="B3199" s="115" t="s">
        <v>3049</v>
      </c>
      <c r="C3199" s="117">
        <v>733.48</v>
      </c>
    </row>
    <row r="3200" spans="1:3" x14ac:dyDescent="0.25">
      <c r="A3200" s="115">
        <v>3411063</v>
      </c>
      <c r="B3200" s="115" t="s">
        <v>3050</v>
      </c>
      <c r="C3200" s="117">
        <v>733.48</v>
      </c>
    </row>
    <row r="3201" spans="1:3" x14ac:dyDescent="0.25">
      <c r="A3201" s="115">
        <v>3411129</v>
      </c>
      <c r="B3201" s="115" t="s">
        <v>3051</v>
      </c>
      <c r="C3201" s="117">
        <v>70.31</v>
      </c>
    </row>
    <row r="3202" spans="1:3" x14ac:dyDescent="0.25">
      <c r="A3202" s="115">
        <v>3411162</v>
      </c>
      <c r="B3202" s="115" t="s">
        <v>3052</v>
      </c>
      <c r="C3202" s="117">
        <v>70.31</v>
      </c>
    </row>
    <row r="3203" spans="1:3" x14ac:dyDescent="0.25">
      <c r="A3203" s="115">
        <v>3411178</v>
      </c>
      <c r="B3203" s="115" t="s">
        <v>3053</v>
      </c>
      <c r="C3203" s="117">
        <v>70.31</v>
      </c>
    </row>
    <row r="3204" spans="1:3" x14ac:dyDescent="0.25">
      <c r="A3204" s="115">
        <v>3411154</v>
      </c>
      <c r="B3204" s="115" t="s">
        <v>3054</v>
      </c>
      <c r="C3204" s="117">
        <v>70.31</v>
      </c>
    </row>
    <row r="3205" spans="1:3" x14ac:dyDescent="0.25">
      <c r="A3205" s="115">
        <v>3411183</v>
      </c>
      <c r="B3205" s="115" t="s">
        <v>3055</v>
      </c>
      <c r="C3205" s="117">
        <v>70.31</v>
      </c>
    </row>
    <row r="3206" spans="1:3" x14ac:dyDescent="0.25">
      <c r="A3206" s="115">
        <v>3411126</v>
      </c>
      <c r="B3206" s="115" t="s">
        <v>3056</v>
      </c>
      <c r="C3206" s="117">
        <v>70.31</v>
      </c>
    </row>
    <row r="3207" spans="1:3" x14ac:dyDescent="0.25">
      <c r="A3207" s="115">
        <v>3411177</v>
      </c>
      <c r="B3207" s="115" t="s">
        <v>3057</v>
      </c>
      <c r="C3207" s="117">
        <v>70.31</v>
      </c>
    </row>
    <row r="3208" spans="1:3" x14ac:dyDescent="0.25">
      <c r="A3208" s="115">
        <v>3411132</v>
      </c>
      <c r="B3208" s="115" t="s">
        <v>3058</v>
      </c>
      <c r="C3208" s="117">
        <v>70.31</v>
      </c>
    </row>
    <row r="3209" spans="1:3" x14ac:dyDescent="0.25">
      <c r="A3209" s="115">
        <v>3411050</v>
      </c>
      <c r="B3209" s="115" t="s">
        <v>3059</v>
      </c>
      <c r="C3209" s="117">
        <v>733.48</v>
      </c>
    </row>
    <row r="3210" spans="1:3" x14ac:dyDescent="0.25">
      <c r="A3210" s="115">
        <v>3411076</v>
      </c>
      <c r="B3210" s="115" t="s">
        <v>3060</v>
      </c>
      <c r="C3210" s="117">
        <v>733.48</v>
      </c>
    </row>
    <row r="3211" spans="1:3" x14ac:dyDescent="0.25">
      <c r="A3211" s="115">
        <v>3411077</v>
      </c>
      <c r="B3211" s="115" t="s">
        <v>3061</v>
      </c>
      <c r="C3211" s="117">
        <v>733.48</v>
      </c>
    </row>
    <row r="3212" spans="1:3" x14ac:dyDescent="0.25">
      <c r="A3212" s="115">
        <v>3411052</v>
      </c>
      <c r="B3212" s="115" t="s">
        <v>3062</v>
      </c>
      <c r="C3212" s="117">
        <v>733.48</v>
      </c>
    </row>
    <row r="3213" spans="1:3" x14ac:dyDescent="0.25">
      <c r="A3213" s="115">
        <v>3411024</v>
      </c>
      <c r="B3213" s="115" t="s">
        <v>3063</v>
      </c>
      <c r="C3213" s="117">
        <v>733.48</v>
      </c>
    </row>
    <row r="3214" spans="1:3" x14ac:dyDescent="0.25">
      <c r="A3214" s="115">
        <v>3411025</v>
      </c>
      <c r="B3214" s="115" t="s">
        <v>3064</v>
      </c>
      <c r="C3214" s="117">
        <v>7334.75</v>
      </c>
    </row>
    <row r="3215" spans="1:3" x14ac:dyDescent="0.25">
      <c r="A3215" s="115">
        <v>3411021</v>
      </c>
      <c r="B3215" s="115" t="s">
        <v>3065</v>
      </c>
      <c r="C3215" s="117">
        <v>733.48</v>
      </c>
    </row>
    <row r="3216" spans="1:3" x14ac:dyDescent="0.25">
      <c r="A3216" s="115">
        <v>3411084</v>
      </c>
      <c r="B3216" s="115" t="s">
        <v>3066</v>
      </c>
      <c r="C3216" s="117">
        <v>733.48</v>
      </c>
    </row>
    <row r="3217" spans="1:3" x14ac:dyDescent="0.25">
      <c r="A3217" s="115">
        <v>3410426</v>
      </c>
      <c r="B3217" s="115" t="s">
        <v>3067</v>
      </c>
      <c r="C3217" s="117">
        <v>14746.09</v>
      </c>
    </row>
    <row r="3218" spans="1:3" x14ac:dyDescent="0.25">
      <c r="A3218" s="115">
        <v>3410412</v>
      </c>
      <c r="B3218" s="115" t="s">
        <v>3068</v>
      </c>
      <c r="C3218" s="117">
        <v>10322.26</v>
      </c>
    </row>
    <row r="3219" spans="1:3" x14ac:dyDescent="0.25">
      <c r="A3219" s="115">
        <v>3410429</v>
      </c>
      <c r="B3219" s="115" t="s">
        <v>3069</v>
      </c>
      <c r="C3219" s="117">
        <v>14746.09</v>
      </c>
    </row>
    <row r="3220" spans="1:3" x14ac:dyDescent="0.25">
      <c r="A3220" s="115">
        <v>3410401</v>
      </c>
      <c r="B3220" s="115" t="s">
        <v>3070</v>
      </c>
      <c r="C3220" s="117">
        <v>14746.09</v>
      </c>
    </row>
    <row r="3221" spans="1:3" x14ac:dyDescent="0.25">
      <c r="A3221" s="115">
        <v>3410423</v>
      </c>
      <c r="B3221" s="115" t="s">
        <v>3071</v>
      </c>
      <c r="C3221" s="117">
        <v>14746.09</v>
      </c>
    </row>
    <row r="3222" spans="1:3" x14ac:dyDescent="0.25">
      <c r="A3222" s="115">
        <v>3410462</v>
      </c>
      <c r="B3222" s="115" t="s">
        <v>3072</v>
      </c>
      <c r="C3222" s="117">
        <v>14746.09</v>
      </c>
    </row>
    <row r="3223" spans="1:3" x14ac:dyDescent="0.25">
      <c r="A3223" s="115">
        <v>3410463</v>
      </c>
      <c r="B3223" s="115" t="s">
        <v>3073</v>
      </c>
      <c r="C3223" s="117">
        <v>14746.09</v>
      </c>
    </row>
    <row r="3224" spans="1:3" x14ac:dyDescent="0.25">
      <c r="A3224" s="115">
        <v>3410450</v>
      </c>
      <c r="B3224" s="115" t="s">
        <v>3074</v>
      </c>
      <c r="C3224" s="117">
        <v>14746.09</v>
      </c>
    </row>
    <row r="3225" spans="1:3" x14ac:dyDescent="0.25">
      <c r="A3225" s="115">
        <v>3410476</v>
      </c>
      <c r="B3225" s="115" t="s">
        <v>3075</v>
      </c>
      <c r="C3225" s="117">
        <v>14746.09</v>
      </c>
    </row>
    <row r="3226" spans="1:3" x14ac:dyDescent="0.25">
      <c r="A3226" s="115">
        <v>3410421</v>
      </c>
      <c r="B3226" s="115" t="s">
        <v>3076</v>
      </c>
      <c r="C3226" s="117">
        <v>14746.09</v>
      </c>
    </row>
    <row r="3227" spans="1:3" x14ac:dyDescent="0.25">
      <c r="A3227" s="115">
        <v>3410484</v>
      </c>
      <c r="B3227" s="115" t="s">
        <v>3077</v>
      </c>
      <c r="C3227" s="117">
        <v>14746.09</v>
      </c>
    </row>
    <row r="3228" spans="1:3" x14ac:dyDescent="0.25">
      <c r="A3228" s="115">
        <v>3410326</v>
      </c>
      <c r="B3228" s="115" t="s">
        <v>3078</v>
      </c>
      <c r="C3228" s="117">
        <v>6055.94</v>
      </c>
    </row>
    <row r="3229" spans="1:3" x14ac:dyDescent="0.25">
      <c r="A3229" s="115">
        <v>3410329</v>
      </c>
      <c r="B3229" s="115" t="s">
        <v>3079</v>
      </c>
      <c r="C3229" s="117">
        <v>6055.94</v>
      </c>
    </row>
    <row r="3230" spans="1:3" x14ac:dyDescent="0.25">
      <c r="A3230" s="115">
        <v>3410328</v>
      </c>
      <c r="B3230" s="115" t="s">
        <v>3080</v>
      </c>
      <c r="C3230" s="117">
        <v>6055.94</v>
      </c>
    </row>
    <row r="3231" spans="1:3" x14ac:dyDescent="0.25">
      <c r="A3231" s="115">
        <v>3410325</v>
      </c>
      <c r="B3231" s="115" t="s">
        <v>3081</v>
      </c>
      <c r="C3231" s="117">
        <v>6055.94</v>
      </c>
    </row>
    <row r="3232" spans="1:3" x14ac:dyDescent="0.25">
      <c r="A3232" s="115">
        <v>3410323</v>
      </c>
      <c r="B3232" s="115" t="s">
        <v>3082</v>
      </c>
      <c r="C3232" s="117">
        <v>6055.94</v>
      </c>
    </row>
    <row r="3233" spans="1:3" x14ac:dyDescent="0.25">
      <c r="A3233" s="115">
        <v>3410338</v>
      </c>
      <c r="B3233" s="115" t="s">
        <v>3083</v>
      </c>
      <c r="C3233" s="117">
        <v>6055.94</v>
      </c>
    </row>
    <row r="3234" spans="1:3" x14ac:dyDescent="0.25">
      <c r="A3234" s="115">
        <v>3410344</v>
      </c>
      <c r="B3234" s="115" t="s">
        <v>3084</v>
      </c>
      <c r="C3234" s="117">
        <v>6055.94</v>
      </c>
    </row>
    <row r="3235" spans="1:3" x14ac:dyDescent="0.25">
      <c r="A3235" s="115">
        <v>3410367</v>
      </c>
      <c r="B3235" s="115" t="s">
        <v>3085</v>
      </c>
      <c r="C3235" s="117">
        <v>6055.94</v>
      </c>
    </row>
    <row r="3236" spans="1:3" x14ac:dyDescent="0.25">
      <c r="A3236" s="115">
        <v>3410363</v>
      </c>
      <c r="B3236" s="115" t="s">
        <v>3086</v>
      </c>
      <c r="C3236" s="117">
        <v>6055.94</v>
      </c>
    </row>
    <row r="3237" spans="1:3" x14ac:dyDescent="0.25">
      <c r="A3237" s="115">
        <v>3410343</v>
      </c>
      <c r="B3237" s="115" t="s">
        <v>3087</v>
      </c>
      <c r="C3237" s="117">
        <v>6055.94</v>
      </c>
    </row>
    <row r="3238" spans="1:3" x14ac:dyDescent="0.25">
      <c r="A3238" s="115">
        <v>3410376</v>
      </c>
      <c r="B3238" s="115" t="s">
        <v>3088</v>
      </c>
      <c r="C3238" s="117">
        <v>6055.94</v>
      </c>
    </row>
    <row r="3239" spans="1:3" x14ac:dyDescent="0.25">
      <c r="A3239" s="115">
        <v>3410377</v>
      </c>
      <c r="B3239" s="115" t="s">
        <v>3089</v>
      </c>
      <c r="C3239" s="117">
        <v>6055.94</v>
      </c>
    </row>
    <row r="3240" spans="1:3" x14ac:dyDescent="0.25">
      <c r="A3240" s="115">
        <v>3410383</v>
      </c>
      <c r="B3240" s="115" t="s">
        <v>3090</v>
      </c>
      <c r="C3240" s="117">
        <v>6055.94</v>
      </c>
    </row>
    <row r="3241" spans="1:3" x14ac:dyDescent="0.25">
      <c r="A3241" s="115">
        <v>3413000</v>
      </c>
      <c r="B3241" s="115" t="s">
        <v>3091</v>
      </c>
      <c r="C3241" s="117">
        <v>813.99</v>
      </c>
    </row>
    <row r="3242" spans="1:3" x14ac:dyDescent="0.25">
      <c r="A3242" s="115">
        <v>3416026</v>
      </c>
      <c r="B3242" s="115" t="s">
        <v>3092</v>
      </c>
      <c r="C3242" s="117">
        <v>776.66</v>
      </c>
    </row>
    <row r="3243" spans="1:3" x14ac:dyDescent="0.25">
      <c r="A3243" s="115">
        <v>3416022</v>
      </c>
      <c r="B3243" s="115" t="s">
        <v>3093</v>
      </c>
      <c r="C3243" s="117">
        <v>776.66</v>
      </c>
    </row>
    <row r="3244" spans="1:3" x14ac:dyDescent="0.25">
      <c r="A3244" s="115">
        <v>3416025</v>
      </c>
      <c r="B3244" s="115" t="s">
        <v>3094</v>
      </c>
      <c r="C3244" s="117">
        <v>776.66</v>
      </c>
    </row>
    <row r="3245" spans="1:3" x14ac:dyDescent="0.25">
      <c r="A3245" s="115">
        <v>3416040</v>
      </c>
      <c r="B3245" s="115" t="s">
        <v>3095</v>
      </c>
      <c r="C3245" s="117">
        <v>776.66</v>
      </c>
    </row>
    <row r="3246" spans="1:3" x14ac:dyDescent="0.25">
      <c r="A3246" s="115">
        <v>3416038</v>
      </c>
      <c r="B3246" s="115" t="s">
        <v>3096</v>
      </c>
      <c r="C3246" s="117">
        <v>776.66</v>
      </c>
    </row>
    <row r="3247" spans="1:3" x14ac:dyDescent="0.25">
      <c r="A3247" s="115">
        <v>3416023</v>
      </c>
      <c r="B3247" s="115" t="s">
        <v>3097</v>
      </c>
      <c r="C3247" s="117">
        <v>7766.61</v>
      </c>
    </row>
    <row r="3248" spans="1:3" x14ac:dyDescent="0.25">
      <c r="A3248" s="115">
        <v>3416028</v>
      </c>
      <c r="B3248" s="115" t="s">
        <v>3098</v>
      </c>
      <c r="C3248" s="117">
        <v>7766.61</v>
      </c>
    </row>
    <row r="3249" spans="1:3" x14ac:dyDescent="0.25">
      <c r="A3249" s="115">
        <v>3416064</v>
      </c>
      <c r="B3249" s="115" t="s">
        <v>3099</v>
      </c>
      <c r="C3249" s="117">
        <v>7766.61</v>
      </c>
    </row>
    <row r="3250" spans="1:3" x14ac:dyDescent="0.25">
      <c r="A3250" s="115">
        <v>3416016</v>
      </c>
      <c r="B3250" s="115" t="s">
        <v>3100</v>
      </c>
      <c r="C3250" s="117">
        <v>5436.63</v>
      </c>
    </row>
    <row r="3251" spans="1:3" x14ac:dyDescent="0.25">
      <c r="A3251" s="115">
        <v>3416084</v>
      </c>
      <c r="B3251" s="115" t="s">
        <v>3101</v>
      </c>
      <c r="C3251" s="117">
        <v>7766.61</v>
      </c>
    </row>
    <row r="3252" spans="1:3" x14ac:dyDescent="0.25">
      <c r="A3252" s="115">
        <v>3416054</v>
      </c>
      <c r="B3252" s="115" t="s">
        <v>3102</v>
      </c>
      <c r="C3252" s="117">
        <v>776.66</v>
      </c>
    </row>
    <row r="3253" spans="1:3" x14ac:dyDescent="0.25">
      <c r="A3253" s="115">
        <v>3416027</v>
      </c>
      <c r="B3253" s="115" t="s">
        <v>3103</v>
      </c>
      <c r="C3253" s="117">
        <v>7766.61</v>
      </c>
    </row>
    <row r="3254" spans="1:3" x14ac:dyDescent="0.25">
      <c r="A3254" s="115">
        <v>3416067</v>
      </c>
      <c r="B3254" s="115" t="s">
        <v>3104</v>
      </c>
      <c r="C3254" s="117">
        <v>776.66</v>
      </c>
    </row>
    <row r="3255" spans="1:3" x14ac:dyDescent="0.25">
      <c r="A3255" s="115">
        <v>3416063</v>
      </c>
      <c r="B3255" s="115" t="s">
        <v>3105</v>
      </c>
      <c r="C3255" s="117">
        <v>776.66</v>
      </c>
    </row>
    <row r="3256" spans="1:3" x14ac:dyDescent="0.25">
      <c r="A3256" s="115">
        <v>3416015</v>
      </c>
      <c r="B3256" s="115" t="s">
        <v>3106</v>
      </c>
      <c r="C3256" s="117">
        <v>776.66</v>
      </c>
    </row>
    <row r="3257" spans="1:3" x14ac:dyDescent="0.25">
      <c r="A3257" s="115">
        <v>3416036</v>
      </c>
      <c r="B3257" s="115" t="s">
        <v>3107</v>
      </c>
      <c r="C3257" s="117">
        <v>629.1</v>
      </c>
    </row>
    <row r="3258" spans="1:3" x14ac:dyDescent="0.25">
      <c r="A3258" s="115">
        <v>3416075</v>
      </c>
      <c r="B3258" s="115" t="s">
        <v>3108</v>
      </c>
      <c r="C3258" s="117">
        <v>776.66</v>
      </c>
    </row>
    <row r="3259" spans="1:3" x14ac:dyDescent="0.25">
      <c r="A3259" s="115">
        <v>3416090</v>
      </c>
      <c r="B3259" s="115" t="s">
        <v>3109</v>
      </c>
      <c r="C3259" s="117">
        <v>776.66</v>
      </c>
    </row>
    <row r="3260" spans="1:3" x14ac:dyDescent="0.25">
      <c r="A3260" s="115">
        <v>3416076</v>
      </c>
      <c r="B3260" s="115" t="s">
        <v>3110</v>
      </c>
      <c r="C3260" s="117">
        <v>776.66</v>
      </c>
    </row>
    <row r="3261" spans="1:3" x14ac:dyDescent="0.25">
      <c r="A3261" s="115">
        <v>3416077</v>
      </c>
      <c r="B3261" s="115" t="s">
        <v>3111</v>
      </c>
      <c r="C3261" s="117">
        <v>776.66</v>
      </c>
    </row>
    <row r="3262" spans="1:3" x14ac:dyDescent="0.25">
      <c r="A3262" s="115">
        <v>3416083</v>
      </c>
      <c r="B3262" s="115" t="s">
        <v>3112</v>
      </c>
      <c r="C3262" s="117">
        <v>776.66</v>
      </c>
    </row>
    <row r="3263" spans="1:3" x14ac:dyDescent="0.25">
      <c r="A3263" s="115">
        <v>3416089</v>
      </c>
      <c r="B3263" s="115" t="s">
        <v>3113</v>
      </c>
      <c r="C3263" s="117">
        <v>776.66</v>
      </c>
    </row>
    <row r="3264" spans="1:3" x14ac:dyDescent="0.25">
      <c r="A3264" s="115">
        <v>3416099</v>
      </c>
      <c r="B3264" s="115" t="s">
        <v>3114</v>
      </c>
      <c r="C3264" s="117">
        <v>7766.61</v>
      </c>
    </row>
    <row r="3265" spans="1:3" x14ac:dyDescent="0.25">
      <c r="A3265" s="115">
        <v>3415126</v>
      </c>
      <c r="B3265" s="115" t="s">
        <v>3115</v>
      </c>
      <c r="C3265" s="117">
        <v>359.81</v>
      </c>
    </row>
    <row r="3266" spans="1:3" x14ac:dyDescent="0.25">
      <c r="A3266" s="115">
        <v>3415129</v>
      </c>
      <c r="B3266" s="115" t="s">
        <v>3116</v>
      </c>
      <c r="C3266" s="117">
        <v>359.81</v>
      </c>
    </row>
    <row r="3267" spans="1:3" x14ac:dyDescent="0.25">
      <c r="A3267" s="115">
        <v>3415120</v>
      </c>
      <c r="B3267" s="115" t="s">
        <v>3117</v>
      </c>
      <c r="C3267" s="117">
        <v>359.81</v>
      </c>
    </row>
    <row r="3268" spans="1:3" x14ac:dyDescent="0.25">
      <c r="A3268" s="115">
        <v>3415140</v>
      </c>
      <c r="B3268" s="115" t="s">
        <v>3118</v>
      </c>
      <c r="C3268" s="117">
        <v>359.81</v>
      </c>
    </row>
    <row r="3269" spans="1:3" x14ac:dyDescent="0.25">
      <c r="A3269" s="115">
        <v>3415138</v>
      </c>
      <c r="B3269" s="115" t="s">
        <v>3119</v>
      </c>
      <c r="C3269" s="117">
        <v>359.81</v>
      </c>
    </row>
    <row r="3270" spans="1:3" x14ac:dyDescent="0.25">
      <c r="A3270" s="115">
        <v>3415167</v>
      </c>
      <c r="B3270" s="115" t="s">
        <v>3120</v>
      </c>
      <c r="C3270" s="117">
        <v>359.81</v>
      </c>
    </row>
    <row r="3271" spans="1:3" x14ac:dyDescent="0.25">
      <c r="A3271" s="115">
        <v>3415115</v>
      </c>
      <c r="B3271" s="115" t="s">
        <v>3121</v>
      </c>
      <c r="C3271" s="117">
        <v>359.81</v>
      </c>
    </row>
    <row r="3272" spans="1:3" x14ac:dyDescent="0.25">
      <c r="A3272" s="115">
        <v>3415163</v>
      </c>
      <c r="B3272" s="115" t="s">
        <v>3122</v>
      </c>
      <c r="C3272" s="117">
        <v>359.81</v>
      </c>
    </row>
    <row r="3273" spans="1:3" x14ac:dyDescent="0.25">
      <c r="A3273" s="115">
        <v>3415190</v>
      </c>
      <c r="B3273" s="115" t="s">
        <v>3123</v>
      </c>
      <c r="C3273" s="117">
        <v>359.81</v>
      </c>
    </row>
    <row r="3274" spans="1:3" x14ac:dyDescent="0.25">
      <c r="A3274" s="115">
        <v>3415189</v>
      </c>
      <c r="B3274" s="115" t="s">
        <v>3124</v>
      </c>
      <c r="C3274" s="117">
        <v>359.81</v>
      </c>
    </row>
    <row r="3275" spans="1:3" x14ac:dyDescent="0.25">
      <c r="A3275" s="115">
        <v>3415183</v>
      </c>
      <c r="B3275" s="115" t="s">
        <v>3125</v>
      </c>
      <c r="C3275" s="117">
        <v>359.81</v>
      </c>
    </row>
    <row r="3276" spans="1:3" x14ac:dyDescent="0.25">
      <c r="A3276" s="115">
        <v>3410529</v>
      </c>
      <c r="B3276" s="115" t="s">
        <v>3126</v>
      </c>
      <c r="C3276" s="117">
        <v>11228.29</v>
      </c>
    </row>
    <row r="3277" spans="1:3" x14ac:dyDescent="0.25">
      <c r="A3277" s="115">
        <v>3410525</v>
      </c>
      <c r="B3277" s="115" t="s">
        <v>3127</v>
      </c>
      <c r="C3277" s="117">
        <v>11228.29</v>
      </c>
    </row>
    <row r="3278" spans="1:3" x14ac:dyDescent="0.25">
      <c r="A3278" s="115">
        <v>3410540</v>
      </c>
      <c r="B3278" s="115" t="s">
        <v>3128</v>
      </c>
      <c r="C3278" s="117">
        <v>11228.29</v>
      </c>
    </row>
    <row r="3279" spans="1:3" x14ac:dyDescent="0.25">
      <c r="A3279" s="115">
        <v>3410563</v>
      </c>
      <c r="B3279" s="115" t="s">
        <v>3129</v>
      </c>
      <c r="C3279" s="117">
        <v>11228.29</v>
      </c>
    </row>
    <row r="3280" spans="1:3" x14ac:dyDescent="0.25">
      <c r="A3280" s="115">
        <v>3410577</v>
      </c>
      <c r="B3280" s="115" t="s">
        <v>3130</v>
      </c>
      <c r="C3280" s="117">
        <v>11228.29</v>
      </c>
    </row>
    <row r="3281" spans="1:3" x14ac:dyDescent="0.25">
      <c r="A3281" s="144" t="s">
        <v>3131</v>
      </c>
      <c r="B3281" s="145"/>
      <c r="C3281" s="145"/>
    </row>
    <row r="3282" spans="1:3" x14ac:dyDescent="0.25">
      <c r="A3282" s="115">
        <v>3079810</v>
      </c>
      <c r="B3282" s="115" t="s">
        <v>3132</v>
      </c>
      <c r="C3282" s="117">
        <v>1751.77</v>
      </c>
    </row>
    <row r="3283" spans="1:3" x14ac:dyDescent="0.25">
      <c r="A3283" s="115">
        <v>3079804</v>
      </c>
      <c r="B3283" s="115" t="s">
        <v>3133</v>
      </c>
      <c r="C3283" s="117">
        <v>1031.8599999999999</v>
      </c>
    </row>
    <row r="3284" spans="1:3" x14ac:dyDescent="0.25">
      <c r="A3284" s="115">
        <v>3079702</v>
      </c>
      <c r="B3284" s="115" t="s">
        <v>3134</v>
      </c>
      <c r="C3284" s="117">
        <v>806.39</v>
      </c>
    </row>
    <row r="3285" spans="1:3" x14ac:dyDescent="0.25">
      <c r="A3285" s="115">
        <v>3621801</v>
      </c>
      <c r="B3285" s="115" t="s">
        <v>3135</v>
      </c>
      <c r="C3285" s="117">
        <v>5843.36</v>
      </c>
    </row>
    <row r="3286" spans="1:3" x14ac:dyDescent="0.25">
      <c r="A3286" s="115">
        <v>3621800</v>
      </c>
      <c r="B3286" s="115" t="s">
        <v>3136</v>
      </c>
      <c r="C3286" s="117">
        <v>16646.75</v>
      </c>
    </row>
    <row r="3287" spans="1:3" x14ac:dyDescent="0.25">
      <c r="A3287" s="115">
        <v>3075512</v>
      </c>
      <c r="B3287" s="115" t="s">
        <v>3137</v>
      </c>
      <c r="C3287" s="117">
        <v>1656.71</v>
      </c>
    </row>
    <row r="3288" spans="1:3" x14ac:dyDescent="0.25">
      <c r="A3288" s="115">
        <v>3075500</v>
      </c>
      <c r="B3288" s="115" t="s">
        <v>3138</v>
      </c>
      <c r="C3288" s="117">
        <v>3143.7</v>
      </c>
    </row>
    <row r="3289" spans="1:3" x14ac:dyDescent="0.25">
      <c r="A3289" s="115">
        <v>3075501</v>
      </c>
      <c r="B3289" s="115" t="s">
        <v>3139</v>
      </c>
      <c r="C3289" s="117">
        <v>2726.11</v>
      </c>
    </row>
    <row r="3290" spans="1:3" x14ac:dyDescent="0.25">
      <c r="A3290" s="115">
        <v>3075659</v>
      </c>
      <c r="B3290" s="115" t="s">
        <v>3140</v>
      </c>
      <c r="C3290" s="117">
        <v>1007.99</v>
      </c>
    </row>
    <row r="3291" spans="1:3" x14ac:dyDescent="0.25">
      <c r="A3291" s="115">
        <v>3075669</v>
      </c>
      <c r="B3291" s="115" t="s">
        <v>3141</v>
      </c>
      <c r="C3291" s="117">
        <v>1007.99</v>
      </c>
    </row>
    <row r="3292" spans="1:3" x14ac:dyDescent="0.25">
      <c r="A3292" s="115">
        <v>3075679</v>
      </c>
      <c r="B3292" s="115" t="s">
        <v>3142</v>
      </c>
      <c r="C3292" s="117">
        <v>1007.99</v>
      </c>
    </row>
    <row r="3293" spans="1:3" x14ac:dyDescent="0.25">
      <c r="A3293" s="115">
        <v>3075601</v>
      </c>
      <c r="B3293" s="115" t="s">
        <v>3143</v>
      </c>
      <c r="C3293" s="117">
        <v>1580.43</v>
      </c>
    </row>
    <row r="3294" spans="1:3" x14ac:dyDescent="0.25">
      <c r="A3294" s="115">
        <v>3075602</v>
      </c>
      <c r="B3294" s="115" t="s">
        <v>3144</v>
      </c>
      <c r="C3294" s="117">
        <v>1580.43</v>
      </c>
    </row>
    <row r="3295" spans="1:3" x14ac:dyDescent="0.25">
      <c r="A3295" s="115">
        <v>3077010</v>
      </c>
      <c r="B3295" s="115" t="s">
        <v>3145</v>
      </c>
      <c r="C3295" s="117">
        <v>1907.99</v>
      </c>
    </row>
    <row r="3296" spans="1:3" x14ac:dyDescent="0.25">
      <c r="A3296" s="115">
        <v>3077020</v>
      </c>
      <c r="B3296" s="115" t="s">
        <v>3146</v>
      </c>
      <c r="C3296" s="117">
        <v>1907.99</v>
      </c>
    </row>
    <row r="3297" spans="1:3" x14ac:dyDescent="0.25">
      <c r="A3297" s="115">
        <v>3078870</v>
      </c>
      <c r="B3297" s="115" t="s">
        <v>3147</v>
      </c>
      <c r="C3297" s="117">
        <v>406.34</v>
      </c>
    </row>
    <row r="3298" spans="1:3" x14ac:dyDescent="0.25">
      <c r="A3298" s="115">
        <v>3077006</v>
      </c>
      <c r="B3298" s="115" t="s">
        <v>3148</v>
      </c>
      <c r="C3298" s="117">
        <v>1635.19</v>
      </c>
    </row>
    <row r="3299" spans="1:3" x14ac:dyDescent="0.25">
      <c r="A3299" s="115">
        <v>3077011</v>
      </c>
      <c r="B3299" s="115" t="s">
        <v>3149</v>
      </c>
      <c r="C3299" s="117">
        <v>1635.19</v>
      </c>
    </row>
    <row r="3300" spans="1:3" x14ac:dyDescent="0.25">
      <c r="A3300" s="115">
        <v>3077017</v>
      </c>
      <c r="B3300" s="115" t="s">
        <v>3150</v>
      </c>
      <c r="C3300" s="117">
        <v>1635.19</v>
      </c>
    </row>
    <row r="3301" spans="1:3" x14ac:dyDescent="0.25">
      <c r="A3301" s="115">
        <v>3077051</v>
      </c>
      <c r="B3301" s="115" t="s">
        <v>3151</v>
      </c>
      <c r="C3301" s="117">
        <v>1635.19</v>
      </c>
    </row>
    <row r="3302" spans="1:3" x14ac:dyDescent="0.25">
      <c r="A3302" s="115">
        <v>3077054</v>
      </c>
      <c r="B3302" s="115" t="s">
        <v>3152</v>
      </c>
      <c r="C3302" s="117">
        <v>1635.19</v>
      </c>
    </row>
    <row r="3303" spans="1:3" x14ac:dyDescent="0.25">
      <c r="A3303" s="115">
        <v>3077002</v>
      </c>
      <c r="B3303" s="115" t="s">
        <v>3153</v>
      </c>
      <c r="C3303" s="117">
        <v>1635.19</v>
      </c>
    </row>
    <row r="3304" spans="1:3" x14ac:dyDescent="0.25">
      <c r="A3304" s="115">
        <v>3077001</v>
      </c>
      <c r="B3304" s="115" t="s">
        <v>3154</v>
      </c>
      <c r="C3304" s="117">
        <v>1635.19</v>
      </c>
    </row>
    <row r="3305" spans="1:3" x14ac:dyDescent="0.25">
      <c r="A3305" s="115">
        <v>3077022</v>
      </c>
      <c r="B3305" s="115" t="s">
        <v>3155</v>
      </c>
      <c r="C3305" s="117">
        <v>1144.6300000000001</v>
      </c>
    </row>
    <row r="3306" spans="1:3" x14ac:dyDescent="0.25">
      <c r="A3306" s="115">
        <v>3077052</v>
      </c>
      <c r="B3306" s="115" t="s">
        <v>3156</v>
      </c>
      <c r="C3306" s="117">
        <v>1635.19</v>
      </c>
    </row>
    <row r="3307" spans="1:3" x14ac:dyDescent="0.25">
      <c r="A3307" s="115">
        <v>3077028</v>
      </c>
      <c r="B3307" s="115" t="s">
        <v>3157</v>
      </c>
      <c r="C3307" s="117">
        <v>1635.19</v>
      </c>
    </row>
    <row r="3308" spans="1:3" x14ac:dyDescent="0.25">
      <c r="A3308" s="115">
        <v>3077045</v>
      </c>
      <c r="B3308" s="115" t="s">
        <v>3158</v>
      </c>
      <c r="C3308" s="117">
        <v>1144.6300000000001</v>
      </c>
    </row>
    <row r="3309" spans="1:3" x14ac:dyDescent="0.25">
      <c r="A3309" s="115">
        <v>3077026</v>
      </c>
      <c r="B3309" s="115" t="s">
        <v>3159</v>
      </c>
      <c r="C3309" s="117">
        <v>1635.19</v>
      </c>
    </row>
    <row r="3310" spans="1:3" x14ac:dyDescent="0.25">
      <c r="A3310" s="115">
        <v>3077094</v>
      </c>
      <c r="B3310" s="115" t="s">
        <v>3160</v>
      </c>
      <c r="C3310" s="117">
        <v>1635.19</v>
      </c>
    </row>
    <row r="3311" spans="1:3" x14ac:dyDescent="0.25">
      <c r="A3311" s="115">
        <v>3077040</v>
      </c>
      <c r="B3311" s="115" t="s">
        <v>3161</v>
      </c>
      <c r="C3311" s="117">
        <v>1635.19</v>
      </c>
    </row>
    <row r="3312" spans="1:3" x14ac:dyDescent="0.25">
      <c r="A3312" s="115">
        <v>3077008</v>
      </c>
      <c r="B3312" s="115" t="s">
        <v>3162</v>
      </c>
      <c r="C3312" s="117">
        <v>1144.6300000000001</v>
      </c>
    </row>
    <row r="3313" spans="1:3" x14ac:dyDescent="0.25">
      <c r="A3313" s="115">
        <v>3077099</v>
      </c>
      <c r="B3313" s="115" t="s">
        <v>3163</v>
      </c>
      <c r="C3313" s="117">
        <v>1635.19</v>
      </c>
    </row>
    <row r="3314" spans="1:3" x14ac:dyDescent="0.25">
      <c r="A3314" s="115">
        <v>3077078</v>
      </c>
      <c r="B3314" s="115" t="s">
        <v>3164</v>
      </c>
      <c r="C3314" s="117">
        <v>1144.6300000000001</v>
      </c>
    </row>
    <row r="3315" spans="1:3" x14ac:dyDescent="0.25">
      <c r="A3315" s="115">
        <v>3077023</v>
      </c>
      <c r="B3315" s="115" t="s">
        <v>3165</v>
      </c>
      <c r="C3315" s="117">
        <v>1635.19</v>
      </c>
    </row>
    <row r="3316" spans="1:3" x14ac:dyDescent="0.25">
      <c r="A3316" s="115">
        <v>3077030</v>
      </c>
      <c r="B3316" s="115" t="s">
        <v>3166</v>
      </c>
      <c r="C3316" s="117">
        <v>1144.6300000000001</v>
      </c>
    </row>
    <row r="3317" spans="1:3" x14ac:dyDescent="0.25">
      <c r="A3317" s="115">
        <v>3077037</v>
      </c>
      <c r="B3317" s="115" t="s">
        <v>3167</v>
      </c>
      <c r="C3317" s="117">
        <v>1144.6300000000001</v>
      </c>
    </row>
    <row r="3318" spans="1:3" x14ac:dyDescent="0.25">
      <c r="A3318" s="115">
        <v>3077039</v>
      </c>
      <c r="B3318" s="115" t="s">
        <v>3168</v>
      </c>
      <c r="C3318" s="117">
        <v>1635.19</v>
      </c>
    </row>
    <row r="3319" spans="1:3" x14ac:dyDescent="0.25">
      <c r="A3319" s="115">
        <v>3077004</v>
      </c>
      <c r="B3319" s="115" t="s">
        <v>3169</v>
      </c>
      <c r="C3319" s="117">
        <v>1144.6300000000001</v>
      </c>
    </row>
    <row r="3320" spans="1:3" x14ac:dyDescent="0.25">
      <c r="A3320" s="115">
        <v>3077084</v>
      </c>
      <c r="B3320" s="115" t="s">
        <v>3170</v>
      </c>
      <c r="C3320" s="117">
        <v>1635.19</v>
      </c>
    </row>
    <row r="3321" spans="1:3" x14ac:dyDescent="0.25">
      <c r="A3321" s="115">
        <v>3077085</v>
      </c>
      <c r="B3321" s="115" t="s">
        <v>3171</v>
      </c>
      <c r="C3321" s="117">
        <v>1635.19</v>
      </c>
    </row>
    <row r="3322" spans="1:3" x14ac:dyDescent="0.25">
      <c r="A3322" s="115">
        <v>3077086</v>
      </c>
      <c r="B3322" s="115" t="s">
        <v>3172</v>
      </c>
      <c r="C3322" s="117">
        <v>1144.6300000000001</v>
      </c>
    </row>
    <row r="3323" spans="1:3" x14ac:dyDescent="0.25">
      <c r="A3323" s="115">
        <v>3077087</v>
      </c>
      <c r="B3323" s="115" t="s">
        <v>3173</v>
      </c>
      <c r="C3323" s="117">
        <v>1635.19</v>
      </c>
    </row>
    <row r="3324" spans="1:3" x14ac:dyDescent="0.25">
      <c r="A3324" s="115">
        <v>3077064</v>
      </c>
      <c r="B3324" s="115" t="s">
        <v>3174</v>
      </c>
      <c r="C3324" s="117">
        <v>1144.6300000000001</v>
      </c>
    </row>
    <row r="3325" spans="1:3" x14ac:dyDescent="0.25">
      <c r="A3325" s="115">
        <v>3077070</v>
      </c>
      <c r="B3325" s="115" t="s">
        <v>3175</v>
      </c>
      <c r="C3325" s="117">
        <v>1635.19</v>
      </c>
    </row>
    <row r="3326" spans="1:3" x14ac:dyDescent="0.25">
      <c r="A3326" s="115">
        <v>3077065</v>
      </c>
      <c r="B3326" s="115" t="s">
        <v>3176</v>
      </c>
      <c r="C3326" s="117">
        <v>1635.19</v>
      </c>
    </row>
    <row r="3327" spans="1:3" x14ac:dyDescent="0.25">
      <c r="A3327" s="115">
        <v>3077060</v>
      </c>
      <c r="B3327" s="115" t="s">
        <v>3177</v>
      </c>
      <c r="C3327" s="117">
        <v>1635.19</v>
      </c>
    </row>
    <row r="3328" spans="1:3" x14ac:dyDescent="0.25">
      <c r="A3328" s="115">
        <v>3070118</v>
      </c>
      <c r="B3328" s="115" t="s">
        <v>3178</v>
      </c>
      <c r="C3328" s="117">
        <v>2983.07</v>
      </c>
    </row>
    <row r="3329" spans="1:3" x14ac:dyDescent="0.25">
      <c r="A3329" s="115">
        <v>3070122</v>
      </c>
      <c r="B3329" s="115" t="s">
        <v>3179</v>
      </c>
      <c r="C3329" s="117">
        <v>3264.78</v>
      </c>
    </row>
    <row r="3330" spans="1:3" x14ac:dyDescent="0.25">
      <c r="A3330" s="115">
        <v>3070130</v>
      </c>
      <c r="B3330" s="115" t="s">
        <v>3180</v>
      </c>
      <c r="C3330" s="117">
        <v>3338.58</v>
      </c>
    </row>
    <row r="3331" spans="1:3" x14ac:dyDescent="0.25">
      <c r="A3331" s="115">
        <v>3070124</v>
      </c>
      <c r="B3331" s="115" t="s">
        <v>3181</v>
      </c>
      <c r="C3331" s="117">
        <v>3635.12</v>
      </c>
    </row>
    <row r="3332" spans="1:3" x14ac:dyDescent="0.25">
      <c r="A3332" s="115">
        <v>3070127</v>
      </c>
      <c r="B3332" s="115" t="s">
        <v>3182</v>
      </c>
      <c r="C3332" s="117">
        <v>4445.6400000000003</v>
      </c>
    </row>
    <row r="3333" spans="1:3" x14ac:dyDescent="0.25">
      <c r="A3333" s="115">
        <v>3070140</v>
      </c>
      <c r="B3333" s="115" t="s">
        <v>3183</v>
      </c>
      <c r="C3333" s="117">
        <v>4391.12</v>
      </c>
    </row>
    <row r="3334" spans="1:3" x14ac:dyDescent="0.25">
      <c r="A3334" s="115">
        <v>3070134</v>
      </c>
      <c r="B3334" s="115" t="s">
        <v>3184</v>
      </c>
      <c r="C3334" s="117">
        <v>5197.25</v>
      </c>
    </row>
    <row r="3335" spans="1:3" x14ac:dyDescent="0.25">
      <c r="A3335" s="115">
        <v>3070135</v>
      </c>
      <c r="B3335" s="115" t="s">
        <v>3185</v>
      </c>
      <c r="C3335" s="117">
        <v>6228.32</v>
      </c>
    </row>
    <row r="3336" spans="1:3" x14ac:dyDescent="0.25">
      <c r="A3336" s="115">
        <v>3070144</v>
      </c>
      <c r="B3336" s="115" t="s">
        <v>3186</v>
      </c>
      <c r="C3336" s="117">
        <v>6050.29</v>
      </c>
    </row>
    <row r="3337" spans="1:3" x14ac:dyDescent="0.25">
      <c r="A3337" s="115">
        <v>3070145</v>
      </c>
      <c r="B3337" s="115" t="s">
        <v>3187</v>
      </c>
      <c r="C3337" s="117">
        <v>6098.52</v>
      </c>
    </row>
    <row r="3338" spans="1:3" x14ac:dyDescent="0.25">
      <c r="A3338" s="115">
        <v>3070160</v>
      </c>
      <c r="B3338" s="115" t="s">
        <v>3188</v>
      </c>
      <c r="C3338" s="117">
        <v>7183.16</v>
      </c>
    </row>
    <row r="3339" spans="1:3" x14ac:dyDescent="0.25">
      <c r="A3339" s="115">
        <v>3070155</v>
      </c>
      <c r="B3339" s="115" t="s">
        <v>3189</v>
      </c>
      <c r="C3339" s="117">
        <v>6621.83</v>
      </c>
    </row>
    <row r="3340" spans="1:3" x14ac:dyDescent="0.25">
      <c r="A3340" s="115">
        <v>3070150</v>
      </c>
      <c r="B3340" s="115" t="s">
        <v>3190</v>
      </c>
      <c r="C3340" s="117">
        <v>7692.29</v>
      </c>
    </row>
    <row r="3341" spans="1:3" x14ac:dyDescent="0.25">
      <c r="A3341" s="115">
        <v>3070157</v>
      </c>
      <c r="B3341" s="115" t="s">
        <v>3191</v>
      </c>
      <c r="C3341" s="117">
        <v>9123.94</v>
      </c>
    </row>
    <row r="3342" spans="1:3" x14ac:dyDescent="0.25">
      <c r="A3342" s="115">
        <v>3070180</v>
      </c>
      <c r="B3342" s="115" t="s">
        <v>3192</v>
      </c>
      <c r="C3342" s="117">
        <v>14141.16</v>
      </c>
    </row>
    <row r="3343" spans="1:3" x14ac:dyDescent="0.25">
      <c r="A3343" s="115">
        <v>3070170</v>
      </c>
      <c r="B3343" s="115" t="s">
        <v>3193</v>
      </c>
      <c r="C3343" s="117">
        <v>16806.91</v>
      </c>
    </row>
    <row r="3344" spans="1:3" x14ac:dyDescent="0.25">
      <c r="A3344" s="115">
        <v>3070110</v>
      </c>
      <c r="B3344" s="115" t="s">
        <v>3194</v>
      </c>
      <c r="C3344" s="117">
        <v>20461.099999999999</v>
      </c>
    </row>
    <row r="3345" spans="1:3" x14ac:dyDescent="0.25">
      <c r="A3345" s="115">
        <v>3070204</v>
      </c>
      <c r="B3345" s="115" t="s">
        <v>3195</v>
      </c>
      <c r="C3345" s="117">
        <v>5788.3</v>
      </c>
    </row>
    <row r="3346" spans="1:3" x14ac:dyDescent="0.25">
      <c r="A3346" s="115">
        <v>3070232</v>
      </c>
      <c r="B3346" s="115" t="s">
        <v>3196</v>
      </c>
      <c r="C3346" s="117">
        <v>5788.3</v>
      </c>
    </row>
    <row r="3347" spans="1:3" x14ac:dyDescent="0.25">
      <c r="A3347" s="115">
        <v>3070226</v>
      </c>
      <c r="B3347" s="115" t="s">
        <v>3197</v>
      </c>
      <c r="C3347" s="117">
        <v>5788.3</v>
      </c>
    </row>
    <row r="3348" spans="1:3" x14ac:dyDescent="0.25">
      <c r="A3348" s="115">
        <v>3070225</v>
      </c>
      <c r="B3348" s="115" t="s">
        <v>3198</v>
      </c>
      <c r="C3348" s="117">
        <v>5788.3</v>
      </c>
    </row>
    <row r="3349" spans="1:3" x14ac:dyDescent="0.25">
      <c r="A3349" s="115">
        <v>3070222</v>
      </c>
      <c r="B3349" s="115" t="s">
        <v>3199</v>
      </c>
      <c r="C3349" s="117">
        <v>5788.3</v>
      </c>
    </row>
    <row r="3350" spans="1:3" x14ac:dyDescent="0.25">
      <c r="A3350" s="115">
        <v>3070231</v>
      </c>
      <c r="B3350" s="115" t="s">
        <v>3200</v>
      </c>
      <c r="C3350" s="117">
        <v>5788.3</v>
      </c>
    </row>
    <row r="3351" spans="1:3" x14ac:dyDescent="0.25">
      <c r="A3351" s="115">
        <v>3070230</v>
      </c>
      <c r="B3351" s="115" t="s">
        <v>3201</v>
      </c>
      <c r="C3351" s="117">
        <v>5788.3</v>
      </c>
    </row>
    <row r="3352" spans="1:3" x14ac:dyDescent="0.25">
      <c r="A3352" s="115">
        <v>3070213</v>
      </c>
      <c r="B3352" s="115" t="s">
        <v>3202</v>
      </c>
      <c r="C3352" s="117">
        <v>5788.3</v>
      </c>
    </row>
    <row r="3353" spans="1:3" x14ac:dyDescent="0.25">
      <c r="A3353" s="115">
        <v>3070223</v>
      </c>
      <c r="B3353" s="115" t="s">
        <v>3203</v>
      </c>
      <c r="C3353" s="117">
        <v>5788.3</v>
      </c>
    </row>
    <row r="3354" spans="1:3" x14ac:dyDescent="0.25">
      <c r="A3354" s="115">
        <v>3070185</v>
      </c>
      <c r="B3354" s="115" t="s">
        <v>3204</v>
      </c>
      <c r="C3354" s="117">
        <v>11308.38</v>
      </c>
    </row>
    <row r="3355" spans="1:3" x14ac:dyDescent="0.25">
      <c r="A3355" s="115">
        <v>3070186</v>
      </c>
      <c r="B3355" s="115" t="s">
        <v>3205</v>
      </c>
      <c r="C3355" s="117">
        <v>13238.58</v>
      </c>
    </row>
    <row r="3356" spans="1:3" x14ac:dyDescent="0.25">
      <c r="A3356" s="115">
        <v>3337000</v>
      </c>
      <c r="B3356" s="115" t="s">
        <v>3206</v>
      </c>
      <c r="C3356" s="117">
        <v>1889.99</v>
      </c>
    </row>
    <row r="3357" spans="1:3" x14ac:dyDescent="0.25">
      <c r="A3357" s="115">
        <v>3335000</v>
      </c>
      <c r="B3357" s="115" t="s">
        <v>3207</v>
      </c>
      <c r="C3357" s="117">
        <v>236.03</v>
      </c>
    </row>
    <row r="3358" spans="1:3" x14ac:dyDescent="0.25">
      <c r="A3358" s="115">
        <v>3335001</v>
      </c>
      <c r="B3358" s="115" t="s">
        <v>3208</v>
      </c>
      <c r="C3358" s="117">
        <v>313.58999999999997</v>
      </c>
    </row>
    <row r="3359" spans="1:3" x14ac:dyDescent="0.25">
      <c r="A3359" s="115">
        <v>3335002</v>
      </c>
      <c r="B3359" s="115" t="s">
        <v>3209</v>
      </c>
      <c r="C3359" s="117">
        <v>705.58</v>
      </c>
    </row>
    <row r="3360" spans="1:3" x14ac:dyDescent="0.25">
      <c r="A3360" s="115">
        <v>3335003</v>
      </c>
      <c r="B3360" s="115" t="s">
        <v>3210</v>
      </c>
      <c r="C3360" s="117">
        <v>798.29</v>
      </c>
    </row>
    <row r="3361" spans="1:3" x14ac:dyDescent="0.25">
      <c r="A3361" s="115">
        <v>3335004</v>
      </c>
      <c r="B3361" s="115" t="s">
        <v>3211</v>
      </c>
      <c r="C3361" s="117">
        <v>1548.74</v>
      </c>
    </row>
    <row r="3362" spans="1:3" x14ac:dyDescent="0.25">
      <c r="A3362" s="115">
        <v>3336002</v>
      </c>
      <c r="B3362" s="115" t="s">
        <v>12343</v>
      </c>
      <c r="C3362" s="117">
        <v>132.63999999999999</v>
      </c>
    </row>
    <row r="3363" spans="1:3" x14ac:dyDescent="0.25">
      <c r="A3363" s="115">
        <v>3079703</v>
      </c>
      <c r="B3363" s="115" t="s">
        <v>3212</v>
      </c>
      <c r="C3363" s="117">
        <v>823.19</v>
      </c>
    </row>
    <row r="3364" spans="1:3" x14ac:dyDescent="0.25">
      <c r="A3364" s="115">
        <v>3078010</v>
      </c>
      <c r="B3364" s="115" t="s">
        <v>3213</v>
      </c>
      <c r="C3364" s="117">
        <v>1101.45</v>
      </c>
    </row>
    <row r="3365" spans="1:3" x14ac:dyDescent="0.25">
      <c r="A3365" s="115">
        <v>3078011</v>
      </c>
      <c r="B3365" s="115" t="s">
        <v>3214</v>
      </c>
      <c r="C3365" s="117">
        <v>1267.79</v>
      </c>
    </row>
    <row r="3366" spans="1:3" x14ac:dyDescent="0.25">
      <c r="A3366" s="115">
        <v>3078017</v>
      </c>
      <c r="B3366" s="115" t="s">
        <v>3215</v>
      </c>
      <c r="C3366" s="117">
        <v>1267.79</v>
      </c>
    </row>
    <row r="3367" spans="1:3" x14ac:dyDescent="0.25">
      <c r="A3367" s="115">
        <v>3078051</v>
      </c>
      <c r="B3367" s="115" t="s">
        <v>3216</v>
      </c>
      <c r="C3367" s="117">
        <v>934.24</v>
      </c>
    </row>
    <row r="3368" spans="1:3" x14ac:dyDescent="0.25">
      <c r="A3368" s="115">
        <v>3078054</v>
      </c>
      <c r="B3368" s="115" t="s">
        <v>3217</v>
      </c>
      <c r="C3368" s="117">
        <v>1573.51</v>
      </c>
    </row>
    <row r="3369" spans="1:3" x14ac:dyDescent="0.25">
      <c r="A3369" s="115">
        <v>3078050</v>
      </c>
      <c r="B3369" s="115" t="s">
        <v>3218</v>
      </c>
      <c r="C3369" s="117">
        <v>934.24</v>
      </c>
    </row>
    <row r="3370" spans="1:3" x14ac:dyDescent="0.25">
      <c r="A3370" s="115">
        <v>3078121</v>
      </c>
      <c r="B3370" s="115" t="s">
        <v>3219</v>
      </c>
      <c r="C3370" s="117">
        <v>1188.8399999999999</v>
      </c>
    </row>
    <row r="3371" spans="1:3" x14ac:dyDescent="0.25">
      <c r="A3371" s="115">
        <v>3078022</v>
      </c>
      <c r="B3371" s="115" t="s">
        <v>3220</v>
      </c>
      <c r="C3371" s="117">
        <v>1101.45</v>
      </c>
    </row>
    <row r="3372" spans="1:3" x14ac:dyDescent="0.25">
      <c r="A3372" s="115">
        <v>3078031</v>
      </c>
      <c r="B3372" s="115" t="s">
        <v>3221</v>
      </c>
      <c r="C3372" s="117">
        <v>1101.45</v>
      </c>
    </row>
    <row r="3373" spans="1:3" x14ac:dyDescent="0.25">
      <c r="A3373" s="115">
        <v>3078028</v>
      </c>
      <c r="B3373" s="115" t="s">
        <v>3222</v>
      </c>
      <c r="C3373" s="117">
        <v>1101.45</v>
      </c>
    </row>
    <row r="3374" spans="1:3" x14ac:dyDescent="0.25">
      <c r="A3374" s="115">
        <v>3078027</v>
      </c>
      <c r="B3374" s="115" t="s">
        <v>3223</v>
      </c>
      <c r="C3374" s="117">
        <v>1101.45</v>
      </c>
    </row>
    <row r="3375" spans="1:3" x14ac:dyDescent="0.25">
      <c r="A3375" s="115">
        <v>3078088</v>
      </c>
      <c r="B3375" s="115" t="s">
        <v>3224</v>
      </c>
      <c r="C3375" s="117">
        <v>1101.45</v>
      </c>
    </row>
    <row r="3376" spans="1:3" x14ac:dyDescent="0.25">
      <c r="A3376" s="115">
        <v>3078110</v>
      </c>
      <c r="B3376" s="115" t="s">
        <v>3225</v>
      </c>
      <c r="C3376" s="117">
        <v>1188.8399999999999</v>
      </c>
    </row>
    <row r="3377" spans="1:3" x14ac:dyDescent="0.25">
      <c r="A3377" s="115">
        <v>3078026</v>
      </c>
      <c r="B3377" s="115" t="s">
        <v>3226</v>
      </c>
      <c r="C3377" s="117">
        <v>1267.79</v>
      </c>
    </row>
    <row r="3378" spans="1:3" x14ac:dyDescent="0.25">
      <c r="A3378" s="115">
        <v>3078097</v>
      </c>
      <c r="B3378" s="115" t="s">
        <v>3227</v>
      </c>
      <c r="C3378" s="117">
        <v>1101.45</v>
      </c>
    </row>
    <row r="3379" spans="1:3" x14ac:dyDescent="0.25">
      <c r="A3379" s="115">
        <v>3078043</v>
      </c>
      <c r="B3379" s="115" t="s">
        <v>3228</v>
      </c>
      <c r="C3379" s="117">
        <v>1267.79</v>
      </c>
    </row>
    <row r="3380" spans="1:3" x14ac:dyDescent="0.25">
      <c r="A3380" s="115">
        <v>3078029</v>
      </c>
      <c r="B3380" s="115" t="s">
        <v>3229</v>
      </c>
      <c r="C3380" s="117">
        <v>887.45</v>
      </c>
    </row>
    <row r="3381" spans="1:3" x14ac:dyDescent="0.25">
      <c r="A3381" s="115">
        <v>3078099</v>
      </c>
      <c r="B3381" s="115" t="s">
        <v>3230</v>
      </c>
      <c r="C3381" s="117">
        <v>1267.79</v>
      </c>
    </row>
    <row r="3382" spans="1:3" x14ac:dyDescent="0.25">
      <c r="A3382" s="115">
        <v>3078078</v>
      </c>
      <c r="B3382" s="115" t="s">
        <v>3231</v>
      </c>
      <c r="C3382" s="117">
        <v>1101.45</v>
      </c>
    </row>
    <row r="3383" spans="1:3" x14ac:dyDescent="0.25">
      <c r="A3383" s="115">
        <v>3078106</v>
      </c>
      <c r="B3383" s="115" t="s">
        <v>3232</v>
      </c>
      <c r="C3383" s="117">
        <v>1368.36</v>
      </c>
    </row>
    <row r="3384" spans="1:3" x14ac:dyDescent="0.25">
      <c r="A3384" s="115">
        <v>3078105</v>
      </c>
      <c r="B3384" s="115" t="s">
        <v>3233</v>
      </c>
      <c r="C3384" s="117">
        <v>1368.36</v>
      </c>
    </row>
    <row r="3385" spans="1:3" x14ac:dyDescent="0.25">
      <c r="A3385" s="115">
        <v>3078101</v>
      </c>
      <c r="B3385" s="115" t="s">
        <v>3234</v>
      </c>
      <c r="C3385" s="117">
        <v>1368.36</v>
      </c>
    </row>
    <row r="3386" spans="1:3" x14ac:dyDescent="0.25">
      <c r="A3386" s="115">
        <v>3078059</v>
      </c>
      <c r="B3386" s="115" t="s">
        <v>3235</v>
      </c>
      <c r="C3386" s="117">
        <v>1101.45</v>
      </c>
    </row>
    <row r="3387" spans="1:3" x14ac:dyDescent="0.25">
      <c r="A3387" s="115">
        <v>3078024</v>
      </c>
      <c r="B3387" s="115" t="s">
        <v>3236</v>
      </c>
      <c r="C3387" s="117">
        <v>887.45</v>
      </c>
    </row>
    <row r="3388" spans="1:3" x14ac:dyDescent="0.25">
      <c r="A3388" s="115">
        <v>3078023</v>
      </c>
      <c r="B3388" s="115" t="s">
        <v>3237</v>
      </c>
      <c r="C3388" s="117">
        <v>1267.79</v>
      </c>
    </row>
    <row r="3389" spans="1:3" x14ac:dyDescent="0.25">
      <c r="A3389" s="115">
        <v>3078030</v>
      </c>
      <c r="B3389" s="115" t="s">
        <v>3238</v>
      </c>
      <c r="C3389" s="117">
        <v>887.45</v>
      </c>
    </row>
    <row r="3390" spans="1:3" x14ac:dyDescent="0.25">
      <c r="A3390" s="115">
        <v>3078004</v>
      </c>
      <c r="B3390" s="115" t="s">
        <v>3239</v>
      </c>
      <c r="C3390" s="117">
        <v>1573.51</v>
      </c>
    </row>
    <row r="3391" spans="1:3" x14ac:dyDescent="0.25">
      <c r="A3391" s="115">
        <v>3078080</v>
      </c>
      <c r="B3391" s="115" t="s">
        <v>3240</v>
      </c>
      <c r="C3391" s="117">
        <v>1101.45</v>
      </c>
    </row>
    <row r="3392" spans="1:3" x14ac:dyDescent="0.25">
      <c r="A3392" s="115">
        <v>3078087</v>
      </c>
      <c r="B3392" s="115" t="s">
        <v>3241</v>
      </c>
      <c r="C3392" s="117">
        <v>1573.51</v>
      </c>
    </row>
    <row r="3393" spans="1:3" x14ac:dyDescent="0.25">
      <c r="A3393" s="115">
        <v>3078600</v>
      </c>
      <c r="B3393" s="115" t="s">
        <v>3242</v>
      </c>
      <c r="C3393" s="117">
        <v>2499.15</v>
      </c>
    </row>
    <row r="3394" spans="1:3" x14ac:dyDescent="0.25">
      <c r="A3394" s="115">
        <v>3078601</v>
      </c>
      <c r="B3394" s="115" t="s">
        <v>3243</v>
      </c>
      <c r="C3394" s="117">
        <v>3610.27</v>
      </c>
    </row>
    <row r="3395" spans="1:3" x14ac:dyDescent="0.25">
      <c r="A3395" s="115">
        <v>3078602</v>
      </c>
      <c r="B3395" s="115" t="s">
        <v>3244</v>
      </c>
      <c r="C3395" s="117">
        <v>3598.96</v>
      </c>
    </row>
    <row r="3396" spans="1:3" x14ac:dyDescent="0.25">
      <c r="A3396" s="115">
        <v>3078603</v>
      </c>
      <c r="B3396" s="115" t="s">
        <v>3245</v>
      </c>
      <c r="C3396" s="117">
        <v>5077.4399999999996</v>
      </c>
    </row>
    <row r="3397" spans="1:3" x14ac:dyDescent="0.25">
      <c r="A3397" s="115">
        <v>3078604</v>
      </c>
      <c r="B3397" s="115" t="s">
        <v>3246</v>
      </c>
      <c r="C3397" s="117">
        <v>7069.55</v>
      </c>
    </row>
    <row r="3398" spans="1:3" x14ac:dyDescent="0.25">
      <c r="A3398" s="115">
        <v>6990500</v>
      </c>
      <c r="B3398" s="115" t="s">
        <v>3247</v>
      </c>
      <c r="C3398" s="117">
        <v>2699.98</v>
      </c>
    </row>
    <row r="3399" spans="1:3" x14ac:dyDescent="0.25">
      <c r="A3399" s="115">
        <v>3077058</v>
      </c>
      <c r="B3399" s="115" t="s">
        <v>3248</v>
      </c>
      <c r="C3399" s="117">
        <v>411.6</v>
      </c>
    </row>
    <row r="3400" spans="1:3" x14ac:dyDescent="0.25">
      <c r="A3400" s="115">
        <v>3077050</v>
      </c>
      <c r="B3400" s="115" t="s">
        <v>3249</v>
      </c>
      <c r="C3400" s="117">
        <v>546</v>
      </c>
    </row>
    <row r="3401" spans="1:3" x14ac:dyDescent="0.25">
      <c r="A3401" s="115">
        <v>3079400</v>
      </c>
      <c r="B3401" s="115" t="s">
        <v>3250</v>
      </c>
      <c r="C3401" s="117">
        <v>1995.09</v>
      </c>
    </row>
    <row r="3402" spans="1:3" x14ac:dyDescent="0.25">
      <c r="A3402" s="115">
        <v>3077080</v>
      </c>
      <c r="B3402" s="115" t="s">
        <v>3251</v>
      </c>
      <c r="C3402" s="117">
        <v>1487.99</v>
      </c>
    </row>
    <row r="3403" spans="1:3" x14ac:dyDescent="0.25">
      <c r="A3403" s="115">
        <v>3071800</v>
      </c>
      <c r="B3403" s="115" t="s">
        <v>3252</v>
      </c>
      <c r="C3403" s="117">
        <v>1067.99</v>
      </c>
    </row>
    <row r="3404" spans="1:3" x14ac:dyDescent="0.25">
      <c r="A3404" s="115">
        <v>3071500</v>
      </c>
      <c r="B3404" s="115" t="s">
        <v>3253</v>
      </c>
      <c r="C3404" s="117">
        <v>755.99</v>
      </c>
    </row>
    <row r="3405" spans="1:3" x14ac:dyDescent="0.25">
      <c r="A3405" s="115">
        <v>3071300</v>
      </c>
      <c r="B3405" s="115" t="s">
        <v>3254</v>
      </c>
      <c r="C3405" s="117">
        <v>15191.05</v>
      </c>
    </row>
    <row r="3406" spans="1:3" x14ac:dyDescent="0.25">
      <c r="A3406" s="115">
        <v>3071415</v>
      </c>
      <c r="B3406" s="115" t="s">
        <v>3255</v>
      </c>
      <c r="C3406" s="117">
        <v>2910.26</v>
      </c>
    </row>
    <row r="3407" spans="1:3" x14ac:dyDescent="0.25">
      <c r="A3407" s="115">
        <v>3071420</v>
      </c>
      <c r="B3407" s="115" t="s">
        <v>3256</v>
      </c>
      <c r="C3407" s="117">
        <v>6260.46</v>
      </c>
    </row>
    <row r="3408" spans="1:3" x14ac:dyDescent="0.25">
      <c r="A3408" s="115">
        <v>3079701</v>
      </c>
      <c r="B3408" s="115" t="s">
        <v>3257</v>
      </c>
      <c r="C3408" s="117">
        <v>2339.98</v>
      </c>
    </row>
    <row r="3409" spans="1:3" x14ac:dyDescent="0.25">
      <c r="A3409" s="115">
        <v>6990526</v>
      </c>
      <c r="B3409" s="115" t="s">
        <v>3258</v>
      </c>
      <c r="C3409" s="117">
        <v>766.79</v>
      </c>
    </row>
    <row r="3410" spans="1:3" x14ac:dyDescent="0.25">
      <c r="A3410" s="115">
        <v>6990529</v>
      </c>
      <c r="B3410" s="115" t="s">
        <v>3259</v>
      </c>
      <c r="C3410" s="117">
        <v>766.79</v>
      </c>
    </row>
    <row r="3411" spans="1:3" x14ac:dyDescent="0.25">
      <c r="A3411" s="115">
        <v>6990525</v>
      </c>
      <c r="B3411" s="115" t="s">
        <v>3260</v>
      </c>
      <c r="C3411" s="117">
        <v>766.79</v>
      </c>
    </row>
    <row r="3412" spans="1:3" x14ac:dyDescent="0.25">
      <c r="A3412" s="115">
        <v>6990523</v>
      </c>
      <c r="B3412" s="115" t="s">
        <v>3261</v>
      </c>
      <c r="C3412" s="117">
        <v>766.79</v>
      </c>
    </row>
    <row r="3413" spans="1:3" x14ac:dyDescent="0.25">
      <c r="A3413" s="115">
        <v>6990510</v>
      </c>
      <c r="B3413" s="115" t="s">
        <v>3262</v>
      </c>
      <c r="C3413" s="117">
        <v>766.79</v>
      </c>
    </row>
    <row r="3414" spans="1:3" x14ac:dyDescent="0.25">
      <c r="A3414" s="115">
        <v>6990567</v>
      </c>
      <c r="B3414" s="115" t="s">
        <v>3263</v>
      </c>
      <c r="C3414" s="117">
        <v>766.79</v>
      </c>
    </row>
    <row r="3415" spans="1:3" x14ac:dyDescent="0.25">
      <c r="A3415" s="115">
        <v>6990562</v>
      </c>
      <c r="B3415" s="115" t="s">
        <v>3264</v>
      </c>
      <c r="C3415" s="117">
        <v>766.79</v>
      </c>
    </row>
    <row r="3416" spans="1:3" x14ac:dyDescent="0.25">
      <c r="A3416" s="115">
        <v>6990563</v>
      </c>
      <c r="B3416" s="115" t="s">
        <v>3265</v>
      </c>
      <c r="C3416" s="117">
        <v>766.79</v>
      </c>
    </row>
    <row r="3417" spans="1:3" x14ac:dyDescent="0.25">
      <c r="A3417" s="115">
        <v>6990536</v>
      </c>
      <c r="B3417" s="115" t="s">
        <v>3266</v>
      </c>
      <c r="C3417" s="117">
        <v>766.79</v>
      </c>
    </row>
    <row r="3418" spans="1:3" x14ac:dyDescent="0.25">
      <c r="A3418" s="115">
        <v>6990575</v>
      </c>
      <c r="B3418" s="115" t="s">
        <v>3267</v>
      </c>
      <c r="C3418" s="117">
        <v>766.79</v>
      </c>
    </row>
    <row r="3419" spans="1:3" x14ac:dyDescent="0.25">
      <c r="A3419" s="115">
        <v>6990576</v>
      </c>
      <c r="B3419" s="115" t="s">
        <v>3268</v>
      </c>
      <c r="C3419" s="117">
        <v>766.79</v>
      </c>
    </row>
    <row r="3420" spans="1:3" x14ac:dyDescent="0.25">
      <c r="A3420" s="115">
        <v>6990577</v>
      </c>
      <c r="B3420" s="115" t="s">
        <v>3269</v>
      </c>
      <c r="C3420" s="117">
        <v>766.79</v>
      </c>
    </row>
    <row r="3421" spans="1:3" x14ac:dyDescent="0.25">
      <c r="A3421" s="115">
        <v>6990565</v>
      </c>
      <c r="B3421" s="115" t="s">
        <v>3270</v>
      </c>
      <c r="C3421" s="117">
        <v>766.79</v>
      </c>
    </row>
    <row r="3422" spans="1:3" x14ac:dyDescent="0.25">
      <c r="A3422" s="115">
        <v>6990583</v>
      </c>
      <c r="B3422" s="115" t="s">
        <v>3271</v>
      </c>
      <c r="C3422" s="117">
        <v>766.79</v>
      </c>
    </row>
    <row r="3423" spans="1:3" x14ac:dyDescent="0.25">
      <c r="A3423" s="115">
        <v>6990584</v>
      </c>
      <c r="B3423" s="115" t="s">
        <v>3272</v>
      </c>
      <c r="C3423" s="117">
        <v>766.79</v>
      </c>
    </row>
    <row r="3424" spans="1:3" x14ac:dyDescent="0.25">
      <c r="A3424" s="115">
        <v>3621810</v>
      </c>
      <c r="B3424" s="115" t="s">
        <v>3273</v>
      </c>
      <c r="C3424" s="117">
        <v>1909.89</v>
      </c>
    </row>
    <row r="3425" spans="1:3" x14ac:dyDescent="0.25">
      <c r="A3425" s="115">
        <v>3595200</v>
      </c>
      <c r="B3425" s="115" t="s">
        <v>3274</v>
      </c>
      <c r="C3425" s="117">
        <v>5090.3599999999997</v>
      </c>
    </row>
    <row r="3426" spans="1:3" x14ac:dyDescent="0.25">
      <c r="A3426" s="115">
        <v>3595220</v>
      </c>
      <c r="B3426" s="115" t="s">
        <v>3275</v>
      </c>
      <c r="C3426" s="117">
        <v>5464.76</v>
      </c>
    </row>
    <row r="3427" spans="1:3" x14ac:dyDescent="0.25">
      <c r="A3427" s="115">
        <v>3595210</v>
      </c>
      <c r="B3427" s="115" t="s">
        <v>3276</v>
      </c>
      <c r="C3427" s="117">
        <v>15091.09</v>
      </c>
    </row>
    <row r="3428" spans="1:3" x14ac:dyDescent="0.25">
      <c r="A3428" s="115">
        <v>3595212</v>
      </c>
      <c r="B3428" s="115" t="s">
        <v>3277</v>
      </c>
      <c r="C3428" s="117">
        <v>18208.66</v>
      </c>
    </row>
    <row r="3429" spans="1:3" x14ac:dyDescent="0.25">
      <c r="A3429" s="115">
        <v>3595202</v>
      </c>
      <c r="B3429" s="115" t="s">
        <v>3278</v>
      </c>
      <c r="C3429" s="117">
        <v>5954.35</v>
      </c>
    </row>
    <row r="3430" spans="1:3" x14ac:dyDescent="0.25">
      <c r="A3430" s="115">
        <v>3595204</v>
      </c>
      <c r="B3430" s="115" t="s">
        <v>3279</v>
      </c>
      <c r="C3430" s="117">
        <v>8006.34</v>
      </c>
    </row>
    <row r="3431" spans="1:3" x14ac:dyDescent="0.25">
      <c r="A3431" s="115">
        <v>3595206</v>
      </c>
      <c r="B3431" s="115" t="s">
        <v>3280</v>
      </c>
      <c r="C3431" s="117">
        <v>9331.1299999999992</v>
      </c>
    </row>
    <row r="3432" spans="1:3" x14ac:dyDescent="0.25">
      <c r="A3432" s="115">
        <v>3595208</v>
      </c>
      <c r="B3432" s="115" t="s">
        <v>3281</v>
      </c>
      <c r="C3432" s="117">
        <v>12607.1</v>
      </c>
    </row>
    <row r="3433" spans="1:3" x14ac:dyDescent="0.25">
      <c r="A3433" s="115">
        <v>3595000</v>
      </c>
      <c r="B3433" s="115" t="s">
        <v>3282</v>
      </c>
      <c r="C3433" s="117">
        <v>3808.77</v>
      </c>
    </row>
    <row r="3434" spans="1:3" x14ac:dyDescent="0.25">
      <c r="A3434" s="115">
        <v>3595001</v>
      </c>
      <c r="B3434" s="115" t="s">
        <v>3283</v>
      </c>
      <c r="C3434" s="117">
        <v>4017.57</v>
      </c>
    </row>
    <row r="3435" spans="1:3" x14ac:dyDescent="0.25">
      <c r="A3435" s="115">
        <v>3595010</v>
      </c>
      <c r="B3435" s="115" t="s">
        <v>3284</v>
      </c>
      <c r="C3435" s="117">
        <v>7531.14</v>
      </c>
    </row>
    <row r="3436" spans="1:3" x14ac:dyDescent="0.25">
      <c r="A3436" s="115">
        <v>3595012</v>
      </c>
      <c r="B3436" s="115" t="s">
        <v>3285</v>
      </c>
      <c r="C3436" s="117">
        <v>8683.1299999999992</v>
      </c>
    </row>
    <row r="3437" spans="1:3" x14ac:dyDescent="0.25">
      <c r="A3437" s="115">
        <v>3595014</v>
      </c>
      <c r="B3437" s="115" t="s">
        <v>3286</v>
      </c>
      <c r="C3437" s="117">
        <v>9323.93</v>
      </c>
    </row>
    <row r="3438" spans="1:3" x14ac:dyDescent="0.25">
      <c r="A3438" s="115">
        <v>3595002</v>
      </c>
      <c r="B3438" s="115" t="s">
        <v>3287</v>
      </c>
      <c r="C3438" s="117">
        <v>4204.7700000000004</v>
      </c>
    </row>
    <row r="3439" spans="1:3" x14ac:dyDescent="0.25">
      <c r="A3439" s="115">
        <v>3595003</v>
      </c>
      <c r="B3439" s="115" t="s">
        <v>3288</v>
      </c>
      <c r="C3439" s="117">
        <v>4384.7700000000004</v>
      </c>
    </row>
    <row r="3440" spans="1:3" x14ac:dyDescent="0.25">
      <c r="A3440" s="115">
        <v>3595004</v>
      </c>
      <c r="B3440" s="115" t="s">
        <v>3289</v>
      </c>
      <c r="C3440" s="117">
        <v>4701.5600000000004</v>
      </c>
    </row>
    <row r="3441" spans="1:3" x14ac:dyDescent="0.25">
      <c r="A3441" s="115">
        <v>3595005</v>
      </c>
      <c r="B3441" s="115" t="s">
        <v>3290</v>
      </c>
      <c r="C3441" s="117">
        <v>5464.76</v>
      </c>
    </row>
    <row r="3442" spans="1:3" x14ac:dyDescent="0.25">
      <c r="A3442" s="115">
        <v>3595006</v>
      </c>
      <c r="B3442" s="115" t="s">
        <v>3291</v>
      </c>
      <c r="C3442" s="117">
        <v>6062.35</v>
      </c>
    </row>
    <row r="3443" spans="1:3" x14ac:dyDescent="0.25">
      <c r="A3443" s="115">
        <v>3595008</v>
      </c>
      <c r="B3443" s="115" t="s">
        <v>3292</v>
      </c>
      <c r="C3443" s="117">
        <v>6623.95</v>
      </c>
    </row>
    <row r="3444" spans="1:3" x14ac:dyDescent="0.25">
      <c r="A3444" s="115">
        <v>3595400</v>
      </c>
      <c r="B3444" s="115" t="s">
        <v>3293</v>
      </c>
      <c r="C3444" s="117">
        <v>4600.7700000000004</v>
      </c>
    </row>
    <row r="3445" spans="1:3" x14ac:dyDescent="0.25">
      <c r="A3445" s="115">
        <v>3595054</v>
      </c>
      <c r="B3445" s="115" t="s">
        <v>3294</v>
      </c>
      <c r="C3445" s="117">
        <v>12376.71</v>
      </c>
    </row>
    <row r="3446" spans="1:3" x14ac:dyDescent="0.25">
      <c r="A3446" s="115">
        <v>3595412</v>
      </c>
      <c r="B3446" s="115" t="s">
        <v>3295</v>
      </c>
      <c r="C3446" s="117">
        <v>14831.89</v>
      </c>
    </row>
    <row r="3447" spans="1:3" x14ac:dyDescent="0.25">
      <c r="A3447" s="115">
        <v>3595402</v>
      </c>
      <c r="B3447" s="115" t="s">
        <v>3296</v>
      </c>
      <c r="C3447" s="117">
        <v>4924.76</v>
      </c>
    </row>
    <row r="3448" spans="1:3" x14ac:dyDescent="0.25">
      <c r="A3448" s="115">
        <v>3595404</v>
      </c>
      <c r="B3448" s="115" t="s">
        <v>3297</v>
      </c>
      <c r="C3448" s="117">
        <v>6595.15</v>
      </c>
    </row>
    <row r="3449" spans="1:3" x14ac:dyDescent="0.25">
      <c r="A3449" s="115">
        <v>3595406</v>
      </c>
      <c r="B3449" s="115" t="s">
        <v>3298</v>
      </c>
      <c r="C3449" s="117">
        <v>8452.74</v>
      </c>
    </row>
    <row r="3450" spans="1:3" x14ac:dyDescent="0.25">
      <c r="A3450" s="115">
        <v>3595408</v>
      </c>
      <c r="B3450" s="115" t="s">
        <v>3299</v>
      </c>
      <c r="C3450" s="117">
        <v>10879.12</v>
      </c>
    </row>
    <row r="3451" spans="1:3" x14ac:dyDescent="0.25">
      <c r="A3451" s="115">
        <v>3591418</v>
      </c>
      <c r="B3451" s="115" t="s">
        <v>3300</v>
      </c>
      <c r="C3451" s="117">
        <v>636.41</v>
      </c>
    </row>
    <row r="3452" spans="1:3" x14ac:dyDescent="0.25">
      <c r="A3452" s="115">
        <v>3591500</v>
      </c>
      <c r="B3452" s="115" t="s">
        <v>3301</v>
      </c>
      <c r="C3452" s="117">
        <v>204.78</v>
      </c>
    </row>
    <row r="3453" spans="1:3" x14ac:dyDescent="0.25">
      <c r="A3453" s="115">
        <v>3591501</v>
      </c>
      <c r="B3453" s="115" t="s">
        <v>3302</v>
      </c>
      <c r="C3453" s="117">
        <v>208.88</v>
      </c>
    </row>
    <row r="3454" spans="1:3" x14ac:dyDescent="0.25">
      <c r="A3454" s="115">
        <v>3591510</v>
      </c>
      <c r="B3454" s="115" t="s">
        <v>3303</v>
      </c>
      <c r="C3454" s="117">
        <v>402.31</v>
      </c>
    </row>
    <row r="3455" spans="1:3" x14ac:dyDescent="0.25">
      <c r="A3455" s="115">
        <v>3591511</v>
      </c>
      <c r="B3455" s="115" t="s">
        <v>3304</v>
      </c>
      <c r="C3455" s="117">
        <v>452.12</v>
      </c>
    </row>
    <row r="3456" spans="1:3" x14ac:dyDescent="0.25">
      <c r="A3456" s="115">
        <v>3591512</v>
      </c>
      <c r="B3456" s="115" t="s">
        <v>3305</v>
      </c>
      <c r="C3456" s="117">
        <v>502.91</v>
      </c>
    </row>
    <row r="3457" spans="1:3" x14ac:dyDescent="0.25">
      <c r="A3457" s="115">
        <v>3591502</v>
      </c>
      <c r="B3457" s="115" t="s">
        <v>3306</v>
      </c>
      <c r="C3457" s="117">
        <v>219.55</v>
      </c>
    </row>
    <row r="3458" spans="1:3" x14ac:dyDescent="0.25">
      <c r="A3458" s="115">
        <v>3591503</v>
      </c>
      <c r="B3458" s="115" t="s">
        <v>3307</v>
      </c>
      <c r="C3458" s="117">
        <v>231.21</v>
      </c>
    </row>
    <row r="3459" spans="1:3" x14ac:dyDescent="0.25">
      <c r="A3459" s="115">
        <v>3591504</v>
      </c>
      <c r="B3459" s="115" t="s">
        <v>3308</v>
      </c>
      <c r="C3459" s="117">
        <v>229.48</v>
      </c>
    </row>
    <row r="3460" spans="1:3" x14ac:dyDescent="0.25">
      <c r="A3460" s="115">
        <v>3591505</v>
      </c>
      <c r="B3460" s="115" t="s">
        <v>3309</v>
      </c>
      <c r="C3460" s="117">
        <v>256.57</v>
      </c>
    </row>
    <row r="3461" spans="1:3" x14ac:dyDescent="0.25">
      <c r="A3461" s="115">
        <v>3591506</v>
      </c>
      <c r="B3461" s="115" t="s">
        <v>3310</v>
      </c>
      <c r="C3461" s="117">
        <v>270.81</v>
      </c>
    </row>
    <row r="3462" spans="1:3" x14ac:dyDescent="0.25">
      <c r="A3462" s="115">
        <v>3591507</v>
      </c>
      <c r="B3462" s="115" t="s">
        <v>3311</v>
      </c>
      <c r="C3462" s="117">
        <v>303.75</v>
      </c>
    </row>
    <row r="3463" spans="1:3" x14ac:dyDescent="0.25">
      <c r="A3463" s="115">
        <v>3591508</v>
      </c>
      <c r="B3463" s="115" t="s">
        <v>3312</v>
      </c>
      <c r="C3463" s="117">
        <v>340.55</v>
      </c>
    </row>
    <row r="3464" spans="1:3" x14ac:dyDescent="0.25">
      <c r="A3464" s="115">
        <v>3591509</v>
      </c>
      <c r="B3464" s="115" t="s">
        <v>3313</v>
      </c>
      <c r="C3464" s="117">
        <v>381.35</v>
      </c>
    </row>
    <row r="3465" spans="1:3" x14ac:dyDescent="0.25">
      <c r="A3465" s="115">
        <v>3591000</v>
      </c>
      <c r="B3465" s="115" t="s">
        <v>3314</v>
      </c>
      <c r="C3465" s="117">
        <v>949.87</v>
      </c>
    </row>
    <row r="3466" spans="1:3" x14ac:dyDescent="0.25">
      <c r="A3466" s="115">
        <v>3591110</v>
      </c>
      <c r="B3466" s="115" t="s">
        <v>3315</v>
      </c>
      <c r="C3466" s="117">
        <v>402.31</v>
      </c>
    </row>
    <row r="3467" spans="1:3" x14ac:dyDescent="0.25">
      <c r="A3467" s="115">
        <v>3591111</v>
      </c>
      <c r="B3467" s="115" t="s">
        <v>3316</v>
      </c>
      <c r="C3467" s="117">
        <v>452.12</v>
      </c>
    </row>
    <row r="3468" spans="1:3" x14ac:dyDescent="0.25">
      <c r="A3468" s="115">
        <v>3591112</v>
      </c>
      <c r="B3468" s="115" t="s">
        <v>3317</v>
      </c>
      <c r="C3468" s="117">
        <v>502.91</v>
      </c>
    </row>
    <row r="3469" spans="1:3" x14ac:dyDescent="0.25">
      <c r="A3469" s="115">
        <v>3591102</v>
      </c>
      <c r="B3469" s="115" t="s">
        <v>3318</v>
      </c>
      <c r="C3469" s="117">
        <v>219.55</v>
      </c>
    </row>
    <row r="3470" spans="1:3" x14ac:dyDescent="0.25">
      <c r="A3470" s="115">
        <v>3591103</v>
      </c>
      <c r="B3470" s="115" t="s">
        <v>3319</v>
      </c>
      <c r="C3470" s="117">
        <v>231.21</v>
      </c>
    </row>
    <row r="3471" spans="1:3" x14ac:dyDescent="0.25">
      <c r="A3471" s="115">
        <v>3591104</v>
      </c>
      <c r="B3471" s="115" t="s">
        <v>3320</v>
      </c>
      <c r="C3471" s="117">
        <v>229.48</v>
      </c>
    </row>
    <row r="3472" spans="1:3" x14ac:dyDescent="0.25">
      <c r="A3472" s="115">
        <v>3591105</v>
      </c>
      <c r="B3472" s="115" t="s">
        <v>3321</v>
      </c>
      <c r="C3472" s="117">
        <v>256.57</v>
      </c>
    </row>
    <row r="3473" spans="1:3" x14ac:dyDescent="0.25">
      <c r="A3473" s="115">
        <v>3591106</v>
      </c>
      <c r="B3473" s="115" t="s">
        <v>3322</v>
      </c>
      <c r="C3473" s="117">
        <v>270.81</v>
      </c>
    </row>
    <row r="3474" spans="1:3" x14ac:dyDescent="0.25">
      <c r="A3474" s="115">
        <v>3591107</v>
      </c>
      <c r="B3474" s="115" t="s">
        <v>3323</v>
      </c>
      <c r="C3474" s="117">
        <v>303.75</v>
      </c>
    </row>
    <row r="3475" spans="1:3" x14ac:dyDescent="0.25">
      <c r="A3475" s="115">
        <v>3591108</v>
      </c>
      <c r="B3475" s="115" t="s">
        <v>3324</v>
      </c>
      <c r="C3475" s="117">
        <v>340.55</v>
      </c>
    </row>
    <row r="3476" spans="1:3" x14ac:dyDescent="0.25">
      <c r="A3476" s="115">
        <v>3591109</v>
      </c>
      <c r="B3476" s="115" t="s">
        <v>3325</v>
      </c>
      <c r="C3476" s="117">
        <v>381.35</v>
      </c>
    </row>
    <row r="3477" spans="1:3" x14ac:dyDescent="0.25">
      <c r="A3477" s="115">
        <v>3591100</v>
      </c>
      <c r="B3477" s="115" t="s">
        <v>3326</v>
      </c>
      <c r="C3477" s="117">
        <v>204.78</v>
      </c>
    </row>
    <row r="3478" spans="1:3" x14ac:dyDescent="0.25">
      <c r="A3478" s="115">
        <v>3591101</v>
      </c>
      <c r="B3478" s="115" t="s">
        <v>3327</v>
      </c>
      <c r="C3478" s="117">
        <v>208.88</v>
      </c>
    </row>
    <row r="3479" spans="1:3" x14ac:dyDescent="0.25">
      <c r="A3479" s="115">
        <v>3591408</v>
      </c>
      <c r="B3479" s="115" t="s">
        <v>3328</v>
      </c>
      <c r="C3479" s="117">
        <v>38.26</v>
      </c>
    </row>
    <row r="3480" spans="1:3" x14ac:dyDescent="0.25">
      <c r="A3480" s="115">
        <v>3594011</v>
      </c>
      <c r="B3480" s="115" t="s">
        <v>3329</v>
      </c>
      <c r="C3480" s="117">
        <v>133.44999999999999</v>
      </c>
    </row>
    <row r="3481" spans="1:3" x14ac:dyDescent="0.25">
      <c r="A3481" s="115">
        <v>3594005</v>
      </c>
      <c r="B3481" s="115" t="s">
        <v>3330</v>
      </c>
      <c r="C3481" s="117">
        <v>66.73</v>
      </c>
    </row>
    <row r="3482" spans="1:3" x14ac:dyDescent="0.25">
      <c r="A3482" s="115">
        <v>3594009</v>
      </c>
      <c r="B3482" s="115" t="s">
        <v>3331</v>
      </c>
      <c r="C3482" s="117">
        <v>111.22</v>
      </c>
    </row>
    <row r="3483" spans="1:3" x14ac:dyDescent="0.25">
      <c r="A3483" s="115">
        <v>3594004</v>
      </c>
      <c r="B3483" s="115" t="s">
        <v>3332</v>
      </c>
      <c r="C3483" s="117">
        <v>360.88</v>
      </c>
    </row>
    <row r="3484" spans="1:3" x14ac:dyDescent="0.25">
      <c r="A3484" s="115">
        <v>4991600</v>
      </c>
      <c r="B3484" s="115" t="s">
        <v>3333</v>
      </c>
      <c r="C3484" s="117">
        <v>631.76</v>
      </c>
    </row>
    <row r="3485" spans="1:3" x14ac:dyDescent="0.25">
      <c r="A3485" s="115">
        <v>3076343</v>
      </c>
      <c r="B3485" s="115" t="s">
        <v>3334</v>
      </c>
      <c r="C3485" s="117">
        <v>833.99</v>
      </c>
    </row>
    <row r="3486" spans="1:3" x14ac:dyDescent="0.25">
      <c r="A3486" s="115">
        <v>3076342</v>
      </c>
      <c r="B3486" s="115" t="s">
        <v>3335</v>
      </c>
      <c r="C3486" s="117">
        <v>833.99</v>
      </c>
    </row>
    <row r="3487" spans="1:3" x14ac:dyDescent="0.25">
      <c r="A3487" s="115">
        <v>3076340</v>
      </c>
      <c r="B3487" s="115" t="s">
        <v>3336</v>
      </c>
      <c r="C3487" s="117">
        <v>833.99</v>
      </c>
    </row>
    <row r="3488" spans="1:3" x14ac:dyDescent="0.25">
      <c r="A3488" s="115">
        <v>3076461</v>
      </c>
      <c r="B3488" s="115" t="s">
        <v>3337</v>
      </c>
      <c r="C3488" s="117">
        <v>833.99</v>
      </c>
    </row>
    <row r="3489" spans="1:3" x14ac:dyDescent="0.25">
      <c r="A3489" s="115">
        <v>3076341</v>
      </c>
      <c r="B3489" s="115" t="s">
        <v>3338</v>
      </c>
      <c r="C3489" s="117">
        <v>833.99</v>
      </c>
    </row>
    <row r="3490" spans="1:3" x14ac:dyDescent="0.25">
      <c r="A3490" s="115">
        <v>3076305</v>
      </c>
      <c r="B3490" s="115" t="s">
        <v>3339</v>
      </c>
      <c r="C3490" s="117">
        <v>833.99</v>
      </c>
    </row>
    <row r="3491" spans="1:3" x14ac:dyDescent="0.25">
      <c r="A3491" s="115">
        <v>3076356</v>
      </c>
      <c r="B3491" s="115" t="s">
        <v>3340</v>
      </c>
      <c r="C3491" s="117">
        <v>833.99</v>
      </c>
    </row>
    <row r="3492" spans="1:3" x14ac:dyDescent="0.25">
      <c r="A3492" s="115">
        <v>3076347</v>
      </c>
      <c r="B3492" s="115" t="s">
        <v>3341</v>
      </c>
      <c r="C3492" s="117">
        <v>833.99</v>
      </c>
    </row>
    <row r="3493" spans="1:3" x14ac:dyDescent="0.25">
      <c r="A3493" s="115">
        <v>3076358</v>
      </c>
      <c r="B3493" s="115" t="s">
        <v>3342</v>
      </c>
      <c r="C3493" s="117">
        <v>833.99</v>
      </c>
    </row>
    <row r="3494" spans="1:3" x14ac:dyDescent="0.25">
      <c r="A3494" s="115">
        <v>3076321</v>
      </c>
      <c r="B3494" s="115" t="s">
        <v>3343</v>
      </c>
      <c r="C3494" s="117">
        <v>833.99</v>
      </c>
    </row>
    <row r="3495" spans="1:3" x14ac:dyDescent="0.25">
      <c r="A3495" s="115">
        <v>3076364</v>
      </c>
      <c r="B3495" s="115" t="s">
        <v>3344</v>
      </c>
      <c r="C3495" s="117">
        <v>833.99</v>
      </c>
    </row>
    <row r="3496" spans="1:3" x14ac:dyDescent="0.25">
      <c r="A3496" s="115">
        <v>3076393</v>
      </c>
      <c r="B3496" s="115" t="s">
        <v>3345</v>
      </c>
      <c r="C3496" s="117">
        <v>833.99</v>
      </c>
    </row>
    <row r="3497" spans="1:3" x14ac:dyDescent="0.25">
      <c r="A3497" s="115">
        <v>3076367</v>
      </c>
      <c r="B3497" s="115" t="s">
        <v>3346</v>
      </c>
      <c r="C3497" s="117">
        <v>833.99</v>
      </c>
    </row>
    <row r="3498" spans="1:3" x14ac:dyDescent="0.25">
      <c r="A3498" s="115">
        <v>3076454</v>
      </c>
      <c r="B3498" s="115" t="s">
        <v>3347</v>
      </c>
      <c r="C3498" s="117">
        <v>833.99</v>
      </c>
    </row>
    <row r="3499" spans="1:3" x14ac:dyDescent="0.25">
      <c r="A3499" s="115">
        <v>3076355</v>
      </c>
      <c r="B3499" s="115" t="s">
        <v>3348</v>
      </c>
      <c r="C3499" s="117">
        <v>833.99</v>
      </c>
    </row>
    <row r="3500" spans="1:3" x14ac:dyDescent="0.25">
      <c r="A3500" s="115">
        <v>3076426</v>
      </c>
      <c r="B3500" s="115" t="s">
        <v>3349</v>
      </c>
      <c r="C3500" s="117">
        <v>833.99</v>
      </c>
    </row>
    <row r="3501" spans="1:3" x14ac:dyDescent="0.25">
      <c r="A3501" s="115">
        <v>3076357</v>
      </c>
      <c r="B3501" s="115" t="s">
        <v>3350</v>
      </c>
      <c r="C3501" s="117">
        <v>833.99</v>
      </c>
    </row>
    <row r="3502" spans="1:3" x14ac:dyDescent="0.25">
      <c r="A3502" s="115">
        <v>3076466</v>
      </c>
      <c r="B3502" s="115" t="s">
        <v>3351</v>
      </c>
      <c r="C3502" s="117">
        <v>833.99</v>
      </c>
    </row>
    <row r="3503" spans="1:3" x14ac:dyDescent="0.25">
      <c r="A3503" s="115">
        <v>3076368</v>
      </c>
      <c r="B3503" s="115" t="s">
        <v>3352</v>
      </c>
      <c r="C3503" s="117">
        <v>833.99</v>
      </c>
    </row>
    <row r="3504" spans="1:3" x14ac:dyDescent="0.25">
      <c r="A3504" s="115">
        <v>3076353</v>
      </c>
      <c r="B3504" s="115" t="s">
        <v>3353</v>
      </c>
      <c r="C3504" s="117">
        <v>833.99</v>
      </c>
    </row>
    <row r="3505" spans="1:3" x14ac:dyDescent="0.25">
      <c r="A3505" s="115">
        <v>3076360</v>
      </c>
      <c r="B3505" s="115" t="s">
        <v>3354</v>
      </c>
      <c r="C3505" s="117">
        <v>833.99</v>
      </c>
    </row>
    <row r="3506" spans="1:3" x14ac:dyDescent="0.25">
      <c r="A3506" s="115">
        <v>3076375</v>
      </c>
      <c r="B3506" s="115" t="s">
        <v>3355</v>
      </c>
      <c r="C3506" s="117">
        <v>833.99</v>
      </c>
    </row>
    <row r="3507" spans="1:3" x14ac:dyDescent="0.25">
      <c r="A3507" s="115">
        <v>3076363</v>
      </c>
      <c r="B3507" s="115" t="s">
        <v>3356</v>
      </c>
      <c r="C3507" s="117">
        <v>833.99</v>
      </c>
    </row>
    <row r="3508" spans="1:3" x14ac:dyDescent="0.25">
      <c r="A3508" s="115">
        <v>3076314</v>
      </c>
      <c r="B3508" s="115" t="s">
        <v>3357</v>
      </c>
      <c r="C3508" s="117">
        <v>833.99</v>
      </c>
    </row>
    <row r="3509" spans="1:3" x14ac:dyDescent="0.25">
      <c r="A3509" s="115">
        <v>3076308</v>
      </c>
      <c r="B3509" s="115" t="s">
        <v>3358</v>
      </c>
      <c r="C3509" s="117">
        <v>833.99</v>
      </c>
    </row>
    <row r="3510" spans="1:3" x14ac:dyDescent="0.25">
      <c r="A3510" s="115">
        <v>3076301</v>
      </c>
      <c r="B3510" s="115" t="s">
        <v>3359</v>
      </c>
      <c r="C3510" s="117">
        <v>833.99</v>
      </c>
    </row>
    <row r="3511" spans="1:3" x14ac:dyDescent="0.25">
      <c r="A3511" s="115">
        <v>3076311</v>
      </c>
      <c r="B3511" s="115" t="s">
        <v>3360</v>
      </c>
      <c r="C3511" s="117">
        <v>833.99</v>
      </c>
    </row>
    <row r="3512" spans="1:3" x14ac:dyDescent="0.25">
      <c r="A3512" s="115">
        <v>3076366</v>
      </c>
      <c r="B3512" s="115" t="s">
        <v>3361</v>
      </c>
      <c r="C3512" s="117">
        <v>833.99</v>
      </c>
    </row>
    <row r="3513" spans="1:3" x14ac:dyDescent="0.25">
      <c r="A3513" s="115">
        <v>3076392</v>
      </c>
      <c r="B3513" s="115" t="s">
        <v>3362</v>
      </c>
      <c r="C3513" s="117">
        <v>833.99</v>
      </c>
    </row>
    <row r="3514" spans="1:3" x14ac:dyDescent="0.25">
      <c r="A3514" s="115">
        <v>3076307</v>
      </c>
      <c r="B3514" s="115" t="s">
        <v>3363</v>
      </c>
      <c r="C3514" s="117">
        <v>833.99</v>
      </c>
    </row>
    <row r="3515" spans="1:3" x14ac:dyDescent="0.25">
      <c r="A3515" s="115">
        <v>3076310</v>
      </c>
      <c r="B3515" s="115" t="s">
        <v>3364</v>
      </c>
      <c r="C3515" s="117">
        <v>833.99</v>
      </c>
    </row>
    <row r="3516" spans="1:3" x14ac:dyDescent="0.25">
      <c r="A3516" s="115">
        <v>3076384</v>
      </c>
      <c r="B3516" s="115" t="s">
        <v>3365</v>
      </c>
      <c r="C3516" s="117">
        <v>833.99</v>
      </c>
    </row>
    <row r="3517" spans="1:3" x14ac:dyDescent="0.25">
      <c r="A3517" s="115">
        <v>3076312</v>
      </c>
      <c r="B3517" s="115" t="s">
        <v>3366</v>
      </c>
      <c r="C3517" s="117">
        <v>833.99</v>
      </c>
    </row>
    <row r="3518" spans="1:3" x14ac:dyDescent="0.25">
      <c r="A3518" s="115">
        <v>3076302</v>
      </c>
      <c r="B3518" s="115" t="s">
        <v>3367</v>
      </c>
      <c r="C3518" s="117">
        <v>833.99</v>
      </c>
    </row>
    <row r="3519" spans="1:3" x14ac:dyDescent="0.25">
      <c r="A3519" s="115">
        <v>3076328</v>
      </c>
      <c r="B3519" s="115" t="s">
        <v>3368</v>
      </c>
      <c r="C3519" s="117">
        <v>833.99</v>
      </c>
    </row>
    <row r="3520" spans="1:3" x14ac:dyDescent="0.25">
      <c r="A3520" s="115">
        <v>3076300</v>
      </c>
      <c r="B3520" s="115" t="s">
        <v>3369</v>
      </c>
      <c r="C3520" s="117">
        <v>833.99</v>
      </c>
    </row>
    <row r="3521" spans="1:3" x14ac:dyDescent="0.25">
      <c r="A3521" s="115">
        <v>3076365</v>
      </c>
      <c r="B3521" s="115" t="s">
        <v>3370</v>
      </c>
      <c r="C3521" s="117">
        <v>833.99</v>
      </c>
    </row>
    <row r="3522" spans="1:3" x14ac:dyDescent="0.25">
      <c r="A3522" s="115">
        <v>3076350</v>
      </c>
      <c r="B3522" s="115" t="s">
        <v>3371</v>
      </c>
      <c r="C3522" s="117">
        <v>833.99</v>
      </c>
    </row>
    <row r="3523" spans="1:3" x14ac:dyDescent="0.25">
      <c r="A3523" s="115">
        <v>3076387</v>
      </c>
      <c r="B3523" s="115" t="s">
        <v>3372</v>
      </c>
      <c r="C3523" s="117">
        <v>833.99</v>
      </c>
    </row>
    <row r="3524" spans="1:3" x14ac:dyDescent="0.25">
      <c r="A3524" s="115">
        <v>3076385</v>
      </c>
      <c r="B3524" s="115" t="s">
        <v>3373</v>
      </c>
      <c r="C3524" s="117">
        <v>833.99</v>
      </c>
    </row>
    <row r="3525" spans="1:3" x14ac:dyDescent="0.25">
      <c r="A3525" s="115">
        <v>3076390</v>
      </c>
      <c r="B3525" s="115" t="s">
        <v>3374</v>
      </c>
      <c r="C3525" s="117">
        <v>833.99</v>
      </c>
    </row>
    <row r="3526" spans="1:3" x14ac:dyDescent="0.25">
      <c r="A3526" s="115">
        <v>3076391</v>
      </c>
      <c r="B3526" s="115" t="s">
        <v>3375</v>
      </c>
      <c r="C3526" s="117">
        <v>833.99</v>
      </c>
    </row>
    <row r="3527" spans="1:3" x14ac:dyDescent="0.25">
      <c r="A3527" s="115">
        <v>3076383</v>
      </c>
      <c r="B3527" s="115" t="s">
        <v>3376</v>
      </c>
      <c r="C3527" s="117">
        <v>833.99</v>
      </c>
    </row>
    <row r="3528" spans="1:3" x14ac:dyDescent="0.25">
      <c r="A3528" s="115">
        <v>3076354</v>
      </c>
      <c r="B3528" s="115" t="s">
        <v>3377</v>
      </c>
      <c r="C3528" s="117">
        <v>833.99</v>
      </c>
    </row>
    <row r="3529" spans="1:3" x14ac:dyDescent="0.25">
      <c r="A3529" s="115">
        <v>3076316</v>
      </c>
      <c r="B3529" s="115" t="s">
        <v>3378</v>
      </c>
      <c r="C3529" s="117">
        <v>833.99</v>
      </c>
    </row>
    <row r="3530" spans="1:3" x14ac:dyDescent="0.25">
      <c r="A3530" s="115">
        <v>3076379</v>
      </c>
      <c r="B3530" s="115" t="s">
        <v>3379</v>
      </c>
      <c r="C3530" s="117">
        <v>833.99</v>
      </c>
    </row>
    <row r="3531" spans="1:3" x14ac:dyDescent="0.25">
      <c r="A3531" s="115">
        <v>3076331</v>
      </c>
      <c r="B3531" s="115" t="s">
        <v>3380</v>
      </c>
      <c r="C3531" s="117">
        <v>833.99</v>
      </c>
    </row>
    <row r="3532" spans="1:3" x14ac:dyDescent="0.25">
      <c r="A3532" s="115">
        <v>3076372</v>
      </c>
      <c r="B3532" s="115" t="s">
        <v>3381</v>
      </c>
      <c r="C3532" s="117">
        <v>833.99</v>
      </c>
    </row>
    <row r="3533" spans="1:3" x14ac:dyDescent="0.25">
      <c r="A3533" s="115">
        <v>3076325</v>
      </c>
      <c r="B3533" s="115" t="s">
        <v>3382</v>
      </c>
      <c r="C3533" s="117">
        <v>833.99</v>
      </c>
    </row>
    <row r="3534" spans="1:3" x14ac:dyDescent="0.25">
      <c r="A3534" s="115">
        <v>3076386</v>
      </c>
      <c r="B3534" s="115" t="s">
        <v>3383</v>
      </c>
      <c r="C3534" s="117">
        <v>833.99</v>
      </c>
    </row>
    <row r="3535" spans="1:3" x14ac:dyDescent="0.25">
      <c r="A3535" s="115">
        <v>3076346</v>
      </c>
      <c r="B3535" s="115" t="s">
        <v>3384</v>
      </c>
      <c r="C3535" s="117">
        <v>833.99</v>
      </c>
    </row>
    <row r="3536" spans="1:3" x14ac:dyDescent="0.25">
      <c r="A3536" s="115">
        <v>3076359</v>
      </c>
      <c r="B3536" s="115" t="s">
        <v>3385</v>
      </c>
      <c r="C3536" s="117">
        <v>833.99</v>
      </c>
    </row>
    <row r="3537" spans="1:3" x14ac:dyDescent="0.25">
      <c r="A3537" s="115">
        <v>3076323</v>
      </c>
      <c r="B3537" s="115" t="s">
        <v>3386</v>
      </c>
      <c r="C3537" s="117">
        <v>833.99</v>
      </c>
    </row>
    <row r="3538" spans="1:3" x14ac:dyDescent="0.25">
      <c r="A3538" s="115">
        <v>3076318</v>
      </c>
      <c r="B3538" s="115" t="s">
        <v>3387</v>
      </c>
      <c r="C3538" s="117">
        <v>833.99</v>
      </c>
    </row>
    <row r="3539" spans="1:3" x14ac:dyDescent="0.25">
      <c r="A3539" s="115">
        <v>3076320</v>
      </c>
      <c r="B3539" s="115" t="s">
        <v>3388</v>
      </c>
      <c r="C3539" s="117">
        <v>833.99</v>
      </c>
    </row>
    <row r="3540" spans="1:3" x14ac:dyDescent="0.25">
      <c r="A3540" s="115">
        <v>3076397</v>
      </c>
      <c r="B3540" s="115" t="s">
        <v>3389</v>
      </c>
      <c r="C3540" s="117">
        <v>833.99</v>
      </c>
    </row>
    <row r="3541" spans="1:3" x14ac:dyDescent="0.25">
      <c r="A3541" s="115">
        <v>3076398</v>
      </c>
      <c r="B3541" s="115" t="s">
        <v>3390</v>
      </c>
      <c r="C3541" s="117">
        <v>833.99</v>
      </c>
    </row>
    <row r="3542" spans="1:3" x14ac:dyDescent="0.25">
      <c r="A3542" s="115">
        <v>3076462</v>
      </c>
      <c r="B3542" s="115" t="s">
        <v>3391</v>
      </c>
      <c r="C3542" s="117">
        <v>833.99</v>
      </c>
    </row>
    <row r="3543" spans="1:3" x14ac:dyDescent="0.25">
      <c r="A3543" s="115">
        <v>3076306</v>
      </c>
      <c r="B3543" s="115" t="s">
        <v>3392</v>
      </c>
      <c r="C3543" s="117">
        <v>833.99</v>
      </c>
    </row>
    <row r="3544" spans="1:3" x14ac:dyDescent="0.25">
      <c r="A3544" s="115">
        <v>3076362</v>
      </c>
      <c r="B3544" s="115" t="s">
        <v>3393</v>
      </c>
      <c r="C3544" s="117">
        <v>833.99</v>
      </c>
    </row>
    <row r="3545" spans="1:3" x14ac:dyDescent="0.25">
      <c r="A3545" s="115">
        <v>3076304</v>
      </c>
      <c r="B3545" s="115" t="s">
        <v>3394</v>
      </c>
      <c r="C3545" s="117">
        <v>833.99</v>
      </c>
    </row>
    <row r="3546" spans="1:3" x14ac:dyDescent="0.25">
      <c r="A3546" s="115">
        <v>3076414</v>
      </c>
      <c r="B3546" s="115" t="s">
        <v>3395</v>
      </c>
      <c r="C3546" s="117">
        <v>833.99</v>
      </c>
    </row>
    <row r="3547" spans="1:3" x14ac:dyDescent="0.25">
      <c r="A3547" s="115">
        <v>3076455</v>
      </c>
      <c r="B3547" s="115" t="s">
        <v>3396</v>
      </c>
      <c r="C3547" s="117">
        <v>833.99</v>
      </c>
    </row>
    <row r="3548" spans="1:3" x14ac:dyDescent="0.25">
      <c r="A3548" s="115">
        <v>3076339</v>
      </c>
      <c r="B3548" s="115" t="s">
        <v>3397</v>
      </c>
      <c r="C3548" s="117">
        <v>833.99</v>
      </c>
    </row>
    <row r="3549" spans="1:3" x14ac:dyDescent="0.25">
      <c r="A3549" s="115">
        <v>3076324</v>
      </c>
      <c r="B3549" s="115" t="s">
        <v>3398</v>
      </c>
      <c r="C3549" s="117">
        <v>833.99</v>
      </c>
    </row>
    <row r="3550" spans="1:3" x14ac:dyDescent="0.25">
      <c r="A3550" s="115">
        <v>3076395</v>
      </c>
      <c r="B3550" s="115" t="s">
        <v>3399</v>
      </c>
      <c r="C3550" s="117">
        <v>833.99</v>
      </c>
    </row>
    <row r="3551" spans="1:3" x14ac:dyDescent="0.25">
      <c r="A3551" s="115">
        <v>3076336</v>
      </c>
      <c r="B3551" s="115" t="s">
        <v>3400</v>
      </c>
      <c r="C3551" s="117">
        <v>833.99</v>
      </c>
    </row>
    <row r="3552" spans="1:3" x14ac:dyDescent="0.25">
      <c r="A3552" s="115">
        <v>3076435</v>
      </c>
      <c r="B3552" s="115" t="s">
        <v>3401</v>
      </c>
      <c r="C3552" s="117">
        <v>833.99</v>
      </c>
    </row>
    <row r="3553" spans="1:3" x14ac:dyDescent="0.25">
      <c r="A3553" s="115">
        <v>3076432</v>
      </c>
      <c r="B3553" s="115" t="s">
        <v>3402</v>
      </c>
      <c r="C3553" s="117">
        <v>833.99</v>
      </c>
    </row>
    <row r="3554" spans="1:3" x14ac:dyDescent="0.25">
      <c r="A3554" s="115">
        <v>3076433</v>
      </c>
      <c r="B3554" s="115" t="s">
        <v>3403</v>
      </c>
      <c r="C3554" s="117">
        <v>833.99</v>
      </c>
    </row>
    <row r="3555" spans="1:3" x14ac:dyDescent="0.25">
      <c r="A3555" s="115">
        <v>3076434</v>
      </c>
      <c r="B3555" s="115" t="s">
        <v>3404</v>
      </c>
      <c r="C3555" s="117">
        <v>833.99</v>
      </c>
    </row>
    <row r="3556" spans="1:3" x14ac:dyDescent="0.25">
      <c r="A3556" s="115">
        <v>3076436</v>
      </c>
      <c r="B3556" s="115" t="s">
        <v>3405</v>
      </c>
      <c r="C3556" s="117">
        <v>833.99</v>
      </c>
    </row>
    <row r="3557" spans="1:3" x14ac:dyDescent="0.25">
      <c r="A3557" s="115">
        <v>3076326</v>
      </c>
      <c r="B3557" s="115" t="s">
        <v>3406</v>
      </c>
      <c r="C3557" s="117">
        <v>833.99</v>
      </c>
    </row>
    <row r="3558" spans="1:3" x14ac:dyDescent="0.25">
      <c r="A3558" s="115">
        <v>3076337</v>
      </c>
      <c r="B3558" s="115" t="s">
        <v>3407</v>
      </c>
      <c r="C3558" s="117">
        <v>833.99</v>
      </c>
    </row>
    <row r="3559" spans="1:3" x14ac:dyDescent="0.25">
      <c r="A3559" s="115">
        <v>3076370</v>
      </c>
      <c r="B3559" s="115" t="s">
        <v>3408</v>
      </c>
      <c r="C3559" s="117">
        <v>833.99</v>
      </c>
    </row>
    <row r="3560" spans="1:3" x14ac:dyDescent="0.25">
      <c r="A3560" s="115">
        <v>3076376</v>
      </c>
      <c r="B3560" s="115" t="s">
        <v>3409</v>
      </c>
      <c r="C3560" s="117">
        <v>833.99</v>
      </c>
    </row>
    <row r="3561" spans="1:3" x14ac:dyDescent="0.25">
      <c r="A3561" s="115">
        <v>3076374</v>
      </c>
      <c r="B3561" s="115" t="s">
        <v>3410</v>
      </c>
      <c r="C3561" s="117">
        <v>833.99</v>
      </c>
    </row>
    <row r="3562" spans="1:3" x14ac:dyDescent="0.25">
      <c r="A3562" s="115">
        <v>3076378</v>
      </c>
      <c r="B3562" s="115" t="s">
        <v>3411</v>
      </c>
      <c r="C3562" s="117">
        <v>833.99</v>
      </c>
    </row>
    <row r="3563" spans="1:3" x14ac:dyDescent="0.25">
      <c r="A3563" s="115">
        <v>3076380</v>
      </c>
      <c r="B3563" s="115" t="s">
        <v>3412</v>
      </c>
      <c r="C3563" s="117">
        <v>833.99</v>
      </c>
    </row>
    <row r="3564" spans="1:3" x14ac:dyDescent="0.25">
      <c r="A3564" s="115">
        <v>3076371</v>
      </c>
      <c r="B3564" s="115" t="s">
        <v>3413</v>
      </c>
      <c r="C3564" s="117">
        <v>833.99</v>
      </c>
    </row>
    <row r="3565" spans="1:3" x14ac:dyDescent="0.25">
      <c r="A3565" s="115">
        <v>3076465</v>
      </c>
      <c r="B3565" s="115" t="s">
        <v>3414</v>
      </c>
      <c r="C3565" s="117">
        <v>833.99</v>
      </c>
    </row>
    <row r="3566" spans="1:3" x14ac:dyDescent="0.25">
      <c r="A3566" s="115">
        <v>3076388</v>
      </c>
      <c r="B3566" s="115" t="s">
        <v>3415</v>
      </c>
      <c r="C3566" s="117">
        <v>833.99</v>
      </c>
    </row>
    <row r="3567" spans="1:3" x14ac:dyDescent="0.25">
      <c r="A3567" s="115">
        <v>3076332</v>
      </c>
      <c r="B3567" s="115" t="s">
        <v>3416</v>
      </c>
      <c r="C3567" s="117">
        <v>833.99</v>
      </c>
    </row>
    <row r="3568" spans="1:3" x14ac:dyDescent="0.25">
      <c r="A3568" s="115">
        <v>3076327</v>
      </c>
      <c r="B3568" s="115" t="s">
        <v>3417</v>
      </c>
      <c r="C3568" s="117">
        <v>833.99</v>
      </c>
    </row>
    <row r="3569" spans="1:3" x14ac:dyDescent="0.25">
      <c r="A3569" s="115">
        <v>3076352</v>
      </c>
      <c r="B3569" s="115" t="s">
        <v>3418</v>
      </c>
      <c r="C3569" s="117">
        <v>833.99</v>
      </c>
    </row>
    <row r="3570" spans="1:3" x14ac:dyDescent="0.25">
      <c r="A3570" s="115">
        <v>3076330</v>
      </c>
      <c r="B3570" s="115" t="s">
        <v>3419</v>
      </c>
      <c r="C3570" s="117">
        <v>833.99</v>
      </c>
    </row>
    <row r="3571" spans="1:3" x14ac:dyDescent="0.25">
      <c r="A3571" s="115">
        <v>3076335</v>
      </c>
      <c r="B3571" s="115" t="s">
        <v>3420</v>
      </c>
      <c r="C3571" s="117">
        <v>833.99</v>
      </c>
    </row>
    <row r="3572" spans="1:3" x14ac:dyDescent="0.25">
      <c r="A3572" s="115">
        <v>3076463</v>
      </c>
      <c r="B3572" s="115" t="s">
        <v>3421</v>
      </c>
      <c r="C3572" s="117">
        <v>833.99</v>
      </c>
    </row>
    <row r="3573" spans="1:3" x14ac:dyDescent="0.25">
      <c r="A3573" s="115">
        <v>3076329</v>
      </c>
      <c r="B3573" s="115" t="s">
        <v>3422</v>
      </c>
      <c r="C3573" s="117">
        <v>833.99</v>
      </c>
    </row>
    <row r="3574" spans="1:3" x14ac:dyDescent="0.25">
      <c r="A3574" s="115">
        <v>3076303</v>
      </c>
      <c r="B3574" s="115" t="s">
        <v>3423</v>
      </c>
      <c r="C3574" s="117">
        <v>833.99</v>
      </c>
    </row>
    <row r="3575" spans="1:3" x14ac:dyDescent="0.25">
      <c r="A3575" s="115">
        <v>3076438</v>
      </c>
      <c r="B3575" s="115" t="s">
        <v>3424</v>
      </c>
      <c r="C3575" s="117">
        <v>833.99</v>
      </c>
    </row>
    <row r="3576" spans="1:3" x14ac:dyDescent="0.25">
      <c r="A3576" s="115">
        <v>3076315</v>
      </c>
      <c r="B3576" s="115" t="s">
        <v>3425</v>
      </c>
      <c r="C3576" s="117">
        <v>833.99</v>
      </c>
    </row>
    <row r="3577" spans="1:3" x14ac:dyDescent="0.25">
      <c r="A3577" s="115">
        <v>3076317</v>
      </c>
      <c r="B3577" s="115" t="s">
        <v>3426</v>
      </c>
      <c r="C3577" s="117">
        <v>833.99</v>
      </c>
    </row>
    <row r="3578" spans="1:3" x14ac:dyDescent="0.25">
      <c r="A3578" s="115">
        <v>3076319</v>
      </c>
      <c r="B3578" s="115" t="s">
        <v>3427</v>
      </c>
      <c r="C3578" s="117">
        <v>833.99</v>
      </c>
    </row>
    <row r="3579" spans="1:3" x14ac:dyDescent="0.25">
      <c r="A3579" s="115">
        <v>3076394</v>
      </c>
      <c r="B3579" s="115" t="s">
        <v>3428</v>
      </c>
      <c r="C3579" s="117">
        <v>833.99</v>
      </c>
    </row>
    <row r="3580" spans="1:3" x14ac:dyDescent="0.25">
      <c r="A3580" s="115">
        <v>3076361</v>
      </c>
      <c r="B3580" s="115" t="s">
        <v>3429</v>
      </c>
      <c r="C3580" s="117">
        <v>833.99</v>
      </c>
    </row>
    <row r="3581" spans="1:3" x14ac:dyDescent="0.25">
      <c r="A3581" s="115">
        <v>3076349</v>
      </c>
      <c r="B3581" s="115" t="s">
        <v>3430</v>
      </c>
      <c r="C3581" s="117">
        <v>833.99</v>
      </c>
    </row>
    <row r="3582" spans="1:3" x14ac:dyDescent="0.25">
      <c r="A3582" s="115">
        <v>3076351</v>
      </c>
      <c r="B3582" s="115" t="s">
        <v>3431</v>
      </c>
      <c r="C3582" s="117">
        <v>833.99</v>
      </c>
    </row>
    <row r="3583" spans="1:3" x14ac:dyDescent="0.25">
      <c r="A3583" s="115">
        <v>3076369</v>
      </c>
      <c r="B3583" s="115" t="s">
        <v>3432</v>
      </c>
      <c r="C3583" s="117">
        <v>833.99</v>
      </c>
    </row>
    <row r="3584" spans="1:3" x14ac:dyDescent="0.25">
      <c r="A3584" s="115">
        <v>3076396</v>
      </c>
      <c r="B3584" s="115" t="s">
        <v>3433</v>
      </c>
      <c r="C3584" s="117">
        <v>833.99</v>
      </c>
    </row>
    <row r="3585" spans="1:3" x14ac:dyDescent="0.25">
      <c r="A3585" s="115">
        <v>3076381</v>
      </c>
      <c r="B3585" s="115" t="s">
        <v>3434</v>
      </c>
      <c r="C3585" s="117">
        <v>833.99</v>
      </c>
    </row>
    <row r="3586" spans="1:3" x14ac:dyDescent="0.25">
      <c r="A3586" s="115">
        <v>3076313</v>
      </c>
      <c r="B3586" s="115" t="s">
        <v>3435</v>
      </c>
      <c r="C3586" s="117">
        <v>833.99</v>
      </c>
    </row>
    <row r="3587" spans="1:3" x14ac:dyDescent="0.25">
      <c r="A3587" s="115">
        <v>3076464</v>
      </c>
      <c r="B3587" s="115" t="s">
        <v>3436</v>
      </c>
      <c r="C3587" s="117">
        <v>833.99</v>
      </c>
    </row>
    <row r="3588" spans="1:3" x14ac:dyDescent="0.25">
      <c r="A3588" s="115">
        <v>3076348</v>
      </c>
      <c r="B3588" s="115" t="s">
        <v>3437</v>
      </c>
      <c r="C3588" s="117">
        <v>833.99</v>
      </c>
    </row>
    <row r="3589" spans="1:3" x14ac:dyDescent="0.25">
      <c r="A3589" s="115">
        <v>3076344</v>
      </c>
      <c r="B3589" s="115" t="s">
        <v>3438</v>
      </c>
      <c r="C3589" s="117">
        <v>833.99</v>
      </c>
    </row>
    <row r="3590" spans="1:3" x14ac:dyDescent="0.25">
      <c r="A3590" s="115">
        <v>3076309</v>
      </c>
      <c r="B3590" s="115" t="s">
        <v>3439</v>
      </c>
      <c r="C3590" s="117">
        <v>833.99</v>
      </c>
    </row>
    <row r="3591" spans="1:3" x14ac:dyDescent="0.25">
      <c r="A3591" s="115">
        <v>3076333</v>
      </c>
      <c r="B3591" s="115" t="s">
        <v>3440</v>
      </c>
      <c r="C3591" s="117">
        <v>833.99</v>
      </c>
    </row>
    <row r="3592" spans="1:3" x14ac:dyDescent="0.25">
      <c r="A3592" s="115">
        <v>3076322</v>
      </c>
      <c r="B3592" s="115" t="s">
        <v>3441</v>
      </c>
      <c r="C3592" s="117">
        <v>833.99</v>
      </c>
    </row>
    <row r="3593" spans="1:3" x14ac:dyDescent="0.25">
      <c r="A3593" s="115">
        <v>3076338</v>
      </c>
      <c r="B3593" s="115" t="s">
        <v>3442</v>
      </c>
      <c r="C3593" s="117">
        <v>833.99</v>
      </c>
    </row>
    <row r="3594" spans="1:3" x14ac:dyDescent="0.25">
      <c r="A3594" s="115">
        <v>3076334</v>
      </c>
      <c r="B3594" s="115" t="s">
        <v>3443</v>
      </c>
      <c r="C3594" s="117">
        <v>833.99</v>
      </c>
    </row>
    <row r="3595" spans="1:3" x14ac:dyDescent="0.25">
      <c r="A3595" s="115">
        <v>3076399</v>
      </c>
      <c r="B3595" s="115" t="s">
        <v>3444</v>
      </c>
      <c r="C3595" s="117">
        <v>833.99</v>
      </c>
    </row>
    <row r="3596" spans="1:3" x14ac:dyDescent="0.25">
      <c r="A3596" s="115">
        <v>3076345</v>
      </c>
      <c r="B3596" s="115" t="s">
        <v>3445</v>
      </c>
      <c r="C3596" s="117">
        <v>833.99</v>
      </c>
    </row>
    <row r="3597" spans="1:3" x14ac:dyDescent="0.25">
      <c r="A3597" s="115">
        <v>3076373</v>
      </c>
      <c r="B3597" s="115" t="s">
        <v>3446</v>
      </c>
      <c r="C3597" s="117">
        <v>833.99</v>
      </c>
    </row>
    <row r="3598" spans="1:3" x14ac:dyDescent="0.25">
      <c r="A3598" s="115">
        <v>3076382</v>
      </c>
      <c r="B3598" s="115" t="s">
        <v>3447</v>
      </c>
      <c r="C3598" s="117">
        <v>833.99</v>
      </c>
    </row>
    <row r="3599" spans="1:3" x14ac:dyDescent="0.25">
      <c r="A3599" s="115">
        <v>3076377</v>
      </c>
      <c r="B3599" s="115" t="s">
        <v>3448</v>
      </c>
      <c r="C3599" s="117">
        <v>833.99</v>
      </c>
    </row>
    <row r="3600" spans="1:3" x14ac:dyDescent="0.25">
      <c r="A3600" s="115">
        <v>3076389</v>
      </c>
      <c r="B3600" s="115" t="s">
        <v>3449</v>
      </c>
      <c r="C3600" s="117">
        <v>833.99</v>
      </c>
    </row>
    <row r="3601" spans="1:3" x14ac:dyDescent="0.25">
      <c r="A3601" s="115">
        <v>3076513</v>
      </c>
      <c r="B3601" s="115" t="s">
        <v>3450</v>
      </c>
      <c r="C3601" s="117">
        <v>3179.38</v>
      </c>
    </row>
    <row r="3602" spans="1:3" x14ac:dyDescent="0.25">
      <c r="A3602" s="115">
        <v>3076514</v>
      </c>
      <c r="B3602" s="115" t="s">
        <v>3451</v>
      </c>
      <c r="C3602" s="117">
        <v>3179.38</v>
      </c>
    </row>
    <row r="3603" spans="1:3" x14ac:dyDescent="0.25">
      <c r="A3603" s="115">
        <v>3076580</v>
      </c>
      <c r="B3603" s="115" t="s">
        <v>3452</v>
      </c>
      <c r="C3603" s="117">
        <v>3179.38</v>
      </c>
    </row>
    <row r="3604" spans="1:3" x14ac:dyDescent="0.25">
      <c r="A3604" s="115">
        <v>3076511</v>
      </c>
      <c r="B3604" s="115" t="s">
        <v>3453</v>
      </c>
      <c r="C3604" s="117">
        <v>3179.38</v>
      </c>
    </row>
    <row r="3605" spans="1:3" x14ac:dyDescent="0.25">
      <c r="A3605" s="115">
        <v>3076512</v>
      </c>
      <c r="B3605" s="115" t="s">
        <v>3454</v>
      </c>
      <c r="C3605" s="117">
        <v>163.84</v>
      </c>
    </row>
    <row r="3606" spans="1:3" x14ac:dyDescent="0.25">
      <c r="A3606" s="115">
        <v>3076510</v>
      </c>
      <c r="B3606" s="115" t="s">
        <v>3455</v>
      </c>
      <c r="C3606" s="117">
        <v>3179.38</v>
      </c>
    </row>
    <row r="3607" spans="1:3" x14ac:dyDescent="0.25">
      <c r="A3607" s="115">
        <v>3076517</v>
      </c>
      <c r="B3607" s="115" t="s">
        <v>3456</v>
      </c>
      <c r="C3607" s="117">
        <v>3179.38</v>
      </c>
    </row>
    <row r="3608" spans="1:3" x14ac:dyDescent="0.25">
      <c r="A3608" s="115">
        <v>3076515</v>
      </c>
      <c r="B3608" s="115" t="s">
        <v>3457</v>
      </c>
      <c r="C3608" s="117">
        <v>2225.56</v>
      </c>
    </row>
    <row r="3609" spans="1:3" x14ac:dyDescent="0.25">
      <c r="A3609" s="115">
        <v>3076551</v>
      </c>
      <c r="B3609" s="115" t="s">
        <v>3458</v>
      </c>
      <c r="C3609" s="117">
        <v>3179.38</v>
      </c>
    </row>
    <row r="3610" spans="1:3" x14ac:dyDescent="0.25">
      <c r="A3610" s="115">
        <v>3076550</v>
      </c>
      <c r="B3610" s="115" t="s">
        <v>3459</v>
      </c>
      <c r="C3610" s="117">
        <v>3346.71</v>
      </c>
    </row>
    <row r="3611" spans="1:3" x14ac:dyDescent="0.25">
      <c r="A3611" s="115">
        <v>3076502</v>
      </c>
      <c r="B3611" s="115" t="s">
        <v>3460</v>
      </c>
      <c r="C3611" s="117">
        <v>3179.38</v>
      </c>
    </row>
    <row r="3612" spans="1:3" x14ac:dyDescent="0.25">
      <c r="A3612" s="115">
        <v>3076521</v>
      </c>
      <c r="B3612" s="115" t="s">
        <v>3461</v>
      </c>
      <c r="C3612" s="117">
        <v>3179.33</v>
      </c>
    </row>
    <row r="3613" spans="1:3" x14ac:dyDescent="0.25">
      <c r="A3613" s="115">
        <v>3076501</v>
      </c>
      <c r="B3613" s="115" t="s">
        <v>3462</v>
      </c>
      <c r="C3613" s="117">
        <v>3179.38</v>
      </c>
    </row>
    <row r="3614" spans="1:3" x14ac:dyDescent="0.25">
      <c r="A3614" s="115">
        <v>3076522</v>
      </c>
      <c r="B3614" s="115" t="s">
        <v>3463</v>
      </c>
      <c r="C3614" s="117">
        <v>3179.38</v>
      </c>
    </row>
    <row r="3615" spans="1:3" x14ac:dyDescent="0.25">
      <c r="A3615" s="115">
        <v>3076509</v>
      </c>
      <c r="B3615" s="115" t="s">
        <v>3464</v>
      </c>
      <c r="C3615" s="117">
        <v>3179.38</v>
      </c>
    </row>
    <row r="3616" spans="1:3" x14ac:dyDescent="0.25">
      <c r="A3616" s="115">
        <v>3076546</v>
      </c>
      <c r="B3616" s="115" t="s">
        <v>3465</v>
      </c>
      <c r="C3616" s="117">
        <v>3179.38</v>
      </c>
    </row>
    <row r="3617" spans="1:3" x14ac:dyDescent="0.25">
      <c r="A3617" s="115">
        <v>3076548</v>
      </c>
      <c r="B3617" s="115" t="s">
        <v>3466</v>
      </c>
      <c r="C3617" s="117">
        <v>3179.38</v>
      </c>
    </row>
    <row r="3618" spans="1:3" x14ac:dyDescent="0.25">
      <c r="A3618" s="115">
        <v>3076545</v>
      </c>
      <c r="B3618" s="115" t="s">
        <v>3467</v>
      </c>
      <c r="C3618" s="117">
        <v>2225.56</v>
      </c>
    </row>
    <row r="3619" spans="1:3" x14ac:dyDescent="0.25">
      <c r="A3619" s="115">
        <v>3076588</v>
      </c>
      <c r="B3619" s="115" t="s">
        <v>3468</v>
      </c>
      <c r="C3619" s="117">
        <v>3179.38</v>
      </c>
    </row>
    <row r="3620" spans="1:3" x14ac:dyDescent="0.25">
      <c r="A3620" s="115">
        <v>3076549</v>
      </c>
      <c r="B3620" s="115" t="s">
        <v>3469</v>
      </c>
      <c r="C3620" s="117">
        <v>3179.38</v>
      </c>
    </row>
    <row r="3621" spans="1:3" x14ac:dyDescent="0.25">
      <c r="A3621" s="115">
        <v>3076519</v>
      </c>
      <c r="B3621" s="115" t="s">
        <v>3470</v>
      </c>
      <c r="C3621" s="117">
        <v>3179.38</v>
      </c>
    </row>
    <row r="3622" spans="1:3" x14ac:dyDescent="0.25">
      <c r="A3622" s="115">
        <v>3076526</v>
      </c>
      <c r="B3622" s="115" t="s">
        <v>3471</v>
      </c>
      <c r="C3622" s="117">
        <v>3179.38</v>
      </c>
    </row>
    <row r="3623" spans="1:3" x14ac:dyDescent="0.25">
      <c r="A3623" s="115">
        <v>3076505</v>
      </c>
      <c r="B3623" s="115" t="s">
        <v>3472</v>
      </c>
      <c r="C3623" s="117">
        <v>3179.38</v>
      </c>
    </row>
    <row r="3624" spans="1:3" x14ac:dyDescent="0.25">
      <c r="A3624" s="115">
        <v>3076532</v>
      </c>
      <c r="B3624" s="115" t="s">
        <v>3473</v>
      </c>
      <c r="C3624" s="117">
        <v>2225.56</v>
      </c>
    </row>
    <row r="3625" spans="1:3" x14ac:dyDescent="0.25">
      <c r="A3625" s="115">
        <v>3076543</v>
      </c>
      <c r="B3625" s="115" t="s">
        <v>3474</v>
      </c>
      <c r="C3625" s="117">
        <v>3179.38</v>
      </c>
    </row>
    <row r="3626" spans="1:3" x14ac:dyDescent="0.25">
      <c r="A3626" s="115">
        <v>3076542</v>
      </c>
      <c r="B3626" s="115" t="s">
        <v>3475</v>
      </c>
      <c r="C3626" s="117">
        <v>3179.38</v>
      </c>
    </row>
    <row r="3627" spans="1:3" x14ac:dyDescent="0.25">
      <c r="A3627" s="115">
        <v>3076529</v>
      </c>
      <c r="B3627" s="115" t="s">
        <v>3476</v>
      </c>
      <c r="C3627" s="117">
        <v>3179.38</v>
      </c>
    </row>
    <row r="3628" spans="1:3" x14ac:dyDescent="0.25">
      <c r="A3628" s="115">
        <v>3076599</v>
      </c>
      <c r="B3628" s="115" t="s">
        <v>3477</v>
      </c>
      <c r="C3628" s="117">
        <v>3179.38</v>
      </c>
    </row>
    <row r="3629" spans="1:3" x14ac:dyDescent="0.25">
      <c r="A3629" s="115">
        <v>3076578</v>
      </c>
      <c r="B3629" s="115" t="s">
        <v>3478</v>
      </c>
      <c r="C3629" s="117">
        <v>3179.38</v>
      </c>
    </row>
    <row r="3630" spans="1:3" x14ac:dyDescent="0.25">
      <c r="A3630" s="115">
        <v>3076524</v>
      </c>
      <c r="B3630" s="115" t="s">
        <v>3479</v>
      </c>
      <c r="C3630" s="117">
        <v>3179.38</v>
      </c>
    </row>
    <row r="3631" spans="1:3" x14ac:dyDescent="0.25">
      <c r="A3631" s="115">
        <v>3076525</v>
      </c>
      <c r="B3631" s="115" t="s">
        <v>3480</v>
      </c>
      <c r="C3631" s="117">
        <v>3179.38</v>
      </c>
    </row>
    <row r="3632" spans="1:3" x14ac:dyDescent="0.25">
      <c r="A3632" s="115">
        <v>3076537</v>
      </c>
      <c r="B3632" s="115" t="s">
        <v>3481</v>
      </c>
      <c r="C3632" s="117">
        <v>3179.38</v>
      </c>
    </row>
    <row r="3633" spans="1:3" x14ac:dyDescent="0.25">
      <c r="A3633" s="115">
        <v>3076539</v>
      </c>
      <c r="B3633" s="115" t="s">
        <v>3482</v>
      </c>
      <c r="C3633" s="117">
        <v>3179.38</v>
      </c>
    </row>
    <row r="3634" spans="1:3" x14ac:dyDescent="0.25">
      <c r="A3634" s="115">
        <v>3076584</v>
      </c>
      <c r="B3634" s="115" t="s">
        <v>3483</v>
      </c>
      <c r="C3634" s="117">
        <v>3179.38</v>
      </c>
    </row>
    <row r="3635" spans="1:3" x14ac:dyDescent="0.25">
      <c r="A3635" s="115">
        <v>3076585</v>
      </c>
      <c r="B3635" s="115" t="s">
        <v>3484</v>
      </c>
      <c r="C3635" s="117">
        <v>3179.38</v>
      </c>
    </row>
    <row r="3636" spans="1:3" x14ac:dyDescent="0.25">
      <c r="A3636" s="115">
        <v>3076586</v>
      </c>
      <c r="B3636" s="115" t="s">
        <v>3485</v>
      </c>
      <c r="C3636" s="117">
        <v>3179.38</v>
      </c>
    </row>
    <row r="3637" spans="1:3" x14ac:dyDescent="0.25">
      <c r="A3637" s="115">
        <v>3076587</v>
      </c>
      <c r="B3637" s="115" t="s">
        <v>3486</v>
      </c>
      <c r="C3637" s="117">
        <v>3179.38</v>
      </c>
    </row>
    <row r="3638" spans="1:3" x14ac:dyDescent="0.25">
      <c r="A3638" s="115">
        <v>3076555</v>
      </c>
      <c r="B3638" s="115" t="s">
        <v>3487</v>
      </c>
      <c r="C3638" s="117">
        <v>3179.38</v>
      </c>
    </row>
    <row r="3639" spans="1:3" x14ac:dyDescent="0.25">
      <c r="A3639" s="115">
        <v>3076566</v>
      </c>
      <c r="B3639" s="115" t="s">
        <v>3488</v>
      </c>
      <c r="C3639" s="117">
        <v>3179.38</v>
      </c>
    </row>
    <row r="3640" spans="1:3" x14ac:dyDescent="0.25">
      <c r="A3640" s="115">
        <v>3076567</v>
      </c>
      <c r="B3640" s="115" t="s">
        <v>3489</v>
      </c>
      <c r="C3640" s="117">
        <v>3179.38</v>
      </c>
    </row>
    <row r="3641" spans="1:3" x14ac:dyDescent="0.25">
      <c r="A3641" s="115">
        <v>3076565</v>
      </c>
      <c r="B3641" s="115" t="s">
        <v>3490</v>
      </c>
      <c r="C3641" s="117">
        <v>3179.38</v>
      </c>
    </row>
    <row r="3642" spans="1:3" x14ac:dyDescent="0.25">
      <c r="A3642" s="115">
        <v>3074009</v>
      </c>
      <c r="B3642" s="115" t="s">
        <v>3491</v>
      </c>
      <c r="C3642" s="117">
        <v>799.38</v>
      </c>
    </row>
    <row r="3643" spans="1:3" x14ac:dyDescent="0.25">
      <c r="A3643" s="115">
        <v>3076013</v>
      </c>
      <c r="B3643" s="115" t="s">
        <v>3492</v>
      </c>
      <c r="C3643" s="117">
        <v>799.38</v>
      </c>
    </row>
    <row r="3644" spans="1:3" x14ac:dyDescent="0.25">
      <c r="A3644" s="115">
        <v>3076014</v>
      </c>
      <c r="B3644" s="115" t="s">
        <v>3493</v>
      </c>
      <c r="C3644" s="117">
        <v>799.38</v>
      </c>
    </row>
    <row r="3645" spans="1:3" x14ac:dyDescent="0.25">
      <c r="A3645" s="115">
        <v>3076010</v>
      </c>
      <c r="B3645" s="115" t="s">
        <v>3494</v>
      </c>
      <c r="C3645" s="117">
        <v>799.38</v>
      </c>
    </row>
    <row r="3646" spans="1:3" x14ac:dyDescent="0.25">
      <c r="A3646" s="115">
        <v>3076003</v>
      </c>
      <c r="B3646" s="115" t="s">
        <v>3495</v>
      </c>
      <c r="C3646" s="117">
        <v>799.38</v>
      </c>
    </row>
    <row r="3647" spans="1:3" x14ac:dyDescent="0.25">
      <c r="A3647" s="115">
        <v>3076012</v>
      </c>
      <c r="B3647" s="115" t="s">
        <v>3496</v>
      </c>
      <c r="C3647" s="117">
        <v>799.38</v>
      </c>
    </row>
    <row r="3648" spans="1:3" x14ac:dyDescent="0.25">
      <c r="A3648" s="115">
        <v>3076006</v>
      </c>
      <c r="B3648" s="115" t="s">
        <v>3497</v>
      </c>
      <c r="C3648" s="117">
        <v>799.38</v>
      </c>
    </row>
    <row r="3649" spans="1:3" x14ac:dyDescent="0.25">
      <c r="A3649" s="115">
        <v>3076011</v>
      </c>
      <c r="B3649" s="115" t="s">
        <v>3498</v>
      </c>
      <c r="C3649" s="117">
        <v>799.38</v>
      </c>
    </row>
    <row r="3650" spans="1:3" x14ac:dyDescent="0.25">
      <c r="A3650" s="115">
        <v>3076017</v>
      </c>
      <c r="B3650" s="115" t="s">
        <v>3499</v>
      </c>
      <c r="C3650" s="117">
        <v>799.38</v>
      </c>
    </row>
    <row r="3651" spans="1:3" x14ac:dyDescent="0.25">
      <c r="A3651" s="115">
        <v>3071007</v>
      </c>
      <c r="B3651" s="115" t="s">
        <v>3500</v>
      </c>
      <c r="C3651" s="117">
        <v>799.38</v>
      </c>
    </row>
    <row r="3652" spans="1:3" x14ac:dyDescent="0.25">
      <c r="A3652" s="115">
        <v>3076015</v>
      </c>
      <c r="B3652" s="115" t="s">
        <v>3501</v>
      </c>
      <c r="C3652" s="117">
        <v>799.38</v>
      </c>
    </row>
    <row r="3653" spans="1:3" x14ac:dyDescent="0.25">
      <c r="A3653" s="115">
        <v>3076051</v>
      </c>
      <c r="B3653" s="115" t="s">
        <v>3502</v>
      </c>
      <c r="C3653" s="117">
        <v>799.38</v>
      </c>
    </row>
    <row r="3654" spans="1:3" x14ac:dyDescent="0.25">
      <c r="A3654" s="115">
        <v>3076150</v>
      </c>
      <c r="B3654" s="115" t="s">
        <v>3503</v>
      </c>
      <c r="C3654" s="117">
        <v>799.39</v>
      </c>
    </row>
    <row r="3655" spans="1:3" x14ac:dyDescent="0.25">
      <c r="A3655" s="115">
        <v>3076058</v>
      </c>
      <c r="B3655" s="115" t="s">
        <v>3504</v>
      </c>
      <c r="C3655" s="117">
        <v>799.38</v>
      </c>
    </row>
    <row r="3656" spans="1:3" x14ac:dyDescent="0.25">
      <c r="A3656" s="115">
        <v>3076053</v>
      </c>
      <c r="B3656" s="115" t="s">
        <v>3505</v>
      </c>
      <c r="C3656" s="117">
        <v>799.38</v>
      </c>
    </row>
    <row r="3657" spans="1:3" x14ac:dyDescent="0.25">
      <c r="A3657" s="115">
        <v>3076054</v>
      </c>
      <c r="B3657" s="115" t="s">
        <v>3506</v>
      </c>
      <c r="C3657" s="117">
        <v>799.38</v>
      </c>
    </row>
    <row r="3658" spans="1:3" x14ac:dyDescent="0.25">
      <c r="A3658" s="115">
        <v>3076050</v>
      </c>
      <c r="B3658" s="115" t="s">
        <v>3507</v>
      </c>
      <c r="C3658" s="117">
        <v>799.38</v>
      </c>
    </row>
    <row r="3659" spans="1:3" x14ac:dyDescent="0.25">
      <c r="A3659" s="115">
        <v>3076057</v>
      </c>
      <c r="B3659" s="115" t="s">
        <v>3508</v>
      </c>
      <c r="C3659" s="117">
        <v>799.38</v>
      </c>
    </row>
    <row r="3660" spans="1:3" x14ac:dyDescent="0.25">
      <c r="A3660" s="115">
        <v>3076056</v>
      </c>
      <c r="B3660" s="115" t="s">
        <v>3509</v>
      </c>
      <c r="C3660" s="117">
        <v>799.38</v>
      </c>
    </row>
    <row r="3661" spans="1:3" x14ac:dyDescent="0.25">
      <c r="A3661" s="115">
        <v>3076002</v>
      </c>
      <c r="B3661" s="115" t="s">
        <v>3510</v>
      </c>
      <c r="C3661" s="117">
        <v>799.38</v>
      </c>
    </row>
    <row r="3662" spans="1:3" x14ac:dyDescent="0.25">
      <c r="A3662" s="115">
        <v>3076121</v>
      </c>
      <c r="B3662" s="115" t="s">
        <v>3511</v>
      </c>
      <c r="C3662" s="117">
        <v>799.39</v>
      </c>
    </row>
    <row r="3663" spans="1:3" x14ac:dyDescent="0.25">
      <c r="A3663" s="115">
        <v>3076001</v>
      </c>
      <c r="B3663" s="115" t="s">
        <v>3512</v>
      </c>
      <c r="C3663" s="117">
        <v>799.38</v>
      </c>
    </row>
    <row r="3664" spans="1:3" x14ac:dyDescent="0.25">
      <c r="A3664" s="115">
        <v>3076022</v>
      </c>
      <c r="B3664" s="115" t="s">
        <v>3513</v>
      </c>
      <c r="C3664" s="117">
        <v>799.38</v>
      </c>
    </row>
    <row r="3665" spans="1:3" x14ac:dyDescent="0.25">
      <c r="A3665" s="115">
        <v>3076031</v>
      </c>
      <c r="B3665" s="115" t="s">
        <v>3514</v>
      </c>
      <c r="C3665" s="117">
        <v>799.38</v>
      </c>
    </row>
    <row r="3666" spans="1:3" x14ac:dyDescent="0.25">
      <c r="A3666" s="115">
        <v>3076052</v>
      </c>
      <c r="B3666" s="115" t="s">
        <v>3515</v>
      </c>
      <c r="C3666" s="117">
        <v>799.38</v>
      </c>
    </row>
    <row r="3667" spans="1:3" x14ac:dyDescent="0.25">
      <c r="A3667" s="115">
        <v>3076028</v>
      </c>
      <c r="B3667" s="115" t="s">
        <v>3516</v>
      </c>
      <c r="C3667" s="117">
        <v>799.38</v>
      </c>
    </row>
    <row r="3668" spans="1:3" x14ac:dyDescent="0.25">
      <c r="A3668" s="115">
        <v>3076046</v>
      </c>
      <c r="B3668" s="115" t="s">
        <v>3517</v>
      </c>
      <c r="C3668" s="117">
        <v>799.38</v>
      </c>
    </row>
    <row r="3669" spans="1:3" x14ac:dyDescent="0.25">
      <c r="A3669" s="115">
        <v>3076048</v>
      </c>
      <c r="B3669" s="115" t="s">
        <v>3518</v>
      </c>
      <c r="C3669" s="117">
        <v>799.38</v>
      </c>
    </row>
    <row r="3670" spans="1:3" x14ac:dyDescent="0.25">
      <c r="A3670" s="115">
        <v>3076047</v>
      </c>
      <c r="B3670" s="115" t="s">
        <v>3519</v>
      </c>
      <c r="C3670" s="117">
        <v>799.38</v>
      </c>
    </row>
    <row r="3671" spans="1:3" x14ac:dyDescent="0.25">
      <c r="A3671" s="115">
        <v>3076045</v>
      </c>
      <c r="B3671" s="115" t="s">
        <v>3520</v>
      </c>
      <c r="C3671" s="117">
        <v>799.38</v>
      </c>
    </row>
    <row r="3672" spans="1:3" x14ac:dyDescent="0.25">
      <c r="A3672" s="115">
        <v>3076027</v>
      </c>
      <c r="B3672" s="115" t="s">
        <v>3521</v>
      </c>
      <c r="C3672" s="117">
        <v>799.38</v>
      </c>
    </row>
    <row r="3673" spans="1:3" x14ac:dyDescent="0.25">
      <c r="A3673" s="115">
        <v>3076088</v>
      </c>
      <c r="B3673" s="115" t="s">
        <v>3522</v>
      </c>
      <c r="C3673" s="117">
        <v>799.38</v>
      </c>
    </row>
    <row r="3674" spans="1:3" x14ac:dyDescent="0.25">
      <c r="A3674" s="115">
        <v>3076049</v>
      </c>
      <c r="B3674" s="115" t="s">
        <v>3523</v>
      </c>
      <c r="C3674" s="117">
        <v>799.38</v>
      </c>
    </row>
    <row r="3675" spans="1:3" x14ac:dyDescent="0.25">
      <c r="A3675" s="115">
        <v>3076110</v>
      </c>
      <c r="B3675" s="115" t="s">
        <v>3524</v>
      </c>
      <c r="C3675" s="117">
        <v>799.39</v>
      </c>
    </row>
    <row r="3676" spans="1:3" x14ac:dyDescent="0.25">
      <c r="A3676" s="115">
        <v>3076020</v>
      </c>
      <c r="B3676" s="115" t="s">
        <v>3525</v>
      </c>
      <c r="C3676" s="117">
        <v>799.38</v>
      </c>
    </row>
    <row r="3677" spans="1:3" x14ac:dyDescent="0.25">
      <c r="A3677" s="115">
        <v>3076019</v>
      </c>
      <c r="B3677" s="115" t="s">
        <v>3526</v>
      </c>
      <c r="C3677" s="117">
        <v>799.38</v>
      </c>
    </row>
    <row r="3678" spans="1:3" x14ac:dyDescent="0.25">
      <c r="A3678" s="115">
        <v>3076280</v>
      </c>
      <c r="B3678" s="115" t="s">
        <v>3527</v>
      </c>
      <c r="C3678" s="117">
        <v>799.39</v>
      </c>
    </row>
    <row r="3679" spans="1:3" x14ac:dyDescent="0.25">
      <c r="A3679" s="115">
        <v>3076281</v>
      </c>
      <c r="B3679" s="115" t="s">
        <v>3528</v>
      </c>
      <c r="C3679" s="117">
        <v>799.39</v>
      </c>
    </row>
    <row r="3680" spans="1:3" x14ac:dyDescent="0.25">
      <c r="A3680" s="115">
        <v>3076284</v>
      </c>
      <c r="B3680" s="115" t="s">
        <v>3529</v>
      </c>
      <c r="C3680" s="117">
        <v>799.39</v>
      </c>
    </row>
    <row r="3681" spans="1:3" x14ac:dyDescent="0.25">
      <c r="A3681" s="115">
        <v>3076286</v>
      </c>
      <c r="B3681" s="115" t="s">
        <v>3530</v>
      </c>
      <c r="C3681" s="117">
        <v>799.39</v>
      </c>
    </row>
    <row r="3682" spans="1:3" x14ac:dyDescent="0.25">
      <c r="A3682" s="115">
        <v>3076283</v>
      </c>
      <c r="B3682" s="115" t="s">
        <v>3531</v>
      </c>
      <c r="C3682" s="117">
        <v>799.39</v>
      </c>
    </row>
    <row r="3683" spans="1:3" x14ac:dyDescent="0.25">
      <c r="A3683" s="115">
        <v>3076285</v>
      </c>
      <c r="B3683" s="115" t="s">
        <v>3532</v>
      </c>
      <c r="C3683" s="117">
        <v>799.39</v>
      </c>
    </row>
    <row r="3684" spans="1:3" x14ac:dyDescent="0.25">
      <c r="A3684" s="115">
        <v>3076026</v>
      </c>
      <c r="B3684" s="115" t="s">
        <v>3533</v>
      </c>
      <c r="C3684" s="117">
        <v>799.38</v>
      </c>
    </row>
    <row r="3685" spans="1:3" x14ac:dyDescent="0.25">
      <c r="A3685" s="115">
        <v>3076094</v>
      </c>
      <c r="B3685" s="115" t="s">
        <v>3534</v>
      </c>
      <c r="C3685" s="117">
        <v>799.38</v>
      </c>
    </row>
    <row r="3686" spans="1:3" x14ac:dyDescent="0.25">
      <c r="A3686" s="115">
        <v>3076097</v>
      </c>
      <c r="B3686" s="115" t="s">
        <v>3535</v>
      </c>
      <c r="C3686" s="117">
        <v>799.38</v>
      </c>
    </row>
    <row r="3687" spans="1:3" x14ac:dyDescent="0.25">
      <c r="A3687" s="115">
        <v>3076093</v>
      </c>
      <c r="B3687" s="115" t="s">
        <v>3536</v>
      </c>
      <c r="C3687" s="117">
        <v>799.38</v>
      </c>
    </row>
    <row r="3688" spans="1:3" x14ac:dyDescent="0.25">
      <c r="A3688" s="115">
        <v>3076005</v>
      </c>
      <c r="B3688" s="115" t="s">
        <v>3537</v>
      </c>
      <c r="C3688" s="117">
        <v>799.38</v>
      </c>
    </row>
    <row r="3689" spans="1:3" x14ac:dyDescent="0.25">
      <c r="A3689" s="115">
        <v>3076032</v>
      </c>
      <c r="B3689" s="115" t="s">
        <v>3538</v>
      </c>
      <c r="C3689" s="117">
        <v>799.38</v>
      </c>
    </row>
    <row r="3690" spans="1:3" x14ac:dyDescent="0.25">
      <c r="A3690" s="115">
        <v>3076043</v>
      </c>
      <c r="B3690" s="115" t="s">
        <v>3539</v>
      </c>
      <c r="C3690" s="117">
        <v>799.38</v>
      </c>
    </row>
    <row r="3691" spans="1:3" x14ac:dyDescent="0.25">
      <c r="A3691" s="115">
        <v>3076040</v>
      </c>
      <c r="B3691" s="115" t="s">
        <v>3540</v>
      </c>
      <c r="C3691" s="117">
        <v>799.38</v>
      </c>
    </row>
    <row r="3692" spans="1:3" x14ac:dyDescent="0.25">
      <c r="A3692" s="115">
        <v>3076042</v>
      </c>
      <c r="B3692" s="115" t="s">
        <v>3541</v>
      </c>
      <c r="C3692" s="117">
        <v>799.38</v>
      </c>
    </row>
    <row r="3693" spans="1:3" x14ac:dyDescent="0.25">
      <c r="A3693" s="115">
        <v>3076129</v>
      </c>
      <c r="B3693" s="115" t="s">
        <v>3542</v>
      </c>
      <c r="C3693" s="117">
        <v>799.39</v>
      </c>
    </row>
    <row r="3694" spans="1:3" x14ac:dyDescent="0.25">
      <c r="A3694" s="115">
        <v>3076029</v>
      </c>
      <c r="B3694" s="115" t="s">
        <v>3543</v>
      </c>
      <c r="C3694" s="117">
        <v>799.38</v>
      </c>
    </row>
    <row r="3695" spans="1:3" x14ac:dyDescent="0.25">
      <c r="A3695" s="115">
        <v>3076008</v>
      </c>
      <c r="B3695" s="115" t="s">
        <v>3544</v>
      </c>
      <c r="C3695" s="117">
        <v>799.38</v>
      </c>
    </row>
    <row r="3696" spans="1:3" x14ac:dyDescent="0.25">
      <c r="A3696" s="115">
        <v>3076076</v>
      </c>
      <c r="B3696" s="115" t="s">
        <v>3545</v>
      </c>
      <c r="C3696" s="117">
        <v>799.38</v>
      </c>
    </row>
    <row r="3697" spans="1:3" x14ac:dyDescent="0.25">
      <c r="A3697" s="115">
        <v>3076099</v>
      </c>
      <c r="B3697" s="115" t="s">
        <v>3546</v>
      </c>
      <c r="C3697" s="117">
        <v>799.38</v>
      </c>
    </row>
    <row r="3698" spans="1:3" x14ac:dyDescent="0.25">
      <c r="A3698" s="115">
        <v>3076078</v>
      </c>
      <c r="B3698" s="115" t="s">
        <v>3547</v>
      </c>
      <c r="C3698" s="117">
        <v>799.38</v>
      </c>
    </row>
    <row r="3699" spans="1:3" x14ac:dyDescent="0.25">
      <c r="A3699" s="115">
        <v>3076108</v>
      </c>
      <c r="B3699" s="115" t="s">
        <v>3548</v>
      </c>
      <c r="C3699" s="117">
        <v>799.39</v>
      </c>
    </row>
    <row r="3700" spans="1:3" x14ac:dyDescent="0.25">
      <c r="A3700" s="115">
        <v>3076106</v>
      </c>
      <c r="B3700" s="115" t="s">
        <v>3549</v>
      </c>
      <c r="C3700" s="117">
        <v>799.39</v>
      </c>
    </row>
    <row r="3701" spans="1:3" x14ac:dyDescent="0.25">
      <c r="A3701" s="115">
        <v>3076111</v>
      </c>
      <c r="B3701" s="115" t="s">
        <v>3550</v>
      </c>
      <c r="C3701" s="117">
        <v>841.46</v>
      </c>
    </row>
    <row r="3702" spans="1:3" x14ac:dyDescent="0.25">
      <c r="A3702" s="115">
        <v>3076105</v>
      </c>
      <c r="B3702" s="115" t="s">
        <v>3551</v>
      </c>
      <c r="C3702" s="117">
        <v>799.39</v>
      </c>
    </row>
    <row r="3703" spans="1:3" x14ac:dyDescent="0.25">
      <c r="A3703" s="115">
        <v>3076109</v>
      </c>
      <c r="B3703" s="115" t="s">
        <v>3552</v>
      </c>
      <c r="C3703" s="117">
        <v>799.39</v>
      </c>
    </row>
    <row r="3704" spans="1:3" x14ac:dyDescent="0.25">
      <c r="A3704" s="115">
        <v>3076103</v>
      </c>
      <c r="B3704" s="115" t="s">
        <v>3553</v>
      </c>
      <c r="C3704" s="117">
        <v>799.39</v>
      </c>
    </row>
    <row r="3705" spans="1:3" x14ac:dyDescent="0.25">
      <c r="A3705" s="115">
        <v>3076101</v>
      </c>
      <c r="B3705" s="115" t="s">
        <v>3554</v>
      </c>
      <c r="C3705" s="117">
        <v>799.39</v>
      </c>
    </row>
    <row r="3706" spans="1:3" x14ac:dyDescent="0.25">
      <c r="A3706" s="115">
        <v>3076059</v>
      </c>
      <c r="B3706" s="115" t="s">
        <v>3555</v>
      </c>
      <c r="C3706" s="117">
        <v>799.38</v>
      </c>
    </row>
    <row r="3707" spans="1:3" x14ac:dyDescent="0.25">
      <c r="A3707" s="115">
        <v>3076024</v>
      </c>
      <c r="B3707" s="115" t="s">
        <v>3556</v>
      </c>
      <c r="C3707" s="117">
        <v>799.38</v>
      </c>
    </row>
    <row r="3708" spans="1:3" x14ac:dyDescent="0.25">
      <c r="A3708" s="115">
        <v>3076023</v>
      </c>
      <c r="B3708" s="115" t="s">
        <v>3557</v>
      </c>
      <c r="C3708" s="117">
        <v>799.38</v>
      </c>
    </row>
    <row r="3709" spans="1:3" x14ac:dyDescent="0.25">
      <c r="A3709" s="115">
        <v>3076025</v>
      </c>
      <c r="B3709" s="115" t="s">
        <v>3558</v>
      </c>
      <c r="C3709" s="117">
        <v>799.38</v>
      </c>
    </row>
    <row r="3710" spans="1:3" x14ac:dyDescent="0.25">
      <c r="A3710" s="115">
        <v>3076030</v>
      </c>
      <c r="B3710" s="115" t="s">
        <v>3559</v>
      </c>
      <c r="C3710" s="117">
        <v>799.38</v>
      </c>
    </row>
    <row r="3711" spans="1:3" x14ac:dyDescent="0.25">
      <c r="A3711" s="115">
        <v>3076037</v>
      </c>
      <c r="B3711" s="115" t="s">
        <v>3560</v>
      </c>
      <c r="C3711" s="117">
        <v>799.38</v>
      </c>
    </row>
    <row r="3712" spans="1:3" x14ac:dyDescent="0.25">
      <c r="A3712" s="115">
        <v>3076039</v>
      </c>
      <c r="B3712" s="115" t="s">
        <v>3561</v>
      </c>
      <c r="C3712" s="117">
        <v>799.38</v>
      </c>
    </row>
    <row r="3713" spans="1:3" x14ac:dyDescent="0.25">
      <c r="A3713" s="115">
        <v>3076038</v>
      </c>
      <c r="B3713" s="115" t="s">
        <v>3562</v>
      </c>
      <c r="C3713" s="117">
        <v>799.38</v>
      </c>
    </row>
    <row r="3714" spans="1:3" x14ac:dyDescent="0.25">
      <c r="A3714" s="115">
        <v>3076004</v>
      </c>
      <c r="B3714" s="115" t="s">
        <v>3563</v>
      </c>
      <c r="C3714" s="117">
        <v>799.38</v>
      </c>
    </row>
    <row r="3715" spans="1:3" x14ac:dyDescent="0.25">
      <c r="A3715" s="115">
        <v>3076080</v>
      </c>
      <c r="B3715" s="115" t="s">
        <v>3564</v>
      </c>
      <c r="C3715" s="117">
        <v>799.38</v>
      </c>
    </row>
    <row r="3716" spans="1:3" x14ac:dyDescent="0.25">
      <c r="A3716" s="115">
        <v>3076084</v>
      </c>
      <c r="B3716" s="115" t="s">
        <v>3565</v>
      </c>
      <c r="C3716" s="117">
        <v>799.38</v>
      </c>
    </row>
    <row r="3717" spans="1:3" x14ac:dyDescent="0.25">
      <c r="A3717" s="115">
        <v>3076085</v>
      </c>
      <c r="B3717" s="115" t="s">
        <v>3566</v>
      </c>
      <c r="C3717" s="117">
        <v>799.38</v>
      </c>
    </row>
    <row r="3718" spans="1:3" x14ac:dyDescent="0.25">
      <c r="A3718" s="115">
        <v>3076086</v>
      </c>
      <c r="B3718" s="115" t="s">
        <v>3567</v>
      </c>
      <c r="C3718" s="117">
        <v>799.38</v>
      </c>
    </row>
    <row r="3719" spans="1:3" x14ac:dyDescent="0.25">
      <c r="A3719" s="115">
        <v>3076087</v>
      </c>
      <c r="B3719" s="115" t="s">
        <v>3568</v>
      </c>
      <c r="C3719" s="117">
        <v>799.38</v>
      </c>
    </row>
    <row r="3720" spans="1:3" x14ac:dyDescent="0.25">
      <c r="A3720" s="115">
        <v>3076114</v>
      </c>
      <c r="B3720" s="115" t="s">
        <v>3569</v>
      </c>
      <c r="C3720" s="117">
        <v>799.39</v>
      </c>
    </row>
    <row r="3721" spans="1:3" x14ac:dyDescent="0.25">
      <c r="A3721" s="115">
        <v>3076055</v>
      </c>
      <c r="B3721" s="115" t="s">
        <v>3570</v>
      </c>
      <c r="C3721" s="117">
        <v>799.38</v>
      </c>
    </row>
    <row r="3722" spans="1:3" x14ac:dyDescent="0.25">
      <c r="A3722" s="115">
        <v>3076064</v>
      </c>
      <c r="B3722" s="115" t="s">
        <v>3571</v>
      </c>
      <c r="C3722" s="117">
        <v>799.38</v>
      </c>
    </row>
    <row r="3723" spans="1:3" x14ac:dyDescent="0.25">
      <c r="A3723" s="115">
        <v>3076061</v>
      </c>
      <c r="B3723" s="115" t="s">
        <v>3572</v>
      </c>
      <c r="C3723" s="117">
        <v>799.38</v>
      </c>
    </row>
    <row r="3724" spans="1:3" x14ac:dyDescent="0.25">
      <c r="A3724" s="115">
        <v>3076066</v>
      </c>
      <c r="B3724" s="115" t="s">
        <v>3573</v>
      </c>
      <c r="C3724" s="117">
        <v>799.38</v>
      </c>
    </row>
    <row r="3725" spans="1:3" x14ac:dyDescent="0.25">
      <c r="A3725" s="115">
        <v>3076067</v>
      </c>
      <c r="B3725" s="115" t="s">
        <v>3574</v>
      </c>
      <c r="C3725" s="117">
        <v>799.38</v>
      </c>
    </row>
    <row r="3726" spans="1:3" x14ac:dyDescent="0.25">
      <c r="A3726" s="115">
        <v>3076063</v>
      </c>
      <c r="B3726" s="115" t="s">
        <v>3575</v>
      </c>
      <c r="C3726" s="117">
        <v>799.38</v>
      </c>
    </row>
    <row r="3727" spans="1:3" x14ac:dyDescent="0.25">
      <c r="A3727" s="115">
        <v>3076070</v>
      </c>
      <c r="B3727" s="115" t="s">
        <v>3576</v>
      </c>
      <c r="C3727" s="117">
        <v>799.38</v>
      </c>
    </row>
    <row r="3728" spans="1:3" x14ac:dyDescent="0.25">
      <c r="A3728" s="115">
        <v>3076065</v>
      </c>
      <c r="B3728" s="115" t="s">
        <v>3577</v>
      </c>
      <c r="C3728" s="117">
        <v>799.38</v>
      </c>
    </row>
    <row r="3729" spans="1:3" x14ac:dyDescent="0.25">
      <c r="A3729" s="115">
        <v>3076069</v>
      </c>
      <c r="B3729" s="115" t="s">
        <v>3578</v>
      </c>
      <c r="C3729" s="117">
        <v>799.38</v>
      </c>
    </row>
    <row r="3730" spans="1:3" x14ac:dyDescent="0.25">
      <c r="A3730" s="115">
        <v>3076175</v>
      </c>
      <c r="B3730" s="115" t="s">
        <v>3579</v>
      </c>
      <c r="C3730" s="117">
        <v>799.39</v>
      </c>
    </row>
    <row r="3731" spans="1:3" x14ac:dyDescent="0.25">
      <c r="A3731" s="115">
        <v>3076068</v>
      </c>
      <c r="B3731" s="115" t="s">
        <v>3580</v>
      </c>
      <c r="C3731" s="117">
        <v>799.38</v>
      </c>
    </row>
    <row r="3732" spans="1:3" x14ac:dyDescent="0.25">
      <c r="A3732" s="115">
        <v>3076160</v>
      </c>
      <c r="B3732" s="115" t="s">
        <v>3581</v>
      </c>
      <c r="C3732" s="117">
        <v>799.39</v>
      </c>
    </row>
    <row r="3733" spans="1:3" x14ac:dyDescent="0.25">
      <c r="A3733" s="115">
        <v>3076060</v>
      </c>
      <c r="B3733" s="115" t="s">
        <v>3582</v>
      </c>
      <c r="C3733" s="117">
        <v>799.38</v>
      </c>
    </row>
    <row r="3734" spans="1:3" x14ac:dyDescent="0.25">
      <c r="A3734" s="115">
        <v>3077034</v>
      </c>
      <c r="B3734" s="115" t="s">
        <v>3583</v>
      </c>
      <c r="C3734" s="117">
        <v>1013.99</v>
      </c>
    </row>
    <row r="3735" spans="1:3" x14ac:dyDescent="0.25">
      <c r="A3735" s="115">
        <v>3077043</v>
      </c>
      <c r="B3735" s="115" t="s">
        <v>3584</v>
      </c>
      <c r="C3735" s="117">
        <v>1013.99</v>
      </c>
    </row>
    <row r="3736" spans="1:3" x14ac:dyDescent="0.25">
      <c r="A3736" s="115">
        <v>3077035</v>
      </c>
      <c r="B3736" s="115" t="s">
        <v>3585</v>
      </c>
      <c r="C3736" s="117">
        <v>1013.99</v>
      </c>
    </row>
    <row r="3737" spans="1:3" x14ac:dyDescent="0.25">
      <c r="A3737" s="115">
        <v>3072006</v>
      </c>
      <c r="B3737" s="115" t="s">
        <v>3586</v>
      </c>
      <c r="C3737" s="117">
        <v>838.21</v>
      </c>
    </row>
    <row r="3738" spans="1:3" x14ac:dyDescent="0.25">
      <c r="A3738" s="115">
        <v>3072013</v>
      </c>
      <c r="B3738" s="115" t="s">
        <v>3587</v>
      </c>
      <c r="C3738" s="117">
        <v>838.21</v>
      </c>
    </row>
    <row r="3739" spans="1:3" x14ac:dyDescent="0.25">
      <c r="A3739" s="115">
        <v>3072014</v>
      </c>
      <c r="B3739" s="115" t="s">
        <v>3588</v>
      </c>
      <c r="C3739" s="117">
        <v>838.21</v>
      </c>
    </row>
    <row r="3740" spans="1:3" x14ac:dyDescent="0.25">
      <c r="A3740" s="115">
        <v>3072010</v>
      </c>
      <c r="B3740" s="115" t="s">
        <v>3589</v>
      </c>
      <c r="C3740" s="117">
        <v>838.21</v>
      </c>
    </row>
    <row r="3741" spans="1:3" x14ac:dyDescent="0.25">
      <c r="A3741" s="115">
        <v>3072011</v>
      </c>
      <c r="B3741" s="115" t="s">
        <v>3590</v>
      </c>
      <c r="C3741" s="117">
        <v>838.21</v>
      </c>
    </row>
    <row r="3742" spans="1:3" x14ac:dyDescent="0.25">
      <c r="A3742" s="115">
        <v>3072003</v>
      </c>
      <c r="B3742" s="115" t="s">
        <v>3591</v>
      </c>
      <c r="C3742" s="117">
        <v>838.21</v>
      </c>
    </row>
    <row r="3743" spans="1:3" x14ac:dyDescent="0.25">
      <c r="A3743" s="115">
        <v>3072017</v>
      </c>
      <c r="B3743" s="115" t="s">
        <v>3592</v>
      </c>
      <c r="C3743" s="117">
        <v>838.21</v>
      </c>
    </row>
    <row r="3744" spans="1:3" x14ac:dyDescent="0.25">
      <c r="A3744" s="115">
        <v>3072007</v>
      </c>
      <c r="B3744" s="115" t="s">
        <v>3593</v>
      </c>
      <c r="C3744" s="117">
        <v>838.21</v>
      </c>
    </row>
    <row r="3745" spans="1:3" x14ac:dyDescent="0.25">
      <c r="A3745" s="115">
        <v>3072015</v>
      </c>
      <c r="B3745" s="115" t="s">
        <v>3594</v>
      </c>
      <c r="C3745" s="117">
        <v>586.75</v>
      </c>
    </row>
    <row r="3746" spans="1:3" x14ac:dyDescent="0.25">
      <c r="A3746" s="115">
        <v>3072051</v>
      </c>
      <c r="B3746" s="115" t="s">
        <v>3595</v>
      </c>
      <c r="C3746" s="117">
        <v>838.21</v>
      </c>
    </row>
    <row r="3747" spans="1:3" x14ac:dyDescent="0.25">
      <c r="A3747" s="115">
        <v>3072150</v>
      </c>
      <c r="B3747" s="115" t="s">
        <v>3596</v>
      </c>
      <c r="C3747" s="117">
        <v>920.98</v>
      </c>
    </row>
    <row r="3748" spans="1:3" x14ac:dyDescent="0.25">
      <c r="A3748" s="115">
        <v>3072058</v>
      </c>
      <c r="B3748" s="115" t="s">
        <v>3597</v>
      </c>
      <c r="C3748" s="117">
        <v>838.21</v>
      </c>
    </row>
    <row r="3749" spans="1:3" x14ac:dyDescent="0.25">
      <c r="A3749" s="115">
        <v>3072054</v>
      </c>
      <c r="B3749" s="115" t="s">
        <v>3598</v>
      </c>
      <c r="C3749" s="117">
        <v>838.21</v>
      </c>
    </row>
    <row r="3750" spans="1:3" x14ac:dyDescent="0.25">
      <c r="A3750" s="115">
        <v>3072050</v>
      </c>
      <c r="B3750" s="115" t="s">
        <v>3599</v>
      </c>
      <c r="C3750" s="117">
        <v>838.21</v>
      </c>
    </row>
    <row r="3751" spans="1:3" x14ac:dyDescent="0.25">
      <c r="A3751" s="115">
        <v>3072057</v>
      </c>
      <c r="B3751" s="115" t="s">
        <v>3600</v>
      </c>
      <c r="C3751" s="117">
        <v>838.21</v>
      </c>
    </row>
    <row r="3752" spans="1:3" x14ac:dyDescent="0.25">
      <c r="A3752" s="115">
        <v>3072002</v>
      </c>
      <c r="B3752" s="115" t="s">
        <v>3601</v>
      </c>
      <c r="C3752" s="117">
        <v>838.21</v>
      </c>
    </row>
    <row r="3753" spans="1:3" x14ac:dyDescent="0.25">
      <c r="A3753" s="115">
        <v>3072121</v>
      </c>
      <c r="B3753" s="115" t="s">
        <v>3602</v>
      </c>
      <c r="C3753" s="117">
        <v>920.98</v>
      </c>
    </row>
    <row r="3754" spans="1:3" x14ac:dyDescent="0.25">
      <c r="A3754" s="115">
        <v>3072001</v>
      </c>
      <c r="B3754" s="115" t="s">
        <v>3603</v>
      </c>
      <c r="C3754" s="117">
        <v>838.21</v>
      </c>
    </row>
    <row r="3755" spans="1:3" x14ac:dyDescent="0.25">
      <c r="A3755" s="115">
        <v>3072022</v>
      </c>
      <c r="B3755" s="115" t="s">
        <v>3604</v>
      </c>
      <c r="C3755" s="117">
        <v>838.21</v>
      </c>
    </row>
    <row r="3756" spans="1:3" x14ac:dyDescent="0.25">
      <c r="A3756" s="115">
        <v>3072031</v>
      </c>
      <c r="B3756" s="115" t="s">
        <v>3605</v>
      </c>
      <c r="C3756" s="117">
        <v>838.21</v>
      </c>
    </row>
    <row r="3757" spans="1:3" x14ac:dyDescent="0.25">
      <c r="A3757" s="115">
        <v>3072052</v>
      </c>
      <c r="B3757" s="115" t="s">
        <v>3606</v>
      </c>
      <c r="C3757" s="117">
        <v>838.21</v>
      </c>
    </row>
    <row r="3758" spans="1:3" x14ac:dyDescent="0.25">
      <c r="A3758" s="115">
        <v>3072009</v>
      </c>
      <c r="B3758" s="115" t="s">
        <v>3607</v>
      </c>
      <c r="C3758" s="117">
        <v>838.21</v>
      </c>
    </row>
    <row r="3759" spans="1:3" x14ac:dyDescent="0.25">
      <c r="A3759" s="115">
        <v>3072082</v>
      </c>
      <c r="B3759" s="115" t="s">
        <v>3608</v>
      </c>
      <c r="C3759" s="117">
        <v>838.21</v>
      </c>
    </row>
    <row r="3760" spans="1:3" x14ac:dyDescent="0.25">
      <c r="A3760" s="115">
        <v>3072047</v>
      </c>
      <c r="B3760" s="115" t="s">
        <v>3609</v>
      </c>
      <c r="C3760" s="117">
        <v>815.03</v>
      </c>
    </row>
    <row r="3761" spans="1:3" x14ac:dyDescent="0.25">
      <c r="A3761" s="115">
        <v>3072048</v>
      </c>
      <c r="B3761" s="115" t="s">
        <v>3610</v>
      </c>
      <c r="C3761" s="117">
        <v>838.21</v>
      </c>
    </row>
    <row r="3762" spans="1:3" x14ac:dyDescent="0.25">
      <c r="A3762" s="115">
        <v>3072045</v>
      </c>
      <c r="B3762" s="115" t="s">
        <v>3611</v>
      </c>
      <c r="C3762" s="117">
        <v>838.21</v>
      </c>
    </row>
    <row r="3763" spans="1:3" x14ac:dyDescent="0.25">
      <c r="A3763" s="115">
        <v>3072046</v>
      </c>
      <c r="B3763" s="115" t="s">
        <v>3612</v>
      </c>
      <c r="C3763" s="117">
        <v>815.03</v>
      </c>
    </row>
    <row r="3764" spans="1:3" x14ac:dyDescent="0.25">
      <c r="A3764" s="115">
        <v>3072027</v>
      </c>
      <c r="B3764" s="115" t="s">
        <v>3613</v>
      </c>
      <c r="C3764" s="117">
        <v>838.21</v>
      </c>
    </row>
    <row r="3765" spans="1:3" x14ac:dyDescent="0.25">
      <c r="A3765" s="115">
        <v>3072088</v>
      </c>
      <c r="B3765" s="115" t="s">
        <v>3614</v>
      </c>
      <c r="C3765" s="117">
        <v>838.21</v>
      </c>
    </row>
    <row r="3766" spans="1:3" x14ac:dyDescent="0.25">
      <c r="A3766" s="115">
        <v>3072049</v>
      </c>
      <c r="B3766" s="115" t="s">
        <v>3615</v>
      </c>
      <c r="C3766" s="117">
        <v>838.21</v>
      </c>
    </row>
    <row r="3767" spans="1:3" x14ac:dyDescent="0.25">
      <c r="A3767" s="115">
        <v>3072110</v>
      </c>
      <c r="B3767" s="115" t="s">
        <v>3616</v>
      </c>
      <c r="C3767" s="117">
        <v>644.67999999999995</v>
      </c>
    </row>
    <row r="3768" spans="1:3" x14ac:dyDescent="0.25">
      <c r="A3768" s="115">
        <v>3072020</v>
      </c>
      <c r="B3768" s="115" t="s">
        <v>3617</v>
      </c>
      <c r="C3768" s="117">
        <v>838.21</v>
      </c>
    </row>
    <row r="3769" spans="1:3" x14ac:dyDescent="0.25">
      <c r="A3769" s="115">
        <v>3072019</v>
      </c>
      <c r="B3769" s="115" t="s">
        <v>3618</v>
      </c>
      <c r="C3769" s="117">
        <v>838.21</v>
      </c>
    </row>
    <row r="3770" spans="1:3" x14ac:dyDescent="0.25">
      <c r="A3770" s="115">
        <v>3072026</v>
      </c>
      <c r="B3770" s="115" t="s">
        <v>3619</v>
      </c>
      <c r="C3770" s="117">
        <v>838.21</v>
      </c>
    </row>
    <row r="3771" spans="1:3" x14ac:dyDescent="0.25">
      <c r="A3771" s="115">
        <v>3072094</v>
      </c>
      <c r="B3771" s="115" t="s">
        <v>3620</v>
      </c>
      <c r="C3771" s="117">
        <v>838.21</v>
      </c>
    </row>
    <row r="3772" spans="1:3" x14ac:dyDescent="0.25">
      <c r="A3772" s="115">
        <v>3072005</v>
      </c>
      <c r="B3772" s="115" t="s">
        <v>3621</v>
      </c>
      <c r="C3772" s="117">
        <v>838.21</v>
      </c>
    </row>
    <row r="3773" spans="1:3" x14ac:dyDescent="0.25">
      <c r="A3773" s="115">
        <v>3072000</v>
      </c>
      <c r="B3773" s="115" t="s">
        <v>3622</v>
      </c>
      <c r="C3773" s="117">
        <v>838.21</v>
      </c>
    </row>
    <row r="3774" spans="1:3" x14ac:dyDescent="0.25">
      <c r="A3774" s="115">
        <v>3072032</v>
      </c>
      <c r="B3774" s="115" t="s">
        <v>3623</v>
      </c>
      <c r="C3774" s="117">
        <v>838.21</v>
      </c>
    </row>
    <row r="3775" spans="1:3" x14ac:dyDescent="0.25">
      <c r="A3775" s="115">
        <v>3072043</v>
      </c>
      <c r="B3775" s="115" t="s">
        <v>3624</v>
      </c>
      <c r="C3775" s="117">
        <v>838.21</v>
      </c>
    </row>
    <row r="3776" spans="1:3" x14ac:dyDescent="0.25">
      <c r="A3776" s="115">
        <v>3072040</v>
      </c>
      <c r="B3776" s="115" t="s">
        <v>3625</v>
      </c>
      <c r="C3776" s="117">
        <v>838.21</v>
      </c>
    </row>
    <row r="3777" spans="1:3" x14ac:dyDescent="0.25">
      <c r="A3777" s="115">
        <v>3072129</v>
      </c>
      <c r="B3777" s="115" t="s">
        <v>3626</v>
      </c>
      <c r="C3777" s="117">
        <v>920.98</v>
      </c>
    </row>
    <row r="3778" spans="1:3" x14ac:dyDescent="0.25">
      <c r="A3778" s="115">
        <v>3072029</v>
      </c>
      <c r="B3778" s="115" t="s">
        <v>3627</v>
      </c>
      <c r="C3778" s="117">
        <v>838.21</v>
      </c>
    </row>
    <row r="3779" spans="1:3" x14ac:dyDescent="0.25">
      <c r="A3779" s="115">
        <v>3072008</v>
      </c>
      <c r="B3779" s="115" t="s">
        <v>3628</v>
      </c>
      <c r="C3779" s="117">
        <v>838.21</v>
      </c>
    </row>
    <row r="3780" spans="1:3" x14ac:dyDescent="0.25">
      <c r="A3780" s="115">
        <v>3072089</v>
      </c>
      <c r="B3780" s="115" t="s">
        <v>3629</v>
      </c>
      <c r="C3780" s="117">
        <v>838.21</v>
      </c>
    </row>
    <row r="3781" spans="1:3" x14ac:dyDescent="0.25">
      <c r="A3781" s="115">
        <v>3072099</v>
      </c>
      <c r="B3781" s="115" t="s">
        <v>3630</v>
      </c>
      <c r="C3781" s="117">
        <v>838.21</v>
      </c>
    </row>
    <row r="3782" spans="1:3" x14ac:dyDescent="0.25">
      <c r="A3782" s="115">
        <v>3072078</v>
      </c>
      <c r="B3782" s="115" t="s">
        <v>3631</v>
      </c>
      <c r="C3782" s="117">
        <v>838.21</v>
      </c>
    </row>
    <row r="3783" spans="1:3" x14ac:dyDescent="0.25">
      <c r="A3783" s="115">
        <v>3072108</v>
      </c>
      <c r="B3783" s="115" t="s">
        <v>3632</v>
      </c>
      <c r="C3783" s="117">
        <v>920.98</v>
      </c>
    </row>
    <row r="3784" spans="1:3" x14ac:dyDescent="0.25">
      <c r="A3784" s="115">
        <v>3072106</v>
      </c>
      <c r="B3784" s="115" t="s">
        <v>3633</v>
      </c>
      <c r="C3784" s="117">
        <v>920.98</v>
      </c>
    </row>
    <row r="3785" spans="1:3" x14ac:dyDescent="0.25">
      <c r="A3785" s="115">
        <v>3072105</v>
      </c>
      <c r="B3785" s="115" t="s">
        <v>3634</v>
      </c>
      <c r="C3785" s="117">
        <v>920.98</v>
      </c>
    </row>
    <row r="3786" spans="1:3" x14ac:dyDescent="0.25">
      <c r="A3786" s="115">
        <v>3072109</v>
      </c>
      <c r="B3786" s="115" t="s">
        <v>3635</v>
      </c>
      <c r="C3786" s="117">
        <v>920.98</v>
      </c>
    </row>
    <row r="3787" spans="1:3" x14ac:dyDescent="0.25">
      <c r="A3787" s="115">
        <v>3072103</v>
      </c>
      <c r="B3787" s="115" t="s">
        <v>3636</v>
      </c>
      <c r="C3787" s="117">
        <v>920.98</v>
      </c>
    </row>
    <row r="3788" spans="1:3" x14ac:dyDescent="0.25">
      <c r="A3788" s="115">
        <v>3072101</v>
      </c>
      <c r="B3788" s="115" t="s">
        <v>3637</v>
      </c>
      <c r="C3788" s="117">
        <v>920.98</v>
      </c>
    </row>
    <row r="3789" spans="1:3" x14ac:dyDescent="0.25">
      <c r="A3789" s="115">
        <v>3072059</v>
      </c>
      <c r="B3789" s="115" t="s">
        <v>3638</v>
      </c>
      <c r="C3789" s="117">
        <v>838.21</v>
      </c>
    </row>
    <row r="3790" spans="1:3" x14ac:dyDescent="0.25">
      <c r="A3790" s="115">
        <v>3072024</v>
      </c>
      <c r="B3790" s="115" t="s">
        <v>3639</v>
      </c>
      <c r="C3790" s="117">
        <v>838.21</v>
      </c>
    </row>
    <row r="3791" spans="1:3" x14ac:dyDescent="0.25">
      <c r="A3791" s="115">
        <v>3072176</v>
      </c>
      <c r="B3791" s="115" t="s">
        <v>3640</v>
      </c>
      <c r="C3791" s="117">
        <v>945.55</v>
      </c>
    </row>
    <row r="3792" spans="1:3" x14ac:dyDescent="0.25">
      <c r="A3792" s="115">
        <v>3072023</v>
      </c>
      <c r="B3792" s="115" t="s">
        <v>3641</v>
      </c>
      <c r="C3792" s="117">
        <v>838.21</v>
      </c>
    </row>
    <row r="3793" spans="1:3" x14ac:dyDescent="0.25">
      <c r="A3793" s="115">
        <v>3072025</v>
      </c>
      <c r="B3793" s="115" t="s">
        <v>3642</v>
      </c>
      <c r="C3793" s="117">
        <v>838.21</v>
      </c>
    </row>
    <row r="3794" spans="1:3" x14ac:dyDescent="0.25">
      <c r="A3794" s="115">
        <v>3072037</v>
      </c>
      <c r="B3794" s="115" t="s">
        <v>3643</v>
      </c>
      <c r="C3794" s="117">
        <v>838.21</v>
      </c>
    </row>
    <row r="3795" spans="1:3" x14ac:dyDescent="0.25">
      <c r="A3795" s="115">
        <v>3072039</v>
      </c>
      <c r="B3795" s="115" t="s">
        <v>3644</v>
      </c>
      <c r="C3795" s="117">
        <v>586.75</v>
      </c>
    </row>
    <row r="3796" spans="1:3" x14ac:dyDescent="0.25">
      <c r="A3796" s="115">
        <v>3072004</v>
      </c>
      <c r="B3796" s="115" t="s">
        <v>3645</v>
      </c>
      <c r="C3796" s="117">
        <v>838.21</v>
      </c>
    </row>
    <row r="3797" spans="1:3" x14ac:dyDescent="0.25">
      <c r="A3797" s="115">
        <v>3072084</v>
      </c>
      <c r="B3797" s="115" t="s">
        <v>3646</v>
      </c>
      <c r="C3797" s="117">
        <v>838.21</v>
      </c>
    </row>
    <row r="3798" spans="1:3" x14ac:dyDescent="0.25">
      <c r="A3798" s="115">
        <v>3072085</v>
      </c>
      <c r="B3798" s="115" t="s">
        <v>3647</v>
      </c>
      <c r="C3798" s="117">
        <v>838.21</v>
      </c>
    </row>
    <row r="3799" spans="1:3" x14ac:dyDescent="0.25">
      <c r="A3799" s="115">
        <v>3072086</v>
      </c>
      <c r="B3799" s="115" t="s">
        <v>3648</v>
      </c>
      <c r="C3799" s="117">
        <v>838.21</v>
      </c>
    </row>
    <row r="3800" spans="1:3" x14ac:dyDescent="0.25">
      <c r="A3800" s="115">
        <v>3072087</v>
      </c>
      <c r="B3800" s="115" t="s">
        <v>3649</v>
      </c>
      <c r="C3800" s="117">
        <v>838.21</v>
      </c>
    </row>
    <row r="3801" spans="1:3" x14ac:dyDescent="0.25">
      <c r="A3801" s="115">
        <v>3072080</v>
      </c>
      <c r="B3801" s="115" t="s">
        <v>3650</v>
      </c>
      <c r="C3801" s="117">
        <v>838.21</v>
      </c>
    </row>
    <row r="3802" spans="1:3" x14ac:dyDescent="0.25">
      <c r="A3802" s="115">
        <v>3072114</v>
      </c>
      <c r="B3802" s="115" t="s">
        <v>3651</v>
      </c>
      <c r="C3802" s="117">
        <v>920.98</v>
      </c>
    </row>
    <row r="3803" spans="1:3" x14ac:dyDescent="0.25">
      <c r="A3803" s="115">
        <v>3072055</v>
      </c>
      <c r="B3803" s="115" t="s">
        <v>3652</v>
      </c>
      <c r="C3803" s="117">
        <v>838.21</v>
      </c>
    </row>
    <row r="3804" spans="1:3" x14ac:dyDescent="0.25">
      <c r="A3804" s="115">
        <v>3072061</v>
      </c>
      <c r="B3804" s="115" t="s">
        <v>3653</v>
      </c>
      <c r="C3804" s="117">
        <v>838.21</v>
      </c>
    </row>
    <row r="3805" spans="1:3" x14ac:dyDescent="0.25">
      <c r="A3805" s="115">
        <v>3072062</v>
      </c>
      <c r="B3805" s="115" t="s">
        <v>3654</v>
      </c>
      <c r="C3805" s="117">
        <v>838.21</v>
      </c>
    </row>
    <row r="3806" spans="1:3" x14ac:dyDescent="0.25">
      <c r="A3806" s="115">
        <v>3072066</v>
      </c>
      <c r="B3806" s="115" t="s">
        <v>3655</v>
      </c>
      <c r="C3806" s="117">
        <v>815.03</v>
      </c>
    </row>
    <row r="3807" spans="1:3" x14ac:dyDescent="0.25">
      <c r="A3807" s="115">
        <v>3072184</v>
      </c>
      <c r="B3807" s="115" t="s">
        <v>3656</v>
      </c>
      <c r="C3807" s="117">
        <v>945.55</v>
      </c>
    </row>
    <row r="3808" spans="1:3" x14ac:dyDescent="0.25">
      <c r="A3808" s="115">
        <v>3072067</v>
      </c>
      <c r="B3808" s="115" t="s">
        <v>3657</v>
      </c>
      <c r="C3808" s="117">
        <v>838.21</v>
      </c>
    </row>
    <row r="3809" spans="1:3" x14ac:dyDescent="0.25">
      <c r="A3809" s="115">
        <v>3072063</v>
      </c>
      <c r="B3809" s="115" t="s">
        <v>3658</v>
      </c>
      <c r="C3809" s="117">
        <v>838.21</v>
      </c>
    </row>
    <row r="3810" spans="1:3" x14ac:dyDescent="0.25">
      <c r="A3810" s="115">
        <v>3072070</v>
      </c>
      <c r="B3810" s="115" t="s">
        <v>3659</v>
      </c>
      <c r="C3810" s="117">
        <v>838.21</v>
      </c>
    </row>
    <row r="3811" spans="1:3" x14ac:dyDescent="0.25">
      <c r="A3811" s="115">
        <v>3072065</v>
      </c>
      <c r="B3811" s="115" t="s">
        <v>3660</v>
      </c>
      <c r="C3811" s="117">
        <v>838.21</v>
      </c>
    </row>
    <row r="3812" spans="1:3" x14ac:dyDescent="0.25">
      <c r="A3812" s="115">
        <v>3072069</v>
      </c>
      <c r="B3812" s="115" t="s">
        <v>3661</v>
      </c>
      <c r="C3812" s="117">
        <v>838.21</v>
      </c>
    </row>
    <row r="3813" spans="1:3" x14ac:dyDescent="0.25">
      <c r="A3813" s="115">
        <v>3072183</v>
      </c>
      <c r="B3813" s="115" t="s">
        <v>3662</v>
      </c>
      <c r="C3813" s="117">
        <v>920.98</v>
      </c>
    </row>
    <row r="3814" spans="1:3" x14ac:dyDescent="0.25">
      <c r="A3814" s="115">
        <v>3072068</v>
      </c>
      <c r="B3814" s="115" t="s">
        <v>3663</v>
      </c>
      <c r="C3814" s="117">
        <v>838.21</v>
      </c>
    </row>
    <row r="3815" spans="1:3" x14ac:dyDescent="0.25">
      <c r="A3815" s="115">
        <v>3072160</v>
      </c>
      <c r="B3815" s="115" t="s">
        <v>3664</v>
      </c>
      <c r="C3815" s="117">
        <v>920.98</v>
      </c>
    </row>
    <row r="3816" spans="1:3" x14ac:dyDescent="0.25">
      <c r="A3816" s="115">
        <v>3072060</v>
      </c>
      <c r="B3816" s="115" t="s">
        <v>3665</v>
      </c>
      <c r="C3816" s="117">
        <v>838.21</v>
      </c>
    </row>
    <row r="3817" spans="1:3" x14ac:dyDescent="0.25">
      <c r="A3817" s="115">
        <v>3075800</v>
      </c>
      <c r="B3817" s="115" t="s">
        <v>3666</v>
      </c>
      <c r="C3817" s="117">
        <v>1445.53</v>
      </c>
    </row>
    <row r="3818" spans="1:3" x14ac:dyDescent="0.25">
      <c r="A3818" s="115">
        <v>3276002</v>
      </c>
      <c r="B3818" s="115" t="s">
        <v>3667</v>
      </c>
      <c r="C3818" s="117">
        <v>838.79</v>
      </c>
    </row>
    <row r="3819" spans="1:3" x14ac:dyDescent="0.25">
      <c r="A3819" s="115">
        <v>3276000</v>
      </c>
      <c r="B3819" s="115" t="s">
        <v>3668</v>
      </c>
      <c r="C3819" s="117">
        <v>838.79</v>
      </c>
    </row>
    <row r="3820" spans="1:3" x14ac:dyDescent="0.25">
      <c r="A3820" s="115">
        <v>3276001</v>
      </c>
      <c r="B3820" s="115" t="s">
        <v>3669</v>
      </c>
      <c r="C3820" s="117">
        <v>838.79</v>
      </c>
    </row>
    <row r="3821" spans="1:3" x14ac:dyDescent="0.25">
      <c r="A3821" s="115">
        <v>3272002</v>
      </c>
      <c r="B3821" s="115" t="s">
        <v>3670</v>
      </c>
      <c r="C3821" s="117">
        <v>502.8</v>
      </c>
    </row>
    <row r="3822" spans="1:3" x14ac:dyDescent="0.25">
      <c r="A3822" s="115">
        <v>3276003</v>
      </c>
      <c r="B3822" s="115" t="s">
        <v>3671</v>
      </c>
      <c r="C3822" s="117">
        <v>502.8</v>
      </c>
    </row>
    <row r="3823" spans="1:3" x14ac:dyDescent="0.25">
      <c r="A3823" s="115">
        <v>3272001</v>
      </c>
      <c r="B3823" s="115" t="s">
        <v>3672</v>
      </c>
      <c r="C3823" s="117">
        <v>469.2</v>
      </c>
    </row>
    <row r="3824" spans="1:3" x14ac:dyDescent="0.25">
      <c r="A3824" s="115">
        <v>3070505</v>
      </c>
      <c r="B3824" s="115" t="s">
        <v>3673</v>
      </c>
      <c r="C3824" s="117">
        <v>21771.4</v>
      </c>
    </row>
    <row r="3825" spans="1:3" x14ac:dyDescent="0.25">
      <c r="A3825" s="115">
        <v>3070508</v>
      </c>
      <c r="B3825" s="115" t="s">
        <v>3674</v>
      </c>
      <c r="C3825" s="117">
        <v>18585.32</v>
      </c>
    </row>
    <row r="3826" spans="1:3" x14ac:dyDescent="0.25">
      <c r="A3826" s="115">
        <v>3070507</v>
      </c>
      <c r="B3826" s="115" t="s">
        <v>3675</v>
      </c>
      <c r="C3826" s="117">
        <v>13976.17</v>
      </c>
    </row>
    <row r="3827" spans="1:3" x14ac:dyDescent="0.25">
      <c r="A3827" s="115">
        <v>3070504</v>
      </c>
      <c r="B3827" s="115" t="s">
        <v>3676</v>
      </c>
      <c r="C3827" s="117">
        <v>15239.98</v>
      </c>
    </row>
    <row r="3828" spans="1:3" x14ac:dyDescent="0.25">
      <c r="A3828" s="115">
        <v>3070198</v>
      </c>
      <c r="B3828" s="115" t="s">
        <v>3677</v>
      </c>
      <c r="C3828" s="117">
        <v>22125.38</v>
      </c>
    </row>
    <row r="3829" spans="1:3" x14ac:dyDescent="0.25">
      <c r="A3829" s="115">
        <v>3277020</v>
      </c>
      <c r="B3829" s="115" t="s">
        <v>3678</v>
      </c>
      <c r="C3829" s="117">
        <v>253.2</v>
      </c>
    </row>
    <row r="3830" spans="1:3" x14ac:dyDescent="0.25">
      <c r="A3830" s="115">
        <v>3277030</v>
      </c>
      <c r="B3830" s="115" t="s">
        <v>3679</v>
      </c>
      <c r="C3830" s="117">
        <v>326.39999999999998</v>
      </c>
    </row>
    <row r="3831" spans="1:3" x14ac:dyDescent="0.25">
      <c r="A3831" s="115">
        <v>3277040</v>
      </c>
      <c r="B3831" s="115" t="s">
        <v>3680</v>
      </c>
      <c r="C3831" s="117">
        <v>480</v>
      </c>
    </row>
    <row r="3832" spans="1:3" x14ac:dyDescent="0.25">
      <c r="A3832" s="115">
        <v>3071421</v>
      </c>
      <c r="B3832" s="115" t="s">
        <v>3681</v>
      </c>
      <c r="C3832" s="117">
        <v>882.82</v>
      </c>
    </row>
    <row r="3833" spans="1:3" x14ac:dyDescent="0.25">
      <c r="A3833" s="144" t="s">
        <v>3682</v>
      </c>
      <c r="B3833" s="145"/>
      <c r="C3833" s="145"/>
    </row>
    <row r="3834" spans="1:3" x14ac:dyDescent="0.25">
      <c r="A3834" s="115">
        <v>3309903</v>
      </c>
      <c r="B3834" s="115" t="s">
        <v>3683</v>
      </c>
      <c r="C3834" s="117">
        <v>1602.94</v>
      </c>
    </row>
    <row r="3835" spans="1:3" x14ac:dyDescent="0.25">
      <c r="A3835" s="115">
        <v>3209912</v>
      </c>
      <c r="B3835" s="115" t="s">
        <v>3684</v>
      </c>
      <c r="C3835" s="117">
        <v>1143.6600000000001</v>
      </c>
    </row>
    <row r="3836" spans="1:3" x14ac:dyDescent="0.25">
      <c r="A3836" s="115">
        <v>3209905</v>
      </c>
      <c r="B3836" s="115" t="s">
        <v>3685</v>
      </c>
      <c r="C3836" s="117">
        <v>2468.5300000000002</v>
      </c>
    </row>
    <row r="3837" spans="1:3" x14ac:dyDescent="0.25">
      <c r="A3837" s="115">
        <v>3209904</v>
      </c>
      <c r="B3837" s="115" t="s">
        <v>3686</v>
      </c>
      <c r="C3837" s="117">
        <v>1359.32</v>
      </c>
    </row>
    <row r="3838" spans="1:3" x14ac:dyDescent="0.25">
      <c r="A3838" s="115">
        <v>3208193</v>
      </c>
      <c r="B3838" s="115" t="s">
        <v>3687</v>
      </c>
      <c r="C3838" s="117">
        <v>409.87</v>
      </c>
    </row>
    <row r="3839" spans="1:3" x14ac:dyDescent="0.25">
      <c r="A3839" s="115">
        <v>3202255</v>
      </c>
      <c r="B3839" s="115" t="s">
        <v>3688</v>
      </c>
      <c r="C3839" s="117">
        <v>7091.88</v>
      </c>
    </row>
    <row r="3840" spans="1:3" x14ac:dyDescent="0.25">
      <c r="A3840" s="115">
        <v>3202256</v>
      </c>
      <c r="B3840" s="115" t="s">
        <v>3689</v>
      </c>
      <c r="C3840" s="117">
        <v>16616.25</v>
      </c>
    </row>
    <row r="3841" spans="1:3" x14ac:dyDescent="0.25">
      <c r="A3841" s="115">
        <v>3203203</v>
      </c>
      <c r="B3841" s="115" t="s">
        <v>3690</v>
      </c>
      <c r="C3841" s="117">
        <v>7091.88</v>
      </c>
    </row>
    <row r="3842" spans="1:3" x14ac:dyDescent="0.25">
      <c r="A3842" s="115">
        <v>3201009</v>
      </c>
      <c r="B3842" s="115" t="s">
        <v>3691</v>
      </c>
      <c r="C3842" s="117">
        <v>5497.07</v>
      </c>
    </row>
    <row r="3843" spans="1:3" x14ac:dyDescent="0.25">
      <c r="A3843" s="115">
        <v>3201436</v>
      </c>
      <c r="B3843" s="115" t="s">
        <v>3692</v>
      </c>
      <c r="C3843" s="117">
        <v>2521.56</v>
      </c>
    </row>
    <row r="3844" spans="1:3" x14ac:dyDescent="0.25">
      <c r="A3844" s="115">
        <v>3201476</v>
      </c>
      <c r="B3844" s="115" t="s">
        <v>3693</v>
      </c>
      <c r="C3844" s="117">
        <v>17472.75</v>
      </c>
    </row>
    <row r="3845" spans="1:3" x14ac:dyDescent="0.25">
      <c r="A3845" s="115">
        <v>3201735</v>
      </c>
      <c r="B3845" s="115" t="s">
        <v>3694</v>
      </c>
      <c r="C3845" s="117">
        <v>3467.14</v>
      </c>
    </row>
    <row r="3846" spans="1:3" x14ac:dyDescent="0.25">
      <c r="A3846" s="115">
        <v>3201739</v>
      </c>
      <c r="B3846" s="115" t="s">
        <v>3695</v>
      </c>
      <c r="C3846" s="117">
        <v>11511.46</v>
      </c>
    </row>
    <row r="3847" spans="1:3" x14ac:dyDescent="0.25">
      <c r="A3847" s="115">
        <v>3200121</v>
      </c>
      <c r="B3847" s="115" t="s">
        <v>3696</v>
      </c>
      <c r="C3847" s="117">
        <v>3700.11</v>
      </c>
    </row>
    <row r="3848" spans="1:3" x14ac:dyDescent="0.25">
      <c r="A3848" s="115">
        <v>3202254</v>
      </c>
      <c r="B3848" s="115" t="s">
        <v>3697</v>
      </c>
      <c r="C3848" s="117">
        <v>5139.05</v>
      </c>
    </row>
    <row r="3849" spans="1:3" x14ac:dyDescent="0.25">
      <c r="A3849" s="115">
        <v>3200232</v>
      </c>
      <c r="B3849" s="115" t="s">
        <v>3698</v>
      </c>
      <c r="C3849" s="117">
        <v>5139.05</v>
      </c>
    </row>
    <row r="3850" spans="1:3" x14ac:dyDescent="0.25">
      <c r="A3850" s="115">
        <v>3202203</v>
      </c>
      <c r="B3850" s="115" t="s">
        <v>3699</v>
      </c>
      <c r="C3850" s="117">
        <v>13018.92</v>
      </c>
    </row>
    <row r="3851" spans="1:3" x14ac:dyDescent="0.25">
      <c r="A3851" s="115">
        <v>3208906</v>
      </c>
      <c r="B3851" s="115" t="s">
        <v>3700</v>
      </c>
      <c r="C3851" s="117">
        <v>4727.92</v>
      </c>
    </row>
    <row r="3852" spans="1:3" x14ac:dyDescent="0.25">
      <c r="A3852" s="115">
        <v>3208901</v>
      </c>
      <c r="B3852" s="115" t="s">
        <v>3701</v>
      </c>
      <c r="C3852" s="117">
        <v>11305.9</v>
      </c>
    </row>
    <row r="3853" spans="1:3" x14ac:dyDescent="0.25">
      <c r="A3853" s="115">
        <v>3201737</v>
      </c>
      <c r="B3853" s="115" t="s">
        <v>3702</v>
      </c>
      <c r="C3853" s="117">
        <v>3597.33</v>
      </c>
    </row>
    <row r="3854" spans="1:3" x14ac:dyDescent="0.25">
      <c r="A3854" s="115">
        <v>3201738</v>
      </c>
      <c r="B3854" s="115" t="s">
        <v>3703</v>
      </c>
      <c r="C3854" s="117">
        <v>3597.33</v>
      </c>
    </row>
    <row r="3855" spans="1:3" x14ac:dyDescent="0.25">
      <c r="A3855" s="115">
        <v>3208902</v>
      </c>
      <c r="B3855" s="115" t="s">
        <v>3704</v>
      </c>
      <c r="C3855" s="117">
        <v>11305.9</v>
      </c>
    </row>
    <row r="3856" spans="1:3" x14ac:dyDescent="0.25">
      <c r="A3856" s="115">
        <v>3208903</v>
      </c>
      <c r="B3856" s="115" t="s">
        <v>3705</v>
      </c>
      <c r="C3856" s="117">
        <v>11305.9</v>
      </c>
    </row>
    <row r="3857" spans="1:3" x14ac:dyDescent="0.25">
      <c r="A3857" s="115">
        <v>3208904</v>
      </c>
      <c r="B3857" s="115" t="s">
        <v>3706</v>
      </c>
      <c r="C3857" s="117">
        <v>4727.92</v>
      </c>
    </row>
    <row r="3858" spans="1:3" x14ac:dyDescent="0.25">
      <c r="A3858" s="115">
        <v>3208905</v>
      </c>
      <c r="B3858" s="115" t="s">
        <v>3707</v>
      </c>
      <c r="C3858" s="117">
        <v>4727.92</v>
      </c>
    </row>
    <row r="3859" spans="1:3" x14ac:dyDescent="0.25">
      <c r="A3859" s="115">
        <v>3208907</v>
      </c>
      <c r="B3859" s="115" t="s">
        <v>3708</v>
      </c>
      <c r="C3859" s="117">
        <v>8222.4699999999993</v>
      </c>
    </row>
    <row r="3860" spans="1:3" x14ac:dyDescent="0.25">
      <c r="A3860" s="115">
        <v>3204351</v>
      </c>
      <c r="B3860" s="115" t="s">
        <v>11572</v>
      </c>
      <c r="C3860" s="117">
        <v>6147.16</v>
      </c>
    </row>
    <row r="3861" spans="1:3" x14ac:dyDescent="0.25">
      <c r="A3861" s="115">
        <v>3204717</v>
      </c>
      <c r="B3861" s="115" t="s">
        <v>3709</v>
      </c>
      <c r="C3861" s="117">
        <v>2800.12</v>
      </c>
    </row>
    <row r="3862" spans="1:3" x14ac:dyDescent="0.25">
      <c r="A3862" s="115">
        <v>3204384</v>
      </c>
      <c r="B3862" s="115" t="s">
        <v>11573</v>
      </c>
      <c r="C3862" s="117">
        <v>8519.51</v>
      </c>
    </row>
    <row r="3863" spans="1:3" x14ac:dyDescent="0.25">
      <c r="A3863" s="115">
        <v>3203919</v>
      </c>
      <c r="B3863" s="115" t="s">
        <v>3710</v>
      </c>
      <c r="C3863" s="117">
        <v>251.01</v>
      </c>
    </row>
    <row r="3864" spans="1:3" x14ac:dyDescent="0.25">
      <c r="A3864" s="115">
        <v>3204321</v>
      </c>
      <c r="B3864" s="115" t="s">
        <v>11574</v>
      </c>
      <c r="C3864" s="117">
        <v>8519.51</v>
      </c>
    </row>
    <row r="3865" spans="1:3" x14ac:dyDescent="0.25">
      <c r="A3865" s="115">
        <v>3204322</v>
      </c>
      <c r="B3865" s="115" t="s">
        <v>11575</v>
      </c>
      <c r="C3865" s="117">
        <v>8519.51</v>
      </c>
    </row>
    <row r="3866" spans="1:3" x14ac:dyDescent="0.25">
      <c r="A3866" s="115">
        <v>3204326</v>
      </c>
      <c r="B3866" s="115" t="s">
        <v>11576</v>
      </c>
      <c r="C3866" s="117">
        <v>8519.51</v>
      </c>
    </row>
    <row r="3867" spans="1:3" x14ac:dyDescent="0.25">
      <c r="A3867" s="115">
        <v>3204323</v>
      </c>
      <c r="B3867" s="115" t="s">
        <v>11577</v>
      </c>
      <c r="C3867" s="117">
        <v>8519.51</v>
      </c>
    </row>
    <row r="3868" spans="1:3" x14ac:dyDescent="0.25">
      <c r="A3868" s="115">
        <v>3204324</v>
      </c>
      <c r="B3868" s="115" t="s">
        <v>11578</v>
      </c>
      <c r="C3868" s="117">
        <v>8519.51</v>
      </c>
    </row>
    <row r="3869" spans="1:3" x14ac:dyDescent="0.25">
      <c r="A3869" s="115">
        <v>3204325</v>
      </c>
      <c r="B3869" s="115" t="s">
        <v>11579</v>
      </c>
      <c r="C3869" s="117">
        <v>8519.51</v>
      </c>
    </row>
    <row r="3870" spans="1:3" x14ac:dyDescent="0.25">
      <c r="A3870" s="115">
        <v>3203997</v>
      </c>
      <c r="B3870" s="115" t="s">
        <v>3711</v>
      </c>
      <c r="C3870" s="117">
        <v>1501.34</v>
      </c>
    </row>
    <row r="3871" spans="1:3" x14ac:dyDescent="0.25">
      <c r="A3871" s="115">
        <v>3204353</v>
      </c>
      <c r="B3871" s="115" t="s">
        <v>11580</v>
      </c>
      <c r="C3871" s="117">
        <v>6147.16</v>
      </c>
    </row>
    <row r="3872" spans="1:3" x14ac:dyDescent="0.25">
      <c r="A3872" s="115">
        <v>3204356</v>
      </c>
      <c r="B3872" s="115" t="s">
        <v>11581</v>
      </c>
      <c r="C3872" s="117">
        <v>6147.16</v>
      </c>
    </row>
    <row r="3873" spans="1:3" x14ac:dyDescent="0.25">
      <c r="A3873" s="115">
        <v>3204735</v>
      </c>
      <c r="B3873" s="115" t="s">
        <v>3712</v>
      </c>
      <c r="C3873" s="117">
        <v>1489.43</v>
      </c>
    </row>
    <row r="3874" spans="1:3" x14ac:dyDescent="0.25">
      <c r="A3874" s="115">
        <v>3204341</v>
      </c>
      <c r="B3874" s="115" t="s">
        <v>3713</v>
      </c>
      <c r="C3874" s="117">
        <v>2371.17</v>
      </c>
    </row>
    <row r="3875" spans="1:3" x14ac:dyDescent="0.25">
      <c r="A3875" s="115">
        <v>3204342</v>
      </c>
      <c r="B3875" s="115" t="s">
        <v>3714</v>
      </c>
      <c r="C3875" s="117">
        <v>571.94000000000005</v>
      </c>
    </row>
    <row r="3876" spans="1:3" x14ac:dyDescent="0.25">
      <c r="A3876" s="115">
        <v>3204386</v>
      </c>
      <c r="B3876" s="115" t="s">
        <v>11582</v>
      </c>
      <c r="C3876" s="117">
        <v>8519.51</v>
      </c>
    </row>
    <row r="3877" spans="1:3" x14ac:dyDescent="0.25">
      <c r="A3877" s="115">
        <v>3202504</v>
      </c>
      <c r="B3877" s="115" t="s">
        <v>3715</v>
      </c>
      <c r="C3877" s="117">
        <v>583.85</v>
      </c>
    </row>
    <row r="3878" spans="1:3" x14ac:dyDescent="0.25">
      <c r="A3878" s="115">
        <v>3202498</v>
      </c>
      <c r="B3878" s="115" t="s">
        <v>3716</v>
      </c>
      <c r="C3878" s="117">
        <v>583.85</v>
      </c>
    </row>
    <row r="3879" spans="1:3" x14ac:dyDescent="0.25">
      <c r="A3879" s="115">
        <v>3204746</v>
      </c>
      <c r="B3879" s="115" t="s">
        <v>3717</v>
      </c>
      <c r="C3879" s="117">
        <v>1656.24</v>
      </c>
    </row>
    <row r="3880" spans="1:3" x14ac:dyDescent="0.25">
      <c r="A3880" s="115">
        <v>3203993</v>
      </c>
      <c r="B3880" s="115" t="s">
        <v>3718</v>
      </c>
      <c r="C3880" s="117">
        <v>1501.34</v>
      </c>
    </row>
    <row r="3881" spans="1:3" x14ac:dyDescent="0.25">
      <c r="A3881" s="115">
        <v>3204389</v>
      </c>
      <c r="B3881" s="115" t="s">
        <v>11583</v>
      </c>
      <c r="C3881" s="117">
        <v>8519.51</v>
      </c>
    </row>
    <row r="3882" spans="1:3" x14ac:dyDescent="0.25">
      <c r="A3882" s="115">
        <v>3204355</v>
      </c>
      <c r="B3882" s="115" t="s">
        <v>11584</v>
      </c>
      <c r="C3882" s="117">
        <v>6147.16</v>
      </c>
    </row>
    <row r="3883" spans="1:3" x14ac:dyDescent="0.25">
      <c r="A3883" s="115">
        <v>3209907</v>
      </c>
      <c r="B3883" s="115" t="s">
        <v>3719</v>
      </c>
      <c r="C3883" s="117">
        <v>1944.91</v>
      </c>
    </row>
    <row r="3884" spans="1:3" x14ac:dyDescent="0.25">
      <c r="A3884" s="115">
        <v>3209911</v>
      </c>
      <c r="B3884" s="115" t="s">
        <v>3720</v>
      </c>
      <c r="C3884" s="117">
        <v>3583.32</v>
      </c>
    </row>
    <row r="3885" spans="1:3" x14ac:dyDescent="0.25">
      <c r="A3885" s="115">
        <v>3209909</v>
      </c>
      <c r="B3885" s="115" t="s">
        <v>3721</v>
      </c>
      <c r="C3885" s="117">
        <v>1858.51</v>
      </c>
    </row>
    <row r="3886" spans="1:3" x14ac:dyDescent="0.25">
      <c r="A3886" s="115">
        <v>3209908</v>
      </c>
      <c r="B3886" s="115" t="s">
        <v>3722</v>
      </c>
      <c r="C3886" s="117">
        <v>2992.5</v>
      </c>
    </row>
    <row r="3887" spans="1:3" x14ac:dyDescent="0.25">
      <c r="A3887" s="115">
        <v>3209906</v>
      </c>
      <c r="B3887" s="115" t="s">
        <v>3723</v>
      </c>
      <c r="C3887" s="117">
        <v>1668.2</v>
      </c>
    </row>
    <row r="3888" spans="1:3" x14ac:dyDescent="0.25">
      <c r="A3888" s="115">
        <v>3209712</v>
      </c>
      <c r="B3888" s="115" t="s">
        <v>3724</v>
      </c>
      <c r="C3888" s="117">
        <v>4054.14</v>
      </c>
    </row>
    <row r="3889" spans="1:3" x14ac:dyDescent="0.25">
      <c r="A3889" s="115">
        <v>3209713</v>
      </c>
      <c r="B3889" s="115" t="s">
        <v>3725</v>
      </c>
      <c r="C3889" s="117">
        <v>5447.39</v>
      </c>
    </row>
    <row r="3890" spans="1:3" x14ac:dyDescent="0.25">
      <c r="A3890" s="115">
        <v>3209710</v>
      </c>
      <c r="B3890" s="115" t="s">
        <v>3726</v>
      </c>
      <c r="C3890" s="117">
        <v>5447.39</v>
      </c>
    </row>
    <row r="3891" spans="1:3" x14ac:dyDescent="0.25">
      <c r="A3891" s="115">
        <v>3209010</v>
      </c>
      <c r="B3891" s="115" t="s">
        <v>3727</v>
      </c>
      <c r="C3891" s="117">
        <v>177.18</v>
      </c>
    </row>
    <row r="3892" spans="1:3" x14ac:dyDescent="0.25">
      <c r="A3892" s="144" t="s">
        <v>3728</v>
      </c>
      <c r="B3892" s="145"/>
      <c r="C3892" s="145"/>
    </row>
    <row r="3893" spans="1:3" x14ac:dyDescent="0.25">
      <c r="A3893" s="115">
        <v>3967000</v>
      </c>
      <c r="B3893" s="115" t="s">
        <v>3729</v>
      </c>
      <c r="C3893" s="117">
        <v>694.61</v>
      </c>
    </row>
    <row r="3894" spans="1:3" x14ac:dyDescent="0.25">
      <c r="A3894" s="115">
        <v>3967100</v>
      </c>
      <c r="B3894" s="115" t="s">
        <v>3730</v>
      </c>
      <c r="C3894" s="117">
        <v>1019.18</v>
      </c>
    </row>
    <row r="3895" spans="1:3" x14ac:dyDescent="0.25">
      <c r="A3895" s="115">
        <v>3966901</v>
      </c>
      <c r="B3895" s="115" t="s">
        <v>3731</v>
      </c>
      <c r="C3895" s="117">
        <v>2274.94</v>
      </c>
    </row>
    <row r="3896" spans="1:3" x14ac:dyDescent="0.25">
      <c r="A3896" s="115">
        <v>3966900</v>
      </c>
      <c r="B3896" s="115" t="s">
        <v>3732</v>
      </c>
      <c r="C3896" s="117">
        <v>1697.96</v>
      </c>
    </row>
    <row r="3897" spans="1:3" x14ac:dyDescent="0.25">
      <c r="A3897" s="115">
        <v>3967200</v>
      </c>
      <c r="B3897" s="115" t="s">
        <v>3733</v>
      </c>
      <c r="C3897" s="117">
        <v>7121.17</v>
      </c>
    </row>
    <row r="3898" spans="1:3" x14ac:dyDescent="0.25">
      <c r="A3898" s="115">
        <v>3620503</v>
      </c>
      <c r="B3898" s="115" t="s">
        <v>3734</v>
      </c>
      <c r="C3898" s="117">
        <v>15885.92</v>
      </c>
    </row>
    <row r="3899" spans="1:3" x14ac:dyDescent="0.25">
      <c r="A3899" s="115">
        <v>3620504</v>
      </c>
      <c r="B3899" s="115" t="s">
        <v>3735</v>
      </c>
      <c r="C3899" s="117">
        <v>21216.22</v>
      </c>
    </row>
    <row r="3900" spans="1:3" x14ac:dyDescent="0.25">
      <c r="A3900" s="115">
        <v>3620506</v>
      </c>
      <c r="B3900" s="115" t="s">
        <v>3736</v>
      </c>
      <c r="C3900" s="117">
        <v>26602.1</v>
      </c>
    </row>
    <row r="3901" spans="1:3" x14ac:dyDescent="0.25">
      <c r="A3901" s="115">
        <v>3620502</v>
      </c>
      <c r="B3901" s="115" t="s">
        <v>3737</v>
      </c>
      <c r="C3901" s="117">
        <v>45873.24</v>
      </c>
    </row>
    <row r="3902" spans="1:3" x14ac:dyDescent="0.25">
      <c r="A3902" s="115">
        <v>3620501</v>
      </c>
      <c r="B3902" s="115" t="s">
        <v>3738</v>
      </c>
      <c r="C3902" s="117">
        <v>30973.75</v>
      </c>
    </row>
    <row r="3903" spans="1:3" x14ac:dyDescent="0.25">
      <c r="A3903" s="115">
        <v>3620505</v>
      </c>
      <c r="B3903" s="115" t="s">
        <v>3739</v>
      </c>
      <c r="C3903" s="117">
        <v>36591.769999999997</v>
      </c>
    </row>
    <row r="3904" spans="1:3" x14ac:dyDescent="0.25">
      <c r="A3904" s="115">
        <v>3620418</v>
      </c>
      <c r="B3904" s="115" t="s">
        <v>3740</v>
      </c>
      <c r="C3904" s="117">
        <v>63363.54</v>
      </c>
    </row>
    <row r="3905" spans="1:3" x14ac:dyDescent="0.25">
      <c r="A3905" s="115">
        <v>3626006</v>
      </c>
      <c r="B3905" s="115" t="s">
        <v>3741</v>
      </c>
      <c r="C3905" s="117">
        <v>4685.59</v>
      </c>
    </row>
    <row r="3906" spans="1:3" x14ac:dyDescent="0.25">
      <c r="A3906" s="115">
        <v>3626083</v>
      </c>
      <c r="B3906" s="115" t="s">
        <v>3742</v>
      </c>
      <c r="C3906" s="117">
        <v>7597.86</v>
      </c>
    </row>
    <row r="3907" spans="1:3" x14ac:dyDescent="0.25">
      <c r="A3907" s="115">
        <v>3622083</v>
      </c>
      <c r="B3907" s="115" t="s">
        <v>3743</v>
      </c>
      <c r="C3907" s="117">
        <v>12254.61</v>
      </c>
    </row>
    <row r="3908" spans="1:3" x14ac:dyDescent="0.25">
      <c r="A3908" s="115">
        <v>3620375</v>
      </c>
      <c r="B3908" s="115" t="s">
        <v>3744</v>
      </c>
      <c r="C3908" s="117">
        <v>19910.14</v>
      </c>
    </row>
    <row r="3909" spans="1:3" x14ac:dyDescent="0.25">
      <c r="A3909" s="115">
        <v>3620908</v>
      </c>
      <c r="B3909" s="115" t="s">
        <v>3745</v>
      </c>
      <c r="C3909" s="117">
        <v>17769.73</v>
      </c>
    </row>
    <row r="3910" spans="1:3" x14ac:dyDescent="0.25">
      <c r="A3910" s="115">
        <v>3775100</v>
      </c>
      <c r="B3910" s="115" t="s">
        <v>3746</v>
      </c>
      <c r="C3910" s="117">
        <v>9629.0300000000007</v>
      </c>
    </row>
    <row r="3911" spans="1:3" x14ac:dyDescent="0.25">
      <c r="A3911" s="115">
        <v>3771000</v>
      </c>
      <c r="B3911" s="115" t="s">
        <v>3747</v>
      </c>
      <c r="C3911" s="117">
        <v>585.21</v>
      </c>
    </row>
    <row r="3912" spans="1:3" x14ac:dyDescent="0.25">
      <c r="A3912" s="115">
        <v>3771100</v>
      </c>
      <c r="B3912" s="115" t="s">
        <v>3748</v>
      </c>
      <c r="C3912" s="117">
        <v>19.39</v>
      </c>
    </row>
    <row r="3913" spans="1:3" x14ac:dyDescent="0.25">
      <c r="A3913" s="115">
        <v>3771200</v>
      </c>
      <c r="B3913" s="115" t="s">
        <v>3749</v>
      </c>
      <c r="C3913" s="117">
        <v>966.43</v>
      </c>
    </row>
    <row r="3914" spans="1:3" x14ac:dyDescent="0.25">
      <c r="A3914" s="115">
        <v>3771300</v>
      </c>
      <c r="B3914" s="115" t="s">
        <v>3750</v>
      </c>
      <c r="C3914" s="117">
        <v>31.3</v>
      </c>
    </row>
    <row r="3915" spans="1:3" x14ac:dyDescent="0.25">
      <c r="A3915" s="115">
        <v>3771400</v>
      </c>
      <c r="B3915" s="115" t="s">
        <v>3751</v>
      </c>
      <c r="C3915" s="117">
        <v>6451.12</v>
      </c>
    </row>
    <row r="3916" spans="1:3" x14ac:dyDescent="0.25">
      <c r="A3916" s="115">
        <v>3071422</v>
      </c>
      <c r="B3916" s="115" t="s">
        <v>3752</v>
      </c>
      <c r="C3916" s="117">
        <v>670.14</v>
      </c>
    </row>
    <row r="3917" spans="1:3" x14ac:dyDescent="0.25">
      <c r="A3917" s="115">
        <v>3772110</v>
      </c>
      <c r="B3917" s="115" t="s">
        <v>3753</v>
      </c>
      <c r="C3917" s="117">
        <v>37.909999999999997</v>
      </c>
    </row>
    <row r="3918" spans="1:3" x14ac:dyDescent="0.25">
      <c r="A3918" s="115">
        <v>3772010</v>
      </c>
      <c r="B3918" s="115" t="s">
        <v>3754</v>
      </c>
      <c r="C3918" s="117">
        <v>89.07</v>
      </c>
    </row>
    <row r="3919" spans="1:3" x14ac:dyDescent="0.25">
      <c r="A3919" s="115">
        <v>3772101</v>
      </c>
      <c r="B3919" s="115" t="s">
        <v>3755</v>
      </c>
      <c r="C3919" s="117">
        <v>842.54</v>
      </c>
    </row>
    <row r="3920" spans="1:3" x14ac:dyDescent="0.25">
      <c r="A3920" s="115">
        <v>3772001</v>
      </c>
      <c r="B3920" s="115" t="s">
        <v>3756</v>
      </c>
      <c r="C3920" s="117">
        <v>1275.8499999999999</v>
      </c>
    </row>
    <row r="3921" spans="1:3" x14ac:dyDescent="0.25">
      <c r="A3921" s="115">
        <v>3772500</v>
      </c>
      <c r="B3921" s="115" t="s">
        <v>3757</v>
      </c>
      <c r="C3921" s="117">
        <v>175.75</v>
      </c>
    </row>
    <row r="3922" spans="1:3" x14ac:dyDescent="0.25">
      <c r="A3922" s="115">
        <v>3772501</v>
      </c>
      <c r="B3922" s="115" t="s">
        <v>3758</v>
      </c>
      <c r="C3922" s="117">
        <v>317.17</v>
      </c>
    </row>
    <row r="3923" spans="1:3" x14ac:dyDescent="0.25">
      <c r="A3923" s="115">
        <v>3771600</v>
      </c>
      <c r="B3923" s="115" t="s">
        <v>3759</v>
      </c>
      <c r="C3923" s="117">
        <v>4213.54</v>
      </c>
    </row>
    <row r="3924" spans="1:3" x14ac:dyDescent="0.25">
      <c r="A3924" s="115">
        <v>3771624</v>
      </c>
      <c r="B3924" s="115" t="s">
        <v>3760</v>
      </c>
      <c r="C3924" s="117">
        <v>7623.85</v>
      </c>
    </row>
    <row r="3925" spans="1:3" x14ac:dyDescent="0.25">
      <c r="A3925" s="144" t="s">
        <v>3761</v>
      </c>
      <c r="B3925" s="145"/>
      <c r="C3925" s="145"/>
    </row>
    <row r="3926" spans="1:3" x14ac:dyDescent="0.25">
      <c r="A3926" s="115">
        <v>3558503</v>
      </c>
      <c r="B3926" s="115" t="s">
        <v>3762</v>
      </c>
      <c r="C3926" s="117">
        <v>6312.97</v>
      </c>
    </row>
    <row r="3927" spans="1:3" x14ac:dyDescent="0.25">
      <c r="A3927" s="115">
        <v>3558502</v>
      </c>
      <c r="B3927" s="115" t="s">
        <v>3763</v>
      </c>
      <c r="C3927" s="117">
        <v>6312.97</v>
      </c>
    </row>
    <row r="3928" spans="1:3" x14ac:dyDescent="0.25">
      <c r="A3928" s="115">
        <v>3558501</v>
      </c>
      <c r="B3928" s="115" t="s">
        <v>3764</v>
      </c>
      <c r="C3928" s="117">
        <v>6312.97</v>
      </c>
    </row>
    <row r="3929" spans="1:3" x14ac:dyDescent="0.25">
      <c r="A3929" s="115">
        <v>3558504</v>
      </c>
      <c r="B3929" s="115" t="s">
        <v>3765</v>
      </c>
      <c r="C3929" s="117">
        <v>6312.97</v>
      </c>
    </row>
    <row r="3930" spans="1:3" x14ac:dyDescent="0.25">
      <c r="A3930" s="144" t="s">
        <v>3766</v>
      </c>
      <c r="B3930" s="145"/>
      <c r="C3930" s="145"/>
    </row>
    <row r="3931" spans="1:3" x14ac:dyDescent="0.25">
      <c r="A3931" s="115">
        <v>3260521</v>
      </c>
      <c r="B3931" s="115" t="s">
        <v>3767</v>
      </c>
      <c r="C3931" s="117">
        <v>18192.060000000001</v>
      </c>
    </row>
    <row r="3932" spans="1:3" x14ac:dyDescent="0.25">
      <c r="A3932" s="115">
        <v>3260522</v>
      </c>
      <c r="B3932" s="115" t="s">
        <v>3768</v>
      </c>
      <c r="C3932" s="117">
        <v>18192.060000000001</v>
      </c>
    </row>
    <row r="3933" spans="1:3" x14ac:dyDescent="0.25">
      <c r="A3933" s="115">
        <v>3260599</v>
      </c>
      <c r="B3933" s="115" t="s">
        <v>3769</v>
      </c>
      <c r="C3933" s="117">
        <v>6266.45</v>
      </c>
    </row>
    <row r="3934" spans="1:3" x14ac:dyDescent="0.25">
      <c r="A3934" s="115">
        <v>3260530</v>
      </c>
      <c r="B3934" s="115" t="s">
        <v>3770</v>
      </c>
      <c r="C3934" s="117">
        <v>3326.95</v>
      </c>
    </row>
    <row r="3935" spans="1:3" x14ac:dyDescent="0.25">
      <c r="A3935" s="115">
        <v>3260540</v>
      </c>
      <c r="B3935" s="115" t="s">
        <v>3771</v>
      </c>
      <c r="C3935" s="117">
        <v>3326.95</v>
      </c>
    </row>
    <row r="3936" spans="1:3" x14ac:dyDescent="0.25">
      <c r="A3936" s="115">
        <v>3260560</v>
      </c>
      <c r="B3936" s="115" t="s">
        <v>3772</v>
      </c>
      <c r="C3936" s="117">
        <v>3559.8</v>
      </c>
    </row>
    <row r="3937" spans="1:3" x14ac:dyDescent="0.25">
      <c r="A3937" s="115">
        <v>3260516</v>
      </c>
      <c r="B3937" s="115" t="s">
        <v>3773</v>
      </c>
      <c r="C3937" s="117">
        <v>4412.97</v>
      </c>
    </row>
    <row r="3938" spans="1:3" x14ac:dyDescent="0.25">
      <c r="A3938" s="115">
        <v>3260513</v>
      </c>
      <c r="B3938" s="115" t="s">
        <v>3774</v>
      </c>
      <c r="C3938" s="117">
        <v>3326.95</v>
      </c>
    </row>
    <row r="3939" spans="1:3" x14ac:dyDescent="0.25">
      <c r="A3939" s="115">
        <v>3260515</v>
      </c>
      <c r="B3939" s="115" t="s">
        <v>3775</v>
      </c>
      <c r="C3939" s="117">
        <v>3326.95</v>
      </c>
    </row>
    <row r="3940" spans="1:3" x14ac:dyDescent="0.25">
      <c r="A3940" s="115">
        <v>3260514</v>
      </c>
      <c r="B3940" s="115" t="s">
        <v>3776</v>
      </c>
      <c r="C3940" s="117">
        <v>3326.95</v>
      </c>
    </row>
    <row r="3941" spans="1:3" x14ac:dyDescent="0.25">
      <c r="A3941" s="115">
        <v>3260550</v>
      </c>
      <c r="B3941" s="115" t="s">
        <v>3777</v>
      </c>
      <c r="C3941" s="117">
        <v>3326.95</v>
      </c>
    </row>
    <row r="3942" spans="1:3" x14ac:dyDescent="0.25">
      <c r="A3942" s="115">
        <v>3260511</v>
      </c>
      <c r="B3942" s="115" t="s">
        <v>3778</v>
      </c>
      <c r="C3942" s="117">
        <v>6169.57</v>
      </c>
    </row>
    <row r="3943" spans="1:3" x14ac:dyDescent="0.25">
      <c r="A3943" s="115">
        <v>3260512</v>
      </c>
      <c r="B3943" s="115" t="s">
        <v>3779</v>
      </c>
      <c r="C3943" s="117">
        <v>6514.19</v>
      </c>
    </row>
    <row r="3944" spans="1:3" x14ac:dyDescent="0.25">
      <c r="A3944" s="115">
        <v>3260520</v>
      </c>
      <c r="B3944" s="115" t="s">
        <v>3780</v>
      </c>
      <c r="C3944" s="117">
        <v>8142.28</v>
      </c>
    </row>
    <row r="3945" spans="1:3" x14ac:dyDescent="0.25">
      <c r="A3945" s="115">
        <v>3260510</v>
      </c>
      <c r="B3945" s="115" t="s">
        <v>3781</v>
      </c>
      <c r="C3945" s="117">
        <v>9422.0300000000007</v>
      </c>
    </row>
    <row r="3946" spans="1:3" x14ac:dyDescent="0.25">
      <c r="A3946" s="144" t="s">
        <v>3782</v>
      </c>
      <c r="B3946" s="145"/>
      <c r="C3946" s="145"/>
    </row>
    <row r="3947" spans="1:3" x14ac:dyDescent="0.25">
      <c r="A3947" s="115">
        <v>3121029</v>
      </c>
      <c r="B3947" s="115" t="s">
        <v>3783</v>
      </c>
      <c r="C3947" s="117">
        <v>583.74</v>
      </c>
    </row>
    <row r="3948" spans="1:3" x14ac:dyDescent="0.25">
      <c r="A3948" s="115">
        <v>3121063</v>
      </c>
      <c r="B3948" s="115" t="s">
        <v>3784</v>
      </c>
      <c r="C3948" s="117">
        <v>583.74</v>
      </c>
    </row>
    <row r="3949" spans="1:3" x14ac:dyDescent="0.25">
      <c r="A3949" s="115">
        <v>3121076</v>
      </c>
      <c r="B3949" s="115" t="s">
        <v>3785</v>
      </c>
      <c r="C3949" s="117">
        <v>291.87</v>
      </c>
    </row>
    <row r="3950" spans="1:3" x14ac:dyDescent="0.25">
      <c r="A3950" s="115">
        <v>3121083</v>
      </c>
      <c r="B3950" s="115" t="s">
        <v>3786</v>
      </c>
      <c r="C3950" s="117">
        <v>291.87</v>
      </c>
    </row>
    <row r="3951" spans="1:3" x14ac:dyDescent="0.25">
      <c r="A3951" s="115">
        <v>3121663</v>
      </c>
      <c r="B3951" s="115" t="s">
        <v>3787</v>
      </c>
      <c r="C3951" s="117">
        <v>73.58</v>
      </c>
    </row>
    <row r="3952" spans="1:3" x14ac:dyDescent="0.25">
      <c r="A3952" s="115">
        <v>3128363</v>
      </c>
      <c r="B3952" s="115" t="s">
        <v>3788</v>
      </c>
      <c r="C3952" s="117">
        <v>980.99</v>
      </c>
    </row>
    <row r="3953" spans="1:3" x14ac:dyDescent="0.25">
      <c r="A3953" s="115">
        <v>3121929</v>
      </c>
      <c r="B3953" s="115" t="s">
        <v>3789</v>
      </c>
      <c r="C3953" s="117">
        <v>237.08</v>
      </c>
    </row>
    <row r="3954" spans="1:3" x14ac:dyDescent="0.25">
      <c r="A3954" s="115">
        <v>3121963</v>
      </c>
      <c r="B3954" s="115" t="s">
        <v>3790</v>
      </c>
      <c r="C3954" s="117">
        <v>237.08</v>
      </c>
    </row>
    <row r="3955" spans="1:3" x14ac:dyDescent="0.25">
      <c r="A3955" s="115">
        <v>3121537</v>
      </c>
      <c r="B3955" s="115" t="s">
        <v>3791</v>
      </c>
      <c r="C3955" s="117">
        <v>198.78</v>
      </c>
    </row>
    <row r="3956" spans="1:3" x14ac:dyDescent="0.25">
      <c r="A3956" s="115">
        <v>3121599</v>
      </c>
      <c r="B3956" s="115" t="s">
        <v>3792</v>
      </c>
      <c r="C3956" s="117">
        <v>583.74</v>
      </c>
    </row>
    <row r="3957" spans="1:3" x14ac:dyDescent="0.25">
      <c r="A3957" s="115">
        <v>3121566</v>
      </c>
      <c r="B3957" s="115" t="s">
        <v>3793</v>
      </c>
      <c r="C3957" s="117">
        <v>1823.66</v>
      </c>
    </row>
    <row r="3958" spans="1:3" x14ac:dyDescent="0.25">
      <c r="A3958" s="115">
        <v>3121572</v>
      </c>
      <c r="B3958" s="115" t="s">
        <v>3794</v>
      </c>
      <c r="C3958" s="117">
        <v>1458.93</v>
      </c>
    </row>
    <row r="3959" spans="1:3" x14ac:dyDescent="0.25">
      <c r="A3959" s="115">
        <v>3121568</v>
      </c>
      <c r="B3959" s="115" t="s">
        <v>3795</v>
      </c>
      <c r="C3959" s="117">
        <v>911.83</v>
      </c>
    </row>
    <row r="3960" spans="1:3" x14ac:dyDescent="0.25">
      <c r="A3960" s="115">
        <v>3121523</v>
      </c>
      <c r="B3960" s="115" t="s">
        <v>3796</v>
      </c>
      <c r="C3960" s="117">
        <v>698.37</v>
      </c>
    </row>
    <row r="3961" spans="1:3" x14ac:dyDescent="0.25">
      <c r="A3961" s="115">
        <v>3121536</v>
      </c>
      <c r="B3961" s="115" t="s">
        <v>3797</v>
      </c>
      <c r="C3961" s="117">
        <v>349.19</v>
      </c>
    </row>
    <row r="3962" spans="1:3" x14ac:dyDescent="0.25">
      <c r="A3962" s="115">
        <v>3121583</v>
      </c>
      <c r="B3962" s="115" t="s">
        <v>3798</v>
      </c>
      <c r="C3962" s="117">
        <v>349.19</v>
      </c>
    </row>
    <row r="3963" spans="1:3" x14ac:dyDescent="0.25">
      <c r="A3963" s="115">
        <v>3121577</v>
      </c>
      <c r="B3963" s="115" t="s">
        <v>3799</v>
      </c>
      <c r="C3963" s="117">
        <v>698.37</v>
      </c>
    </row>
    <row r="3964" spans="1:3" x14ac:dyDescent="0.25">
      <c r="A3964" s="115">
        <v>3121584</v>
      </c>
      <c r="B3964" s="115" t="s">
        <v>12344</v>
      </c>
      <c r="C3964" s="117">
        <v>349.19</v>
      </c>
    </row>
    <row r="3965" spans="1:3" x14ac:dyDescent="0.25">
      <c r="A3965" s="115">
        <v>3121229</v>
      </c>
      <c r="B3965" s="115" t="s">
        <v>3800</v>
      </c>
      <c r="C3965" s="117">
        <v>671.3</v>
      </c>
    </row>
    <row r="3966" spans="1:3" x14ac:dyDescent="0.25">
      <c r="A3966" s="115">
        <v>3121263</v>
      </c>
      <c r="B3966" s="115" t="s">
        <v>3801</v>
      </c>
      <c r="C3966" s="117">
        <v>335.65</v>
      </c>
    </row>
    <row r="3967" spans="1:3" x14ac:dyDescent="0.25">
      <c r="A3967" s="115">
        <v>3121276</v>
      </c>
      <c r="B3967" s="115" t="s">
        <v>3802</v>
      </c>
      <c r="C3967" s="117">
        <v>335.65</v>
      </c>
    </row>
    <row r="3968" spans="1:3" x14ac:dyDescent="0.25">
      <c r="A3968" s="115">
        <v>3122729</v>
      </c>
      <c r="B3968" s="115" t="s">
        <v>3803</v>
      </c>
      <c r="C3968" s="117">
        <v>1572.96</v>
      </c>
    </row>
    <row r="3969" spans="1:3" x14ac:dyDescent="0.25">
      <c r="A3969" s="115">
        <v>3121763</v>
      </c>
      <c r="B3969" s="115" t="s">
        <v>3804</v>
      </c>
      <c r="C3969" s="117">
        <v>1572.96</v>
      </c>
    </row>
    <row r="3970" spans="1:3" x14ac:dyDescent="0.25">
      <c r="A3970" s="115">
        <v>3121776</v>
      </c>
      <c r="B3970" s="115" t="s">
        <v>3805</v>
      </c>
      <c r="C3970" s="117">
        <v>1572.96</v>
      </c>
    </row>
    <row r="3971" spans="1:3" x14ac:dyDescent="0.25">
      <c r="A3971" s="115">
        <v>3129930</v>
      </c>
      <c r="B3971" s="115" t="s">
        <v>3806</v>
      </c>
      <c r="C3971" s="117">
        <v>32.97</v>
      </c>
    </row>
    <row r="3972" spans="1:3" x14ac:dyDescent="0.25">
      <c r="A3972" s="115">
        <v>3121520</v>
      </c>
      <c r="B3972" s="115" t="s">
        <v>3807</v>
      </c>
      <c r="C3972" s="117">
        <v>290.70999999999998</v>
      </c>
    </row>
    <row r="3973" spans="1:3" x14ac:dyDescent="0.25">
      <c r="A3973" s="115">
        <v>3120134</v>
      </c>
      <c r="B3973" s="115" t="s">
        <v>3808</v>
      </c>
      <c r="C3973" s="117">
        <v>946.26</v>
      </c>
    </row>
    <row r="3974" spans="1:3" x14ac:dyDescent="0.25">
      <c r="A3974" s="115">
        <v>3128776</v>
      </c>
      <c r="B3974" s="115" t="s">
        <v>3809</v>
      </c>
      <c r="C3974" s="117">
        <v>10.53</v>
      </c>
    </row>
    <row r="3975" spans="1:3" x14ac:dyDescent="0.25">
      <c r="A3975" s="115">
        <v>3128963</v>
      </c>
      <c r="B3975" s="115" t="s">
        <v>3810</v>
      </c>
      <c r="C3975" s="117">
        <v>478.57</v>
      </c>
    </row>
    <row r="3976" spans="1:3" x14ac:dyDescent="0.25">
      <c r="A3976" s="115">
        <v>3122129</v>
      </c>
      <c r="B3976" s="115" t="s">
        <v>3811</v>
      </c>
      <c r="C3976" s="117">
        <v>4156.05</v>
      </c>
    </row>
    <row r="3977" spans="1:3" x14ac:dyDescent="0.25">
      <c r="A3977" s="115">
        <v>3122163</v>
      </c>
      <c r="B3977" s="115" t="s">
        <v>3812</v>
      </c>
      <c r="C3977" s="117">
        <v>4156.05</v>
      </c>
    </row>
    <row r="3978" spans="1:3" x14ac:dyDescent="0.25">
      <c r="A3978" s="115">
        <v>3122348</v>
      </c>
      <c r="B3978" s="115" t="s">
        <v>3813</v>
      </c>
      <c r="C3978" s="117">
        <v>415.61</v>
      </c>
    </row>
    <row r="3979" spans="1:3" x14ac:dyDescent="0.25">
      <c r="A3979" s="115">
        <v>3122176</v>
      </c>
      <c r="B3979" s="115" t="s">
        <v>3814</v>
      </c>
      <c r="C3979" s="117">
        <v>4156.05</v>
      </c>
    </row>
    <row r="3980" spans="1:3" x14ac:dyDescent="0.25">
      <c r="A3980" s="115">
        <v>3123404</v>
      </c>
      <c r="B3980" s="115" t="s">
        <v>3815</v>
      </c>
      <c r="C3980" s="117">
        <v>2635.75</v>
      </c>
    </row>
    <row r="3981" spans="1:3" x14ac:dyDescent="0.25">
      <c r="A3981" s="115">
        <v>3123405</v>
      </c>
      <c r="B3981" s="115" t="s">
        <v>3816</v>
      </c>
      <c r="C3981" s="117">
        <v>2078.0300000000002</v>
      </c>
    </row>
    <row r="3982" spans="1:3" x14ac:dyDescent="0.25">
      <c r="A3982" s="115">
        <v>3122183</v>
      </c>
      <c r="B3982" s="115" t="s">
        <v>3817</v>
      </c>
      <c r="C3982" s="117">
        <v>4156.05</v>
      </c>
    </row>
    <row r="3983" spans="1:3" x14ac:dyDescent="0.25">
      <c r="A3983" s="115">
        <v>3122123</v>
      </c>
      <c r="B3983" s="115" t="s">
        <v>3818</v>
      </c>
      <c r="C3983" s="117">
        <v>415.61</v>
      </c>
    </row>
    <row r="3984" spans="1:3" x14ac:dyDescent="0.25">
      <c r="A3984" s="115">
        <v>3122136</v>
      </c>
      <c r="B3984" s="115" t="s">
        <v>3819</v>
      </c>
      <c r="C3984" s="117">
        <v>415.61</v>
      </c>
    </row>
    <row r="3985" spans="1:3" x14ac:dyDescent="0.25">
      <c r="A3985" s="115">
        <v>3122162</v>
      </c>
      <c r="B3985" s="115" t="s">
        <v>3820</v>
      </c>
      <c r="C3985" s="117">
        <v>290.92</v>
      </c>
    </row>
    <row r="3986" spans="1:3" x14ac:dyDescent="0.25">
      <c r="A3986" s="115">
        <v>3122175</v>
      </c>
      <c r="B3986" s="115" t="s">
        <v>3821</v>
      </c>
      <c r="C3986" s="117">
        <v>415.61</v>
      </c>
    </row>
    <row r="3987" spans="1:3" x14ac:dyDescent="0.25">
      <c r="A3987" s="115">
        <v>3127676</v>
      </c>
      <c r="B3987" s="115" t="s">
        <v>3822</v>
      </c>
      <c r="C3987" s="117">
        <v>415.61</v>
      </c>
    </row>
    <row r="3988" spans="1:3" x14ac:dyDescent="0.25">
      <c r="A3988" s="115">
        <v>3122177</v>
      </c>
      <c r="B3988" s="115" t="s">
        <v>3823</v>
      </c>
      <c r="C3988" s="117">
        <v>415.61</v>
      </c>
    </row>
    <row r="3989" spans="1:3" x14ac:dyDescent="0.25">
      <c r="A3989" s="115">
        <v>3127683</v>
      </c>
      <c r="B3989" s="115" t="s">
        <v>3824</v>
      </c>
      <c r="C3989" s="117">
        <v>415.61</v>
      </c>
    </row>
    <row r="3990" spans="1:3" x14ac:dyDescent="0.25">
      <c r="A3990" s="115">
        <v>3122189</v>
      </c>
      <c r="B3990" s="115" t="s">
        <v>3825</v>
      </c>
      <c r="C3990" s="117">
        <v>415.61</v>
      </c>
    </row>
    <row r="3991" spans="1:3" x14ac:dyDescent="0.25">
      <c r="A3991" s="115">
        <v>3122184</v>
      </c>
      <c r="B3991" s="115" t="s">
        <v>3826</v>
      </c>
      <c r="C3991" s="117">
        <v>415.61</v>
      </c>
    </row>
    <row r="3992" spans="1:3" x14ac:dyDescent="0.25">
      <c r="A3992" s="115">
        <v>3120011</v>
      </c>
      <c r="B3992" s="115" t="s">
        <v>3827</v>
      </c>
      <c r="C3992" s="117">
        <v>13009.67</v>
      </c>
    </row>
    <row r="3993" spans="1:3" x14ac:dyDescent="0.25">
      <c r="A3993" s="115">
        <v>3120015</v>
      </c>
      <c r="B3993" s="115" t="s">
        <v>3828</v>
      </c>
      <c r="C3993" s="117">
        <v>13009.67</v>
      </c>
    </row>
    <row r="3994" spans="1:3" x14ac:dyDescent="0.25">
      <c r="A3994" s="115">
        <v>3120013</v>
      </c>
      <c r="B3994" s="115" t="s">
        <v>3829</v>
      </c>
      <c r="C3994" s="117">
        <v>13009.67</v>
      </c>
    </row>
    <row r="3995" spans="1:3" x14ac:dyDescent="0.25">
      <c r="A3995" s="115">
        <v>3128229</v>
      </c>
      <c r="B3995" s="115" t="s">
        <v>3830</v>
      </c>
      <c r="C3995" s="117">
        <v>346.62</v>
      </c>
    </row>
    <row r="3996" spans="1:3" x14ac:dyDescent="0.25">
      <c r="A3996" s="115">
        <v>3128500</v>
      </c>
      <c r="B3996" s="115" t="s">
        <v>3831</v>
      </c>
      <c r="C3996" s="117">
        <v>2703.71</v>
      </c>
    </row>
    <row r="3997" spans="1:3" x14ac:dyDescent="0.25">
      <c r="A3997" s="115">
        <v>3120810</v>
      </c>
      <c r="B3997" s="115" t="s">
        <v>3832</v>
      </c>
      <c r="C3997" s="117">
        <v>4507.8999999999996</v>
      </c>
    </row>
    <row r="3998" spans="1:3" x14ac:dyDescent="0.25">
      <c r="A3998" s="115">
        <v>3120820</v>
      </c>
      <c r="B3998" s="115" t="s">
        <v>3833</v>
      </c>
      <c r="C3998" s="117">
        <v>1803.16</v>
      </c>
    </row>
    <row r="3999" spans="1:3" x14ac:dyDescent="0.25">
      <c r="A3999" s="115">
        <v>3123329</v>
      </c>
      <c r="B3999" s="115" t="s">
        <v>3834</v>
      </c>
      <c r="C3999" s="117">
        <v>103.43</v>
      </c>
    </row>
    <row r="4000" spans="1:3" x14ac:dyDescent="0.25">
      <c r="A4000" s="115">
        <v>3123363</v>
      </c>
      <c r="B4000" s="115" t="s">
        <v>3835</v>
      </c>
      <c r="C4000" s="117">
        <v>72.400000000000006</v>
      </c>
    </row>
    <row r="4001" spans="1:3" x14ac:dyDescent="0.25">
      <c r="A4001" s="115">
        <v>3123376</v>
      </c>
      <c r="B4001" s="115" t="s">
        <v>3836</v>
      </c>
      <c r="C4001" s="117">
        <v>103.43</v>
      </c>
    </row>
    <row r="4002" spans="1:3" x14ac:dyDescent="0.25">
      <c r="A4002" s="115">
        <v>3123383</v>
      </c>
      <c r="B4002" s="115" t="s">
        <v>3837</v>
      </c>
      <c r="C4002" s="117">
        <v>103.43</v>
      </c>
    </row>
    <row r="4003" spans="1:3" x14ac:dyDescent="0.25">
      <c r="A4003" s="115">
        <v>3126829</v>
      </c>
      <c r="B4003" s="115" t="s">
        <v>3838</v>
      </c>
      <c r="C4003" s="117">
        <v>249.79</v>
      </c>
    </row>
    <row r="4004" spans="1:3" x14ac:dyDescent="0.25">
      <c r="A4004" s="115">
        <v>3126863</v>
      </c>
      <c r="B4004" s="115" t="s">
        <v>3839</v>
      </c>
      <c r="C4004" s="117">
        <v>249.79</v>
      </c>
    </row>
    <row r="4005" spans="1:3" x14ac:dyDescent="0.25">
      <c r="A4005" s="115">
        <v>3126876</v>
      </c>
      <c r="B4005" s="115" t="s">
        <v>3840</v>
      </c>
      <c r="C4005" s="117">
        <v>249.79</v>
      </c>
    </row>
    <row r="4006" spans="1:3" x14ac:dyDescent="0.25">
      <c r="A4006" s="115">
        <v>3120007</v>
      </c>
      <c r="B4006" s="115" t="s">
        <v>3841</v>
      </c>
      <c r="C4006" s="117">
        <v>156.86000000000001</v>
      </c>
    </row>
    <row r="4007" spans="1:3" x14ac:dyDescent="0.25">
      <c r="A4007" s="115">
        <v>3125926</v>
      </c>
      <c r="B4007" s="115" t="s">
        <v>3842</v>
      </c>
      <c r="C4007" s="117">
        <v>520.1</v>
      </c>
    </row>
    <row r="4008" spans="1:3" x14ac:dyDescent="0.25">
      <c r="A4008" s="115">
        <v>3125923</v>
      </c>
      <c r="B4008" s="115" t="s">
        <v>3843</v>
      </c>
      <c r="C4008" s="117">
        <v>520.1</v>
      </c>
    </row>
    <row r="4009" spans="1:3" x14ac:dyDescent="0.25">
      <c r="A4009" s="115">
        <v>3125984</v>
      </c>
      <c r="B4009" s="115" t="s">
        <v>3844</v>
      </c>
      <c r="C4009" s="117">
        <v>520.1</v>
      </c>
    </row>
    <row r="4010" spans="1:3" x14ac:dyDescent="0.25">
      <c r="A4010" s="115">
        <v>3126229</v>
      </c>
      <c r="B4010" s="115" t="s">
        <v>3845</v>
      </c>
      <c r="C4010" s="117">
        <v>520.1</v>
      </c>
    </row>
    <row r="4011" spans="1:3" x14ac:dyDescent="0.25">
      <c r="A4011" s="115">
        <v>3126223</v>
      </c>
      <c r="B4011" s="115" t="s">
        <v>3846</v>
      </c>
      <c r="C4011" s="117">
        <v>364.07</v>
      </c>
    </row>
    <row r="4012" spans="1:3" x14ac:dyDescent="0.25">
      <c r="A4012" s="115">
        <v>3126267</v>
      </c>
      <c r="B4012" s="115" t="s">
        <v>3847</v>
      </c>
      <c r="C4012" s="117">
        <v>520.1</v>
      </c>
    </row>
    <row r="4013" spans="1:3" x14ac:dyDescent="0.25">
      <c r="A4013" s="115">
        <v>3126936</v>
      </c>
      <c r="B4013" s="115" t="s">
        <v>3848</v>
      </c>
      <c r="C4013" s="117">
        <v>249.79</v>
      </c>
    </row>
    <row r="4014" spans="1:3" x14ac:dyDescent="0.25">
      <c r="A4014" s="115">
        <v>3126975</v>
      </c>
      <c r="B4014" s="115" t="s">
        <v>3849</v>
      </c>
      <c r="C4014" s="117">
        <v>249.79</v>
      </c>
    </row>
    <row r="4015" spans="1:3" x14ac:dyDescent="0.25">
      <c r="A4015" s="115">
        <v>3124725</v>
      </c>
      <c r="B4015" s="115" t="s">
        <v>3850</v>
      </c>
      <c r="C4015" s="117">
        <v>299.64</v>
      </c>
    </row>
    <row r="4016" spans="1:3" x14ac:dyDescent="0.25">
      <c r="A4016" s="115">
        <v>3125976</v>
      </c>
      <c r="B4016" s="115" t="s">
        <v>3851</v>
      </c>
      <c r="C4016" s="117">
        <v>520.1</v>
      </c>
    </row>
    <row r="4017" spans="1:3" x14ac:dyDescent="0.25">
      <c r="A4017" s="115">
        <v>3125129</v>
      </c>
      <c r="B4017" s="115" t="s">
        <v>3852</v>
      </c>
      <c r="C4017" s="117">
        <v>1501.35</v>
      </c>
    </row>
    <row r="4018" spans="1:3" x14ac:dyDescent="0.25">
      <c r="A4018" s="115">
        <v>3124603</v>
      </c>
      <c r="B4018" s="115" t="s">
        <v>3853</v>
      </c>
      <c r="C4018" s="117">
        <v>3852.16</v>
      </c>
    </row>
    <row r="4019" spans="1:3" x14ac:dyDescent="0.25">
      <c r="A4019" s="115">
        <v>3125983</v>
      </c>
      <c r="B4019" s="115" t="s">
        <v>3854</v>
      </c>
      <c r="C4019" s="117">
        <v>520.1</v>
      </c>
    </row>
    <row r="4020" spans="1:3" x14ac:dyDescent="0.25">
      <c r="A4020" s="115">
        <v>3120629</v>
      </c>
      <c r="B4020" s="115" t="s">
        <v>3855</v>
      </c>
      <c r="C4020" s="117">
        <v>503.76</v>
      </c>
    </row>
    <row r="4021" spans="1:3" x14ac:dyDescent="0.25">
      <c r="A4021" s="115">
        <v>3122429</v>
      </c>
      <c r="B4021" s="115" t="s">
        <v>3856</v>
      </c>
      <c r="C4021" s="117">
        <v>176.1</v>
      </c>
    </row>
    <row r="4022" spans="1:3" x14ac:dyDescent="0.25">
      <c r="A4022" s="115">
        <v>3122463</v>
      </c>
      <c r="B4022" s="115" t="s">
        <v>3857</v>
      </c>
      <c r="C4022" s="117">
        <v>176.1</v>
      </c>
    </row>
    <row r="4023" spans="1:3" x14ac:dyDescent="0.25">
      <c r="A4023" s="115">
        <v>3122476</v>
      </c>
      <c r="B4023" s="115" t="s">
        <v>3858</v>
      </c>
      <c r="C4023" s="117">
        <v>176.1</v>
      </c>
    </row>
    <row r="4024" spans="1:3" x14ac:dyDescent="0.25">
      <c r="A4024" s="115">
        <v>3122400</v>
      </c>
      <c r="B4024" s="115" t="s">
        <v>3859</v>
      </c>
      <c r="C4024" s="117">
        <v>2308.7199999999998</v>
      </c>
    </row>
    <row r="4025" spans="1:3" x14ac:dyDescent="0.25">
      <c r="A4025" s="115">
        <v>3122483</v>
      </c>
      <c r="B4025" s="115" t="s">
        <v>3860</v>
      </c>
      <c r="C4025" s="117">
        <v>176.1</v>
      </c>
    </row>
    <row r="4026" spans="1:3" x14ac:dyDescent="0.25">
      <c r="A4026" s="115">
        <v>3122753</v>
      </c>
      <c r="B4026" s="115" t="s">
        <v>3861</v>
      </c>
      <c r="C4026" s="117">
        <v>4798.42</v>
      </c>
    </row>
    <row r="4027" spans="1:3" x14ac:dyDescent="0.25">
      <c r="A4027" s="115">
        <v>3125404</v>
      </c>
      <c r="B4027" s="115" t="s">
        <v>3862</v>
      </c>
      <c r="C4027" s="117">
        <v>6808.09</v>
      </c>
    </row>
    <row r="4028" spans="1:3" x14ac:dyDescent="0.25">
      <c r="A4028" s="115">
        <v>3125402</v>
      </c>
      <c r="B4028" s="115" t="s">
        <v>3863</v>
      </c>
      <c r="C4028" s="117">
        <v>6808.09</v>
      </c>
    </row>
    <row r="4029" spans="1:3" x14ac:dyDescent="0.25">
      <c r="A4029" s="115">
        <v>3122710</v>
      </c>
      <c r="B4029" s="115" t="s">
        <v>3864</v>
      </c>
      <c r="C4029" s="117">
        <v>13991.4</v>
      </c>
    </row>
    <row r="4030" spans="1:3" x14ac:dyDescent="0.25">
      <c r="A4030" s="115">
        <v>3120529</v>
      </c>
      <c r="B4030" s="115" t="s">
        <v>3865</v>
      </c>
      <c r="C4030" s="117">
        <v>375.05</v>
      </c>
    </row>
    <row r="4031" spans="1:3" x14ac:dyDescent="0.25">
      <c r="A4031" s="115">
        <v>3120563</v>
      </c>
      <c r="B4031" s="115" t="s">
        <v>3866</v>
      </c>
      <c r="C4031" s="117">
        <v>535.79</v>
      </c>
    </row>
    <row r="4032" spans="1:3" x14ac:dyDescent="0.25">
      <c r="A4032" s="115">
        <v>3120102</v>
      </c>
      <c r="B4032" s="115" t="s">
        <v>3867</v>
      </c>
      <c r="C4032" s="117">
        <v>8590.77</v>
      </c>
    </row>
    <row r="4033" spans="1:3" x14ac:dyDescent="0.25">
      <c r="A4033" s="115">
        <v>3120101</v>
      </c>
      <c r="B4033" s="115" t="s">
        <v>3868</v>
      </c>
      <c r="C4033" s="117">
        <v>7862.74</v>
      </c>
    </row>
    <row r="4034" spans="1:3" x14ac:dyDescent="0.25">
      <c r="A4034" s="115">
        <v>3121525</v>
      </c>
      <c r="B4034" s="115" t="s">
        <v>3869</v>
      </c>
      <c r="C4034" s="117">
        <v>2387.9299999999998</v>
      </c>
    </row>
    <row r="4035" spans="1:3" x14ac:dyDescent="0.25">
      <c r="A4035" s="115">
        <v>3121526</v>
      </c>
      <c r="B4035" s="115" t="s">
        <v>3870</v>
      </c>
      <c r="C4035" s="117">
        <v>4997.45</v>
      </c>
    </row>
    <row r="4036" spans="1:3" x14ac:dyDescent="0.25">
      <c r="A4036" s="115">
        <v>3125323</v>
      </c>
      <c r="B4036" s="115" t="s">
        <v>3871</v>
      </c>
      <c r="C4036" s="117">
        <v>6825.02</v>
      </c>
    </row>
    <row r="4037" spans="1:3" x14ac:dyDescent="0.25">
      <c r="A4037" s="115">
        <v>3128806</v>
      </c>
      <c r="B4037" s="115" t="s">
        <v>3872</v>
      </c>
      <c r="C4037" s="117">
        <v>5765.08</v>
      </c>
    </row>
    <row r="4038" spans="1:3" x14ac:dyDescent="0.25">
      <c r="A4038" s="115">
        <v>3121529</v>
      </c>
      <c r="B4038" s="115" t="s">
        <v>3873</v>
      </c>
      <c r="C4038" s="117">
        <v>913.61</v>
      </c>
    </row>
    <row r="4039" spans="1:3" x14ac:dyDescent="0.25">
      <c r="A4039" s="115">
        <v>3121563</v>
      </c>
      <c r="B4039" s="115" t="s">
        <v>3874</v>
      </c>
      <c r="C4039" s="117">
        <v>3001.84</v>
      </c>
    </row>
    <row r="4040" spans="1:3" x14ac:dyDescent="0.25">
      <c r="A4040" s="115">
        <v>3121501</v>
      </c>
      <c r="B4040" s="115" t="s">
        <v>3875</v>
      </c>
      <c r="C4040" s="117">
        <v>121.81</v>
      </c>
    </row>
    <row r="4041" spans="1:3" x14ac:dyDescent="0.25">
      <c r="A4041" s="115">
        <v>3128206</v>
      </c>
      <c r="B4041" s="115" t="s">
        <v>3876</v>
      </c>
      <c r="C4041" s="117">
        <v>346.62</v>
      </c>
    </row>
    <row r="4042" spans="1:3" x14ac:dyDescent="0.25">
      <c r="A4042" s="115">
        <v>3128205</v>
      </c>
      <c r="B4042" s="115" t="s">
        <v>3877</v>
      </c>
      <c r="C4042" s="117">
        <v>562.83000000000004</v>
      </c>
    </row>
    <row r="4043" spans="1:3" x14ac:dyDescent="0.25">
      <c r="A4043" s="115">
        <v>3128204</v>
      </c>
      <c r="B4043" s="115" t="s">
        <v>3878</v>
      </c>
      <c r="C4043" s="117">
        <v>562.83000000000004</v>
      </c>
    </row>
    <row r="4044" spans="1:3" x14ac:dyDescent="0.25">
      <c r="A4044" s="115">
        <v>3128202</v>
      </c>
      <c r="B4044" s="115" t="s">
        <v>3879</v>
      </c>
      <c r="C4044" s="117">
        <v>409.82</v>
      </c>
    </row>
    <row r="4045" spans="1:3" x14ac:dyDescent="0.25">
      <c r="A4045" s="115">
        <v>3128203</v>
      </c>
      <c r="B4045" s="115" t="s">
        <v>3880</v>
      </c>
      <c r="C4045" s="117">
        <v>409.82</v>
      </c>
    </row>
    <row r="4046" spans="1:3" x14ac:dyDescent="0.25">
      <c r="A4046" s="115">
        <v>3128200</v>
      </c>
      <c r="B4046" s="115" t="s">
        <v>3881</v>
      </c>
      <c r="C4046" s="117">
        <v>514.96</v>
      </c>
    </row>
    <row r="4047" spans="1:3" x14ac:dyDescent="0.25">
      <c r="A4047" s="115">
        <v>3128201</v>
      </c>
      <c r="B4047" s="115" t="s">
        <v>3882</v>
      </c>
      <c r="C4047" s="117">
        <v>514.96</v>
      </c>
    </row>
    <row r="4048" spans="1:3" x14ac:dyDescent="0.25">
      <c r="A4048" s="115">
        <v>3121876</v>
      </c>
      <c r="B4048" s="115" t="s">
        <v>3883</v>
      </c>
      <c r="C4048" s="117">
        <v>1.94</v>
      </c>
    </row>
    <row r="4049" spans="1:3" x14ac:dyDescent="0.25">
      <c r="A4049" s="115">
        <v>3121865</v>
      </c>
      <c r="B4049" s="115" t="s">
        <v>3884</v>
      </c>
      <c r="C4049" s="117">
        <v>123.27</v>
      </c>
    </row>
    <row r="4050" spans="1:3" x14ac:dyDescent="0.25">
      <c r="A4050" s="115">
        <v>3125829</v>
      </c>
      <c r="B4050" s="115" t="s">
        <v>3885</v>
      </c>
      <c r="C4050" s="117">
        <v>160.77000000000001</v>
      </c>
    </row>
    <row r="4051" spans="1:3" x14ac:dyDescent="0.25">
      <c r="A4051" s="115">
        <v>3125863</v>
      </c>
      <c r="B4051" s="115" t="s">
        <v>3886</v>
      </c>
      <c r="C4051" s="117">
        <v>160.77000000000001</v>
      </c>
    </row>
    <row r="4052" spans="1:3" x14ac:dyDescent="0.25">
      <c r="A4052" s="115">
        <v>3125876</v>
      </c>
      <c r="B4052" s="115" t="s">
        <v>3887</v>
      </c>
      <c r="C4052" s="117">
        <v>160.77000000000001</v>
      </c>
    </row>
    <row r="4053" spans="1:3" x14ac:dyDescent="0.25">
      <c r="A4053" s="115">
        <v>3128210</v>
      </c>
      <c r="B4053" s="115" t="s">
        <v>3888</v>
      </c>
      <c r="C4053" s="117">
        <v>10663.99</v>
      </c>
    </row>
    <row r="4054" spans="1:3" x14ac:dyDescent="0.25">
      <c r="A4054" s="115">
        <v>3128220</v>
      </c>
      <c r="B4054" s="115" t="s">
        <v>3889</v>
      </c>
      <c r="C4054" s="117">
        <v>10663.99</v>
      </c>
    </row>
    <row r="4055" spans="1:3" x14ac:dyDescent="0.25">
      <c r="A4055" s="115">
        <v>3331029</v>
      </c>
      <c r="B4055" s="115" t="s">
        <v>3890</v>
      </c>
      <c r="C4055" s="117">
        <v>745.75</v>
      </c>
    </row>
    <row r="4056" spans="1:3" x14ac:dyDescent="0.25">
      <c r="A4056" s="115">
        <v>3332129</v>
      </c>
      <c r="B4056" s="115" t="s">
        <v>3891</v>
      </c>
      <c r="C4056" s="117">
        <v>624.70000000000005</v>
      </c>
    </row>
    <row r="4057" spans="1:3" x14ac:dyDescent="0.25">
      <c r="A4057" s="115">
        <v>3331063</v>
      </c>
      <c r="B4057" s="115" t="s">
        <v>3892</v>
      </c>
      <c r="C4057" s="117">
        <v>639.38</v>
      </c>
    </row>
    <row r="4058" spans="1:3" x14ac:dyDescent="0.25">
      <c r="A4058" s="115">
        <v>3332163</v>
      </c>
      <c r="B4058" s="115" t="s">
        <v>3893</v>
      </c>
      <c r="C4058" s="117">
        <v>539.21</v>
      </c>
    </row>
    <row r="4059" spans="1:3" x14ac:dyDescent="0.25">
      <c r="A4059" s="115">
        <v>3241300</v>
      </c>
      <c r="B4059" s="115" t="s">
        <v>3894</v>
      </c>
      <c r="C4059" s="117">
        <v>314.47000000000003</v>
      </c>
    </row>
    <row r="4060" spans="1:3" x14ac:dyDescent="0.25">
      <c r="A4060" s="115">
        <v>3242100</v>
      </c>
      <c r="B4060" s="115" t="s">
        <v>3895</v>
      </c>
      <c r="C4060" s="117">
        <v>273.13</v>
      </c>
    </row>
    <row r="4061" spans="1:3" x14ac:dyDescent="0.25">
      <c r="A4061" s="115">
        <v>3482405</v>
      </c>
      <c r="B4061" s="115" t="s">
        <v>3896</v>
      </c>
      <c r="C4061" s="117">
        <v>615.41</v>
      </c>
    </row>
    <row r="4062" spans="1:3" x14ac:dyDescent="0.25">
      <c r="A4062" s="115">
        <v>3482404</v>
      </c>
      <c r="B4062" s="115" t="s">
        <v>3897</v>
      </c>
      <c r="C4062" s="117">
        <v>422.05</v>
      </c>
    </row>
    <row r="4063" spans="1:3" x14ac:dyDescent="0.25">
      <c r="A4063" s="115">
        <v>3450950</v>
      </c>
      <c r="B4063" s="115" t="s">
        <v>3898</v>
      </c>
      <c r="C4063" s="117">
        <v>22474.17</v>
      </c>
    </row>
    <row r="4064" spans="1:3" x14ac:dyDescent="0.25">
      <c r="A4064" s="115">
        <v>3481100</v>
      </c>
      <c r="B4064" s="115" t="s">
        <v>3899</v>
      </c>
      <c r="C4064" s="117">
        <v>292.24</v>
      </c>
    </row>
    <row r="4065" spans="1:3" x14ac:dyDescent="0.25">
      <c r="A4065" s="115">
        <v>3482755</v>
      </c>
      <c r="B4065" s="115" t="s">
        <v>3900</v>
      </c>
      <c r="C4065" s="117">
        <v>83.58</v>
      </c>
    </row>
    <row r="4066" spans="1:3" x14ac:dyDescent="0.25">
      <c r="A4066" s="115">
        <v>3482704</v>
      </c>
      <c r="B4066" s="115" t="s">
        <v>11585</v>
      </c>
      <c r="C4066" s="117">
        <v>998.72</v>
      </c>
    </row>
    <row r="4067" spans="1:3" x14ac:dyDescent="0.25">
      <c r="A4067" s="115">
        <v>3482250</v>
      </c>
      <c r="B4067" s="115" t="s">
        <v>3901</v>
      </c>
      <c r="C4067" s="117">
        <v>271.27999999999997</v>
      </c>
    </row>
    <row r="4068" spans="1:3" x14ac:dyDescent="0.25">
      <c r="A4068" s="115">
        <v>3481204</v>
      </c>
      <c r="B4068" s="115" t="s">
        <v>3902</v>
      </c>
      <c r="C4068" s="117">
        <v>937.61</v>
      </c>
    </row>
    <row r="4069" spans="1:3" x14ac:dyDescent="0.25">
      <c r="A4069" s="115">
        <v>3481002</v>
      </c>
      <c r="B4069" s="115" t="s">
        <v>3903</v>
      </c>
      <c r="C4069" s="117">
        <v>6981.05</v>
      </c>
    </row>
    <row r="4070" spans="1:3" x14ac:dyDescent="0.25">
      <c r="A4070" s="115">
        <v>3481922</v>
      </c>
      <c r="B4070" s="115" t="s">
        <v>3904</v>
      </c>
      <c r="C4070" s="117">
        <v>948.91</v>
      </c>
    </row>
    <row r="4071" spans="1:3" x14ac:dyDescent="0.25">
      <c r="A4071" s="115">
        <v>3481924</v>
      </c>
      <c r="B4071" s="115" t="s">
        <v>3905</v>
      </c>
      <c r="C4071" s="117">
        <v>948.91</v>
      </c>
    </row>
    <row r="4072" spans="1:3" x14ac:dyDescent="0.25">
      <c r="A4072" s="115">
        <v>3481932</v>
      </c>
      <c r="B4072" s="115" t="s">
        <v>3906</v>
      </c>
      <c r="C4072" s="117">
        <v>948.91</v>
      </c>
    </row>
    <row r="4073" spans="1:3" x14ac:dyDescent="0.25">
      <c r="A4073" s="115">
        <v>3481934</v>
      </c>
      <c r="B4073" s="115" t="s">
        <v>3907</v>
      </c>
      <c r="C4073" s="117">
        <v>948.91</v>
      </c>
    </row>
    <row r="4074" spans="1:3" x14ac:dyDescent="0.25">
      <c r="A4074" s="115">
        <v>3481942</v>
      </c>
      <c r="B4074" s="115" t="s">
        <v>3908</v>
      </c>
      <c r="C4074" s="117">
        <v>948.91</v>
      </c>
    </row>
    <row r="4075" spans="1:3" x14ac:dyDescent="0.25">
      <c r="A4075" s="115">
        <v>3481944</v>
      </c>
      <c r="B4075" s="115" t="s">
        <v>3909</v>
      </c>
      <c r="C4075" s="117">
        <v>948.91</v>
      </c>
    </row>
    <row r="4076" spans="1:3" x14ac:dyDescent="0.25">
      <c r="A4076" s="115">
        <v>3481952</v>
      </c>
      <c r="B4076" s="115" t="s">
        <v>3910</v>
      </c>
      <c r="C4076" s="117">
        <v>948.91</v>
      </c>
    </row>
    <row r="4077" spans="1:3" x14ac:dyDescent="0.25">
      <c r="A4077" s="115">
        <v>3481962</v>
      </c>
      <c r="B4077" s="115" t="s">
        <v>3911</v>
      </c>
      <c r="C4077" s="117">
        <v>948.91</v>
      </c>
    </row>
    <row r="4078" spans="1:3" x14ac:dyDescent="0.25">
      <c r="A4078" s="115">
        <v>3481902</v>
      </c>
      <c r="B4078" s="115" t="s">
        <v>3912</v>
      </c>
      <c r="C4078" s="117">
        <v>948.91</v>
      </c>
    </row>
    <row r="4079" spans="1:3" x14ac:dyDescent="0.25">
      <c r="A4079" s="115">
        <v>3481900</v>
      </c>
      <c r="B4079" s="115" t="s">
        <v>3913</v>
      </c>
      <c r="C4079" s="117">
        <v>948.91</v>
      </c>
    </row>
    <row r="4080" spans="1:3" x14ac:dyDescent="0.25">
      <c r="A4080" s="115">
        <v>3481904</v>
      </c>
      <c r="B4080" s="115" t="s">
        <v>3914</v>
      </c>
      <c r="C4080" s="117">
        <v>948.91</v>
      </c>
    </row>
    <row r="4081" spans="1:3" x14ac:dyDescent="0.25">
      <c r="A4081" s="115">
        <v>3481695</v>
      </c>
      <c r="B4081" s="115" t="s">
        <v>3915</v>
      </c>
      <c r="C4081" s="117">
        <v>292.39999999999998</v>
      </c>
    </row>
    <row r="4082" spans="1:3" x14ac:dyDescent="0.25">
      <c r="A4082" s="115">
        <v>3481800</v>
      </c>
      <c r="B4082" s="115" t="s">
        <v>3916</v>
      </c>
      <c r="C4082" s="117">
        <v>76.569999999999993</v>
      </c>
    </row>
    <row r="4083" spans="1:3" x14ac:dyDescent="0.25">
      <c r="A4083" s="115">
        <v>3481597</v>
      </c>
      <c r="B4083" s="115" t="s">
        <v>3917</v>
      </c>
      <c r="C4083" s="117">
        <v>1203.6300000000001</v>
      </c>
    </row>
    <row r="4084" spans="1:3" x14ac:dyDescent="0.25">
      <c r="A4084" s="115">
        <v>3481598</v>
      </c>
      <c r="B4084" s="115" t="s">
        <v>3918</v>
      </c>
      <c r="C4084" s="117">
        <v>1203.6300000000001</v>
      </c>
    </row>
    <row r="4085" spans="1:3" x14ac:dyDescent="0.25">
      <c r="A4085" s="115">
        <v>3481594</v>
      </c>
      <c r="B4085" s="115" t="s">
        <v>3919</v>
      </c>
      <c r="C4085" s="117">
        <v>14443.55</v>
      </c>
    </row>
    <row r="4086" spans="1:3" x14ac:dyDescent="0.25">
      <c r="A4086" s="115">
        <v>3481599</v>
      </c>
      <c r="B4086" s="115" t="s">
        <v>3920</v>
      </c>
      <c r="C4086" s="117">
        <v>1203.6300000000001</v>
      </c>
    </row>
    <row r="4087" spans="1:3" x14ac:dyDescent="0.25">
      <c r="A4087" s="115">
        <v>3481596</v>
      </c>
      <c r="B4087" s="115" t="s">
        <v>3921</v>
      </c>
      <c r="C4087" s="117">
        <v>1203.6300000000001</v>
      </c>
    </row>
    <row r="4088" spans="1:3" x14ac:dyDescent="0.25">
      <c r="A4088" s="115">
        <v>3481595</v>
      </c>
      <c r="B4088" s="115" t="s">
        <v>3922</v>
      </c>
      <c r="C4088" s="117">
        <v>1203.6300000000001</v>
      </c>
    </row>
    <row r="4089" spans="1:3" x14ac:dyDescent="0.25">
      <c r="A4089" s="115">
        <v>3481590</v>
      </c>
      <c r="B4089" s="115" t="s">
        <v>3923</v>
      </c>
      <c r="C4089" s="117">
        <v>11121.54</v>
      </c>
    </row>
    <row r="4090" spans="1:3" x14ac:dyDescent="0.25">
      <c r="A4090" s="115">
        <v>3480810</v>
      </c>
      <c r="B4090" s="115" t="s">
        <v>3924</v>
      </c>
      <c r="C4090" s="117">
        <v>313.02999999999997</v>
      </c>
    </row>
    <row r="4091" spans="1:3" x14ac:dyDescent="0.25">
      <c r="A4091" s="115">
        <v>3480872</v>
      </c>
      <c r="B4091" s="115" t="s">
        <v>3925</v>
      </c>
      <c r="C4091" s="117">
        <v>236.24</v>
      </c>
    </row>
    <row r="4092" spans="1:3" x14ac:dyDescent="0.25">
      <c r="A4092" s="115">
        <v>3480800</v>
      </c>
      <c r="B4092" s="115" t="s">
        <v>3926</v>
      </c>
      <c r="C4092" s="117">
        <v>236.39</v>
      </c>
    </row>
    <row r="4093" spans="1:3" x14ac:dyDescent="0.25">
      <c r="A4093" s="115">
        <v>3480407</v>
      </c>
      <c r="B4093" s="115" t="s">
        <v>3927</v>
      </c>
      <c r="C4093" s="117">
        <v>1980.25</v>
      </c>
    </row>
    <row r="4094" spans="1:3" x14ac:dyDescent="0.25">
      <c r="A4094" s="115">
        <v>3482200</v>
      </c>
      <c r="B4094" s="115" t="s">
        <v>3928</v>
      </c>
      <c r="C4094" s="117">
        <v>735.86</v>
      </c>
    </row>
    <row r="4095" spans="1:3" x14ac:dyDescent="0.25">
      <c r="A4095" s="115">
        <v>3482400</v>
      </c>
      <c r="B4095" s="115" t="s">
        <v>3929</v>
      </c>
      <c r="C4095" s="117">
        <v>422.05</v>
      </c>
    </row>
    <row r="4096" spans="1:3" x14ac:dyDescent="0.25">
      <c r="A4096" s="115">
        <v>3483505</v>
      </c>
      <c r="B4096" s="115" t="s">
        <v>3930</v>
      </c>
      <c r="C4096" s="117">
        <v>2941.76</v>
      </c>
    </row>
    <row r="4097" spans="1:3" x14ac:dyDescent="0.25">
      <c r="A4097" s="115">
        <v>3483507</v>
      </c>
      <c r="B4097" s="115" t="s">
        <v>3931</v>
      </c>
      <c r="C4097" s="117">
        <v>2941.76</v>
      </c>
    </row>
    <row r="4098" spans="1:3" x14ac:dyDescent="0.25">
      <c r="A4098" s="115">
        <v>3481412</v>
      </c>
      <c r="B4098" s="115" t="s">
        <v>3932</v>
      </c>
      <c r="C4098" s="117">
        <v>132.74</v>
      </c>
    </row>
    <row r="4099" spans="1:3" x14ac:dyDescent="0.25">
      <c r="A4099" s="115">
        <v>3481400</v>
      </c>
      <c r="B4099" s="115" t="s">
        <v>3933</v>
      </c>
      <c r="C4099" s="117">
        <v>9.67</v>
      </c>
    </row>
    <row r="4100" spans="1:3" x14ac:dyDescent="0.25">
      <c r="A4100" s="115">
        <v>3404505</v>
      </c>
      <c r="B4100" s="115" t="s">
        <v>3934</v>
      </c>
      <c r="C4100" s="117">
        <v>2606.4</v>
      </c>
    </row>
    <row r="4101" spans="1:3" x14ac:dyDescent="0.25">
      <c r="A4101" s="115">
        <v>3404502</v>
      </c>
      <c r="B4101" s="115" t="s">
        <v>3935</v>
      </c>
      <c r="C4101" s="117">
        <v>2606.4</v>
      </c>
    </row>
    <row r="4102" spans="1:3" x14ac:dyDescent="0.25">
      <c r="A4102" s="115">
        <v>3404506</v>
      </c>
      <c r="B4102" s="115" t="s">
        <v>3936</v>
      </c>
      <c r="C4102" s="117">
        <v>2606.4</v>
      </c>
    </row>
    <row r="4103" spans="1:3" x14ac:dyDescent="0.25">
      <c r="A4103" s="115">
        <v>3404507</v>
      </c>
      <c r="B4103" s="115" t="s">
        <v>3937</v>
      </c>
      <c r="C4103" s="117">
        <v>2606.4</v>
      </c>
    </row>
    <row r="4104" spans="1:3" x14ac:dyDescent="0.25">
      <c r="A4104" s="115">
        <v>3404503</v>
      </c>
      <c r="B4104" s="115" t="s">
        <v>3938</v>
      </c>
      <c r="C4104" s="117">
        <v>2606.4</v>
      </c>
    </row>
    <row r="4105" spans="1:3" x14ac:dyDescent="0.25">
      <c r="A4105" s="115">
        <v>3404508</v>
      </c>
      <c r="B4105" s="115" t="s">
        <v>3939</v>
      </c>
      <c r="C4105" s="117">
        <v>1409.29</v>
      </c>
    </row>
    <row r="4106" spans="1:3" x14ac:dyDescent="0.25">
      <c r="A4106" s="115">
        <v>3404509</v>
      </c>
      <c r="B4106" s="115" t="s">
        <v>3940</v>
      </c>
      <c r="C4106" s="117">
        <v>1266.3499999999999</v>
      </c>
    </row>
    <row r="4107" spans="1:3" x14ac:dyDescent="0.25">
      <c r="A4107" s="115">
        <v>3404501</v>
      </c>
      <c r="B4107" s="115" t="s">
        <v>3941</v>
      </c>
      <c r="C4107" s="117">
        <v>2606.4</v>
      </c>
    </row>
    <row r="4108" spans="1:3" x14ac:dyDescent="0.25">
      <c r="A4108" s="115">
        <v>3404504</v>
      </c>
      <c r="B4108" s="115" t="s">
        <v>3942</v>
      </c>
      <c r="C4108" s="117">
        <v>2606.4</v>
      </c>
    </row>
    <row r="4109" spans="1:3" x14ac:dyDescent="0.25">
      <c r="A4109" s="115">
        <v>3482022</v>
      </c>
      <c r="B4109" s="115" t="s">
        <v>3943</v>
      </c>
      <c r="C4109" s="117">
        <v>1028.8900000000001</v>
      </c>
    </row>
    <row r="4110" spans="1:3" x14ac:dyDescent="0.25">
      <c r="A4110" s="115">
        <v>3482024</v>
      </c>
      <c r="B4110" s="115" t="s">
        <v>3944</v>
      </c>
      <c r="C4110" s="117">
        <v>1028.8900000000001</v>
      </c>
    </row>
    <row r="4111" spans="1:3" x14ac:dyDescent="0.25">
      <c r="A4111" s="115">
        <v>3482032</v>
      </c>
      <c r="B4111" s="115" t="s">
        <v>3945</v>
      </c>
      <c r="C4111" s="117">
        <v>1028.8900000000001</v>
      </c>
    </row>
    <row r="4112" spans="1:3" x14ac:dyDescent="0.25">
      <c r="A4112" s="115">
        <v>3482034</v>
      </c>
      <c r="B4112" s="115" t="s">
        <v>3946</v>
      </c>
      <c r="C4112" s="117">
        <v>1028.8900000000001</v>
      </c>
    </row>
    <row r="4113" spans="1:3" x14ac:dyDescent="0.25">
      <c r="A4113" s="115">
        <v>3482042</v>
      </c>
      <c r="B4113" s="115" t="s">
        <v>3947</v>
      </c>
      <c r="C4113" s="117">
        <v>1028.8900000000001</v>
      </c>
    </row>
    <row r="4114" spans="1:3" x14ac:dyDescent="0.25">
      <c r="A4114" s="115">
        <v>3482044</v>
      </c>
      <c r="B4114" s="115" t="s">
        <v>3948</v>
      </c>
      <c r="C4114" s="117">
        <v>1028.8900000000001</v>
      </c>
    </row>
    <row r="4115" spans="1:3" x14ac:dyDescent="0.25">
      <c r="A4115" s="115">
        <v>3482052</v>
      </c>
      <c r="B4115" s="115" t="s">
        <v>3949</v>
      </c>
      <c r="C4115" s="117">
        <v>1028.8900000000001</v>
      </c>
    </row>
    <row r="4116" spans="1:3" x14ac:dyDescent="0.25">
      <c r="A4116" s="115">
        <v>3482062</v>
      </c>
      <c r="B4116" s="115" t="s">
        <v>3950</v>
      </c>
      <c r="C4116" s="117">
        <v>1028.8900000000001</v>
      </c>
    </row>
    <row r="4117" spans="1:3" x14ac:dyDescent="0.25">
      <c r="A4117" s="115">
        <v>3482002</v>
      </c>
      <c r="B4117" s="115" t="s">
        <v>3951</v>
      </c>
      <c r="C4117" s="117">
        <v>1028.8900000000001</v>
      </c>
    </row>
    <row r="4118" spans="1:3" x14ac:dyDescent="0.25">
      <c r="A4118" s="115">
        <v>3482003</v>
      </c>
      <c r="B4118" s="115" t="s">
        <v>3952</v>
      </c>
      <c r="C4118" s="117">
        <v>1028.8900000000001</v>
      </c>
    </row>
    <row r="4119" spans="1:3" x14ac:dyDescent="0.25">
      <c r="A4119" s="115">
        <v>3482004</v>
      </c>
      <c r="B4119" s="115" t="s">
        <v>3953</v>
      </c>
      <c r="C4119" s="117">
        <v>1028.8900000000001</v>
      </c>
    </row>
    <row r="4120" spans="1:3" x14ac:dyDescent="0.25">
      <c r="A4120" s="115">
        <v>3482000</v>
      </c>
      <c r="B4120" s="115" t="s">
        <v>3954</v>
      </c>
      <c r="C4120" s="117">
        <v>1028.8900000000001</v>
      </c>
    </row>
    <row r="4121" spans="1:3" x14ac:dyDescent="0.25">
      <c r="A4121" s="115">
        <v>3482161</v>
      </c>
      <c r="B4121" s="115" t="s">
        <v>3955</v>
      </c>
      <c r="C4121" s="117">
        <v>1521.11</v>
      </c>
    </row>
    <row r="4122" spans="1:3" x14ac:dyDescent="0.25">
      <c r="A4122" s="115">
        <v>3125310</v>
      </c>
      <c r="B4122" s="115" t="s">
        <v>3956</v>
      </c>
      <c r="C4122" s="117">
        <v>892.18</v>
      </c>
    </row>
    <row r="4123" spans="1:3" x14ac:dyDescent="0.25">
      <c r="A4123" s="115">
        <v>3125311</v>
      </c>
      <c r="B4123" s="115" t="s">
        <v>3957</v>
      </c>
      <c r="C4123" s="117">
        <v>4100.53</v>
      </c>
    </row>
    <row r="4124" spans="1:3" x14ac:dyDescent="0.25">
      <c r="A4124" s="115">
        <v>3128424</v>
      </c>
      <c r="B4124" s="115" t="s">
        <v>3958</v>
      </c>
      <c r="C4124" s="117">
        <v>22221.52</v>
      </c>
    </row>
    <row r="4125" spans="1:3" x14ac:dyDescent="0.25">
      <c r="A4125" s="115">
        <v>3531082</v>
      </c>
      <c r="B4125" s="115" t="s">
        <v>3959</v>
      </c>
      <c r="C4125" s="117">
        <v>854.7</v>
      </c>
    </row>
    <row r="4126" spans="1:3" x14ac:dyDescent="0.25">
      <c r="A4126" s="115">
        <v>3531083</v>
      </c>
      <c r="B4126" s="115" t="s">
        <v>3960</v>
      </c>
      <c r="C4126" s="117">
        <v>854.72</v>
      </c>
    </row>
    <row r="4127" spans="1:3" x14ac:dyDescent="0.25">
      <c r="A4127" s="115">
        <v>3531004</v>
      </c>
      <c r="B4127" s="115" t="s">
        <v>3961</v>
      </c>
      <c r="C4127" s="117">
        <v>854.72</v>
      </c>
    </row>
    <row r="4128" spans="1:3" x14ac:dyDescent="0.25">
      <c r="A4128" s="115">
        <v>3531522</v>
      </c>
      <c r="B4128" s="115" t="s">
        <v>3962</v>
      </c>
      <c r="C4128" s="117">
        <v>980.2</v>
      </c>
    </row>
    <row r="4129" spans="1:3" x14ac:dyDescent="0.25">
      <c r="A4129" s="115">
        <v>3531524</v>
      </c>
      <c r="B4129" s="115" t="s">
        <v>3963</v>
      </c>
      <c r="C4129" s="117">
        <v>980.2</v>
      </c>
    </row>
    <row r="4130" spans="1:3" x14ac:dyDescent="0.25">
      <c r="A4130" s="115">
        <v>3531502</v>
      </c>
      <c r="B4130" s="115" t="s">
        <v>3964</v>
      </c>
      <c r="C4130" s="117">
        <v>980.2</v>
      </c>
    </row>
    <row r="4131" spans="1:3" x14ac:dyDescent="0.25">
      <c r="A4131" s="115">
        <v>3531504</v>
      </c>
      <c r="B4131" s="115" t="s">
        <v>3965</v>
      </c>
      <c r="C4131" s="117">
        <v>980.2</v>
      </c>
    </row>
    <row r="4132" spans="1:3" x14ac:dyDescent="0.25">
      <c r="A4132" s="115">
        <v>3531542</v>
      </c>
      <c r="B4132" s="115" t="s">
        <v>3966</v>
      </c>
      <c r="C4132" s="117">
        <v>980.2</v>
      </c>
    </row>
    <row r="4133" spans="1:3" x14ac:dyDescent="0.25">
      <c r="A4133" s="115">
        <v>3531402</v>
      </c>
      <c r="B4133" s="115" t="s">
        <v>3967</v>
      </c>
      <c r="C4133" s="117">
        <v>980.2</v>
      </c>
    </row>
    <row r="4134" spans="1:3" x14ac:dyDescent="0.25">
      <c r="A4134" s="115">
        <v>3531401</v>
      </c>
      <c r="B4134" s="115" t="s">
        <v>3968</v>
      </c>
      <c r="C4134" s="117">
        <v>980.2</v>
      </c>
    </row>
    <row r="4135" spans="1:3" x14ac:dyDescent="0.25">
      <c r="A4135" s="115">
        <v>3531442</v>
      </c>
      <c r="B4135" s="115" t="s">
        <v>3969</v>
      </c>
      <c r="C4135" s="117">
        <v>980.2</v>
      </c>
    </row>
    <row r="4136" spans="1:3" x14ac:dyDescent="0.25">
      <c r="A4136" s="115">
        <v>3531602</v>
      </c>
      <c r="B4136" s="115" t="s">
        <v>3970</v>
      </c>
      <c r="C4136" s="117">
        <v>172.76</v>
      </c>
    </row>
    <row r="4137" spans="1:3" x14ac:dyDescent="0.25">
      <c r="A4137" s="115">
        <v>3531142</v>
      </c>
      <c r="B4137" s="115" t="s">
        <v>3971</v>
      </c>
      <c r="C4137" s="117">
        <v>198.96</v>
      </c>
    </row>
    <row r="4138" spans="1:3" x14ac:dyDescent="0.25">
      <c r="A4138" s="115">
        <v>3531600</v>
      </c>
      <c r="B4138" s="115" t="s">
        <v>3972</v>
      </c>
      <c r="C4138" s="117">
        <v>216.26</v>
      </c>
    </row>
    <row r="4139" spans="1:3" x14ac:dyDescent="0.25">
      <c r="A4139" s="115">
        <v>3531102</v>
      </c>
      <c r="B4139" s="115" t="s">
        <v>3973</v>
      </c>
      <c r="C4139" s="117">
        <v>198.96</v>
      </c>
    </row>
    <row r="4140" spans="1:3" x14ac:dyDescent="0.25">
      <c r="A4140" s="115">
        <v>3531700</v>
      </c>
      <c r="B4140" s="115" t="s">
        <v>3974</v>
      </c>
      <c r="C4140" s="117">
        <v>100.59</v>
      </c>
    </row>
    <row r="4141" spans="1:3" x14ac:dyDescent="0.25">
      <c r="A4141" s="115">
        <v>3531130</v>
      </c>
      <c r="B4141" s="115" t="s">
        <v>3975</v>
      </c>
      <c r="C4141" s="117">
        <v>216.26</v>
      </c>
    </row>
    <row r="4142" spans="1:3" x14ac:dyDescent="0.25">
      <c r="A4142" s="115">
        <v>3531122</v>
      </c>
      <c r="B4142" s="115" t="s">
        <v>3976</v>
      </c>
      <c r="C4142" s="117">
        <v>198.96</v>
      </c>
    </row>
    <row r="4143" spans="1:3" x14ac:dyDescent="0.25">
      <c r="A4143" s="115">
        <v>3643100</v>
      </c>
      <c r="B4143" s="115" t="s">
        <v>3977</v>
      </c>
      <c r="C4143" s="117">
        <v>437.98</v>
      </c>
    </row>
    <row r="4144" spans="1:3" x14ac:dyDescent="0.25">
      <c r="A4144" s="115">
        <v>3482403</v>
      </c>
      <c r="B4144" s="115" t="s">
        <v>3978</v>
      </c>
      <c r="C4144" s="117">
        <v>1154.03</v>
      </c>
    </row>
    <row r="4145" spans="1:3" x14ac:dyDescent="0.25">
      <c r="A4145" s="115">
        <v>3482402</v>
      </c>
      <c r="B4145" s="115" t="s">
        <v>3979</v>
      </c>
      <c r="C4145" s="117">
        <v>1154.03</v>
      </c>
    </row>
    <row r="4146" spans="1:3" x14ac:dyDescent="0.25">
      <c r="A4146" s="115">
        <v>3730549</v>
      </c>
      <c r="B4146" s="115" t="s">
        <v>3980</v>
      </c>
      <c r="C4146" s="117">
        <v>1645.68</v>
      </c>
    </row>
    <row r="4147" spans="1:3" x14ac:dyDescent="0.25">
      <c r="A4147" s="115">
        <v>3120080</v>
      </c>
      <c r="B4147" s="115" t="s">
        <v>3981</v>
      </c>
      <c r="C4147" s="117">
        <v>814.63</v>
      </c>
    </row>
    <row r="4148" spans="1:3" x14ac:dyDescent="0.25">
      <c r="A4148" s="115">
        <v>3730303</v>
      </c>
      <c r="B4148" s="115" t="s">
        <v>3982</v>
      </c>
      <c r="C4148" s="117">
        <v>1136.43</v>
      </c>
    </row>
    <row r="4149" spans="1:3" x14ac:dyDescent="0.25">
      <c r="A4149" s="115">
        <v>3730301</v>
      </c>
      <c r="B4149" s="115" t="s">
        <v>3983</v>
      </c>
      <c r="C4149" s="117">
        <v>1136.43</v>
      </c>
    </row>
    <row r="4150" spans="1:3" x14ac:dyDescent="0.25">
      <c r="A4150" s="115">
        <v>3129902</v>
      </c>
      <c r="B4150" s="115" t="s">
        <v>3984</v>
      </c>
      <c r="C4150" s="117">
        <v>763.7</v>
      </c>
    </row>
    <row r="4151" spans="1:3" x14ac:dyDescent="0.25">
      <c r="A4151" s="115">
        <v>3123129</v>
      </c>
      <c r="B4151" s="115" t="s">
        <v>3985</v>
      </c>
      <c r="C4151" s="117">
        <v>943.78</v>
      </c>
    </row>
    <row r="4152" spans="1:3" x14ac:dyDescent="0.25">
      <c r="A4152" s="115">
        <v>3123163</v>
      </c>
      <c r="B4152" s="115" t="s">
        <v>3986</v>
      </c>
      <c r="C4152" s="117">
        <v>943.78</v>
      </c>
    </row>
    <row r="4153" spans="1:3" x14ac:dyDescent="0.25">
      <c r="A4153" s="115">
        <v>3126315</v>
      </c>
      <c r="B4153" s="115" t="s">
        <v>3987</v>
      </c>
      <c r="C4153" s="117">
        <v>2056.08</v>
      </c>
    </row>
    <row r="4154" spans="1:3" x14ac:dyDescent="0.25">
      <c r="A4154" s="115">
        <v>3129000</v>
      </c>
      <c r="B4154" s="115" t="s">
        <v>3988</v>
      </c>
      <c r="C4154" s="117">
        <v>1644.86</v>
      </c>
    </row>
    <row r="4155" spans="1:3" x14ac:dyDescent="0.25">
      <c r="A4155" s="115">
        <v>3472029</v>
      </c>
      <c r="B4155" s="115" t="s">
        <v>3989</v>
      </c>
      <c r="C4155" s="117">
        <v>2311.7600000000002</v>
      </c>
    </row>
    <row r="4156" spans="1:3" x14ac:dyDescent="0.25">
      <c r="A4156" s="115">
        <v>3472083</v>
      </c>
      <c r="B4156" s="115" t="s">
        <v>3990</v>
      </c>
      <c r="C4156" s="117">
        <v>2311.7600000000002</v>
      </c>
    </row>
    <row r="4157" spans="1:3" x14ac:dyDescent="0.25">
      <c r="A4157" s="115">
        <v>3123628</v>
      </c>
      <c r="B4157" s="115" t="s">
        <v>3991</v>
      </c>
      <c r="C4157" s="117">
        <v>1022.95</v>
      </c>
    </row>
    <row r="4158" spans="1:3" x14ac:dyDescent="0.25">
      <c r="A4158" s="115">
        <v>3123699</v>
      </c>
      <c r="B4158" s="115" t="s">
        <v>3992</v>
      </c>
      <c r="C4158" s="117">
        <v>1022.95</v>
      </c>
    </row>
    <row r="4159" spans="1:3" x14ac:dyDescent="0.25">
      <c r="A4159" s="115">
        <v>3123624</v>
      </c>
      <c r="B4159" s="115" t="s">
        <v>3993</v>
      </c>
      <c r="C4159" s="117">
        <v>1190.5999999999999</v>
      </c>
    </row>
    <row r="4160" spans="1:3" x14ac:dyDescent="0.25">
      <c r="A4160" s="115">
        <v>3123630</v>
      </c>
      <c r="B4160" s="115" t="s">
        <v>3994</v>
      </c>
      <c r="C4160" s="117">
        <v>1190.5999999999999</v>
      </c>
    </row>
    <row r="4161" spans="1:3" x14ac:dyDescent="0.25">
      <c r="A4161" s="115">
        <v>3123629</v>
      </c>
      <c r="B4161" s="115" t="s">
        <v>3995</v>
      </c>
      <c r="C4161" s="117">
        <v>1190.5999999999999</v>
      </c>
    </row>
    <row r="4162" spans="1:3" x14ac:dyDescent="0.25">
      <c r="A4162" s="115">
        <v>3123683</v>
      </c>
      <c r="B4162" s="115" t="s">
        <v>3996</v>
      </c>
      <c r="C4162" s="117">
        <v>1190.5999999999999</v>
      </c>
    </row>
    <row r="4163" spans="1:3" x14ac:dyDescent="0.25">
      <c r="A4163" s="115">
        <v>3123684</v>
      </c>
      <c r="B4163" s="115" t="s">
        <v>3997</v>
      </c>
      <c r="C4163" s="117">
        <v>1190.5999999999999</v>
      </c>
    </row>
    <row r="4164" spans="1:3" x14ac:dyDescent="0.25">
      <c r="A4164" s="115">
        <v>3128529</v>
      </c>
      <c r="B4164" s="115" t="s">
        <v>3998</v>
      </c>
      <c r="C4164" s="117">
        <v>1211.17</v>
      </c>
    </row>
    <row r="4165" spans="1:3" x14ac:dyDescent="0.25">
      <c r="A4165" s="115">
        <v>3128523</v>
      </c>
      <c r="B4165" s="115" t="s">
        <v>3999</v>
      </c>
      <c r="C4165" s="117">
        <v>1211.17</v>
      </c>
    </row>
    <row r="4166" spans="1:3" x14ac:dyDescent="0.25">
      <c r="A4166" s="115">
        <v>3128563</v>
      </c>
      <c r="B4166" s="115" t="s">
        <v>4000</v>
      </c>
      <c r="C4166" s="117">
        <v>1211.17</v>
      </c>
    </row>
    <row r="4167" spans="1:3" x14ac:dyDescent="0.25">
      <c r="A4167" s="115">
        <v>3128576</v>
      </c>
      <c r="B4167" s="115" t="s">
        <v>4001</v>
      </c>
      <c r="C4167" s="117">
        <v>1211.17</v>
      </c>
    </row>
    <row r="4168" spans="1:3" x14ac:dyDescent="0.25">
      <c r="A4168" s="115">
        <v>3128577</v>
      </c>
      <c r="B4168" s="115" t="s">
        <v>4002</v>
      </c>
      <c r="C4168" s="117">
        <v>1211.17</v>
      </c>
    </row>
    <row r="4169" spans="1:3" x14ac:dyDescent="0.25">
      <c r="A4169" s="115">
        <v>3128583</v>
      </c>
      <c r="B4169" s="115" t="s">
        <v>4003</v>
      </c>
      <c r="C4169" s="117">
        <v>1211.17</v>
      </c>
    </row>
    <row r="4170" spans="1:3" x14ac:dyDescent="0.25">
      <c r="A4170" s="115">
        <v>3128584</v>
      </c>
      <c r="B4170" s="115" t="s">
        <v>4004</v>
      </c>
      <c r="C4170" s="117">
        <v>1211.17</v>
      </c>
    </row>
    <row r="4171" spans="1:3" x14ac:dyDescent="0.25">
      <c r="A4171" s="115">
        <v>3126524</v>
      </c>
      <c r="B4171" s="115" t="s">
        <v>4005</v>
      </c>
      <c r="C4171" s="117">
        <v>1097</v>
      </c>
    </row>
    <row r="4172" spans="1:3" x14ac:dyDescent="0.25">
      <c r="A4172" s="115">
        <v>3126563</v>
      </c>
      <c r="B4172" s="115" t="s">
        <v>4006</v>
      </c>
      <c r="C4172" s="117">
        <v>1097</v>
      </c>
    </row>
    <row r="4173" spans="1:3" x14ac:dyDescent="0.25">
      <c r="A4173" s="115">
        <v>3126576</v>
      </c>
      <c r="B4173" s="115" t="s">
        <v>4007</v>
      </c>
      <c r="C4173" s="117">
        <v>1097</v>
      </c>
    </row>
    <row r="4174" spans="1:3" x14ac:dyDescent="0.25">
      <c r="A4174" s="115">
        <v>3123608</v>
      </c>
      <c r="B4174" s="115" t="s">
        <v>4008</v>
      </c>
      <c r="C4174" s="117">
        <v>1190.5999999999999</v>
      </c>
    </row>
    <row r="4175" spans="1:3" x14ac:dyDescent="0.25">
      <c r="A4175" s="115">
        <v>3123607</v>
      </c>
      <c r="B4175" s="115" t="s">
        <v>4009</v>
      </c>
      <c r="C4175" s="117">
        <v>1190.5999999999999</v>
      </c>
    </row>
    <row r="4176" spans="1:3" x14ac:dyDescent="0.25">
      <c r="A4176" s="115">
        <v>3126510</v>
      </c>
      <c r="B4176" s="115" t="s">
        <v>4010</v>
      </c>
      <c r="C4176" s="117">
        <v>2704.85</v>
      </c>
    </row>
    <row r="4177" spans="1:3" x14ac:dyDescent="0.25">
      <c r="A4177" s="115">
        <v>3126540</v>
      </c>
      <c r="B4177" s="115" t="s">
        <v>4011</v>
      </c>
      <c r="C4177" s="117">
        <v>4507.8999999999996</v>
      </c>
    </row>
    <row r="4178" spans="1:3" x14ac:dyDescent="0.25">
      <c r="A4178" s="115">
        <v>3126530</v>
      </c>
      <c r="B4178" s="115" t="s">
        <v>4012</v>
      </c>
      <c r="C4178" s="117">
        <v>2253.7800000000002</v>
      </c>
    </row>
    <row r="4179" spans="1:3" x14ac:dyDescent="0.25">
      <c r="A4179" s="115">
        <v>3126520</v>
      </c>
      <c r="B4179" s="115" t="s">
        <v>4013</v>
      </c>
      <c r="C4179" s="117">
        <v>2703.71</v>
      </c>
    </row>
    <row r="4180" spans="1:3" x14ac:dyDescent="0.25">
      <c r="A4180" s="115">
        <v>3129040</v>
      </c>
      <c r="B4180" s="115" t="s">
        <v>4014</v>
      </c>
      <c r="C4180" s="117">
        <v>1345.93</v>
      </c>
    </row>
    <row r="4181" spans="1:3" x14ac:dyDescent="0.25">
      <c r="A4181" s="115">
        <v>3129030</v>
      </c>
      <c r="B4181" s="115" t="s">
        <v>4015</v>
      </c>
      <c r="C4181" s="117">
        <v>218.04</v>
      </c>
    </row>
    <row r="4182" spans="1:3" x14ac:dyDescent="0.25">
      <c r="A4182" s="115">
        <v>3122676</v>
      </c>
      <c r="B4182" s="115" t="s">
        <v>4016</v>
      </c>
      <c r="C4182" s="117">
        <v>1134.22</v>
      </c>
    </row>
    <row r="4183" spans="1:3" x14ac:dyDescent="0.25">
      <c r="A4183" s="115">
        <v>3127229</v>
      </c>
      <c r="B4183" s="115" t="s">
        <v>4017</v>
      </c>
      <c r="C4183" s="117">
        <v>321.14999999999998</v>
      </c>
    </row>
    <row r="4184" spans="1:3" x14ac:dyDescent="0.25">
      <c r="A4184" s="115">
        <v>3127263</v>
      </c>
      <c r="B4184" s="115" t="s">
        <v>4018</v>
      </c>
      <c r="C4184" s="117">
        <v>321.14999999999998</v>
      </c>
    </row>
    <row r="4185" spans="1:3" x14ac:dyDescent="0.25">
      <c r="A4185" s="115">
        <v>3127276</v>
      </c>
      <c r="B4185" s="115" t="s">
        <v>4019</v>
      </c>
      <c r="C4185" s="117">
        <v>1493.96</v>
      </c>
    </row>
    <row r="4186" spans="1:3" x14ac:dyDescent="0.25">
      <c r="A4186" s="115">
        <v>3127283</v>
      </c>
      <c r="B4186" s="115" t="s">
        <v>4020</v>
      </c>
      <c r="C4186" s="117">
        <v>321.14999999999998</v>
      </c>
    </row>
    <row r="4187" spans="1:3" x14ac:dyDescent="0.25">
      <c r="A4187" s="115">
        <v>3121463</v>
      </c>
      <c r="B4187" s="115" t="s">
        <v>4021</v>
      </c>
      <c r="C4187" s="117">
        <v>1072.76</v>
      </c>
    </row>
    <row r="4188" spans="1:3" x14ac:dyDescent="0.25">
      <c r="A4188" s="115">
        <v>3121476</v>
      </c>
      <c r="B4188" s="115" t="s">
        <v>4022</v>
      </c>
      <c r="C4188" s="117">
        <v>210.84</v>
      </c>
    </row>
    <row r="4189" spans="1:3" x14ac:dyDescent="0.25">
      <c r="A4189" s="115">
        <v>3121483</v>
      </c>
      <c r="B4189" s="115" t="s">
        <v>4023</v>
      </c>
      <c r="C4189" s="117">
        <v>147.59</v>
      </c>
    </row>
    <row r="4190" spans="1:3" x14ac:dyDescent="0.25">
      <c r="A4190" s="115">
        <v>3127378</v>
      </c>
      <c r="B4190" s="115" t="s">
        <v>12345</v>
      </c>
      <c r="C4190" s="117">
        <v>26369.95</v>
      </c>
    </row>
    <row r="4191" spans="1:3" x14ac:dyDescent="0.25">
      <c r="A4191" s="115">
        <v>3129507</v>
      </c>
      <c r="B4191" s="115" t="s">
        <v>4024</v>
      </c>
      <c r="C4191" s="117">
        <v>2055.62</v>
      </c>
    </row>
    <row r="4192" spans="1:3" x14ac:dyDescent="0.25">
      <c r="A4192" s="115">
        <v>3121605</v>
      </c>
      <c r="B4192" s="115" t="s">
        <v>4025</v>
      </c>
      <c r="C4192" s="117">
        <v>947.87</v>
      </c>
    </row>
    <row r="4193" spans="1:3" x14ac:dyDescent="0.25">
      <c r="A4193" s="115">
        <v>3129505</v>
      </c>
      <c r="B4193" s="115" t="s">
        <v>4026</v>
      </c>
      <c r="C4193" s="117">
        <v>4095.82</v>
      </c>
    </row>
    <row r="4194" spans="1:3" x14ac:dyDescent="0.25">
      <c r="A4194" s="115">
        <v>3123000</v>
      </c>
      <c r="B4194" s="115" t="s">
        <v>4027</v>
      </c>
      <c r="C4194" s="117">
        <v>42.95</v>
      </c>
    </row>
    <row r="4195" spans="1:3" x14ac:dyDescent="0.25">
      <c r="A4195" s="115">
        <v>3123003</v>
      </c>
      <c r="B4195" s="115" t="s">
        <v>4028</v>
      </c>
      <c r="C4195" s="117">
        <v>141.29</v>
      </c>
    </row>
    <row r="4196" spans="1:3" x14ac:dyDescent="0.25">
      <c r="A4196" s="115">
        <v>3127036</v>
      </c>
      <c r="B4196" s="115" t="s">
        <v>4029</v>
      </c>
      <c r="C4196" s="117">
        <v>1501.35</v>
      </c>
    </row>
    <row r="4197" spans="1:3" x14ac:dyDescent="0.25">
      <c r="A4197" s="115">
        <v>3127084</v>
      </c>
      <c r="B4197" s="115" t="s">
        <v>4030</v>
      </c>
      <c r="C4197" s="117">
        <v>1501.35</v>
      </c>
    </row>
    <row r="4198" spans="1:3" x14ac:dyDescent="0.25">
      <c r="A4198" s="115">
        <v>3124029</v>
      </c>
      <c r="B4198" s="115" t="s">
        <v>4031</v>
      </c>
      <c r="C4198" s="117">
        <v>2192.77</v>
      </c>
    </row>
    <row r="4199" spans="1:3" x14ac:dyDescent="0.25">
      <c r="A4199" s="115">
        <v>3124063</v>
      </c>
      <c r="B4199" s="115" t="s">
        <v>4032</v>
      </c>
      <c r="C4199" s="117">
        <v>2192.77</v>
      </c>
    </row>
    <row r="4200" spans="1:3" x14ac:dyDescent="0.25">
      <c r="A4200" s="115">
        <v>3123029</v>
      </c>
      <c r="B4200" s="115" t="s">
        <v>4033</v>
      </c>
      <c r="C4200" s="117">
        <v>2192.77</v>
      </c>
    </row>
    <row r="4201" spans="1:3" x14ac:dyDescent="0.25">
      <c r="A4201" s="115">
        <v>3123063</v>
      </c>
      <c r="B4201" s="115" t="s">
        <v>4034</v>
      </c>
      <c r="C4201" s="117">
        <v>2192.77</v>
      </c>
    </row>
    <row r="4202" spans="1:3" x14ac:dyDescent="0.25">
      <c r="A4202" s="115">
        <v>3123529</v>
      </c>
      <c r="B4202" s="115" t="s">
        <v>4035</v>
      </c>
      <c r="C4202" s="117">
        <v>1284.05</v>
      </c>
    </row>
    <row r="4203" spans="1:3" x14ac:dyDescent="0.25">
      <c r="A4203" s="115">
        <v>3123523</v>
      </c>
      <c r="B4203" s="115" t="s">
        <v>4036</v>
      </c>
      <c r="C4203" s="117">
        <v>1284.05</v>
      </c>
    </row>
    <row r="4204" spans="1:3" x14ac:dyDescent="0.25">
      <c r="A4204" s="115">
        <v>3123562</v>
      </c>
      <c r="B4204" s="115" t="s">
        <v>4037</v>
      </c>
      <c r="C4204" s="117">
        <v>1284.05</v>
      </c>
    </row>
    <row r="4205" spans="1:3" x14ac:dyDescent="0.25">
      <c r="A4205" s="115">
        <v>3123567</v>
      </c>
      <c r="B4205" s="115" t="s">
        <v>4038</v>
      </c>
      <c r="C4205" s="117">
        <v>1284.05</v>
      </c>
    </row>
    <row r="4206" spans="1:3" x14ac:dyDescent="0.25">
      <c r="A4206" s="115">
        <v>3123563</v>
      </c>
      <c r="B4206" s="115" t="s">
        <v>4039</v>
      </c>
      <c r="C4206" s="117">
        <v>1284.05</v>
      </c>
    </row>
    <row r="4207" spans="1:3" x14ac:dyDescent="0.25">
      <c r="A4207" s="115">
        <v>3123536</v>
      </c>
      <c r="B4207" s="115" t="s">
        <v>4040</v>
      </c>
      <c r="C4207" s="117">
        <v>1284.05</v>
      </c>
    </row>
    <row r="4208" spans="1:3" x14ac:dyDescent="0.25">
      <c r="A4208" s="115">
        <v>3123527</v>
      </c>
      <c r="B4208" s="115" t="s">
        <v>4041</v>
      </c>
      <c r="C4208" s="117">
        <v>1284.05</v>
      </c>
    </row>
    <row r="4209" spans="1:3" x14ac:dyDescent="0.25">
      <c r="A4209" s="115">
        <v>3123575</v>
      </c>
      <c r="B4209" s="115" t="s">
        <v>4042</v>
      </c>
      <c r="C4209" s="117">
        <v>1284.05</v>
      </c>
    </row>
    <row r="4210" spans="1:3" x14ac:dyDescent="0.25">
      <c r="A4210" s="115">
        <v>3123576</v>
      </c>
      <c r="B4210" s="115" t="s">
        <v>4043</v>
      </c>
      <c r="C4210" s="117">
        <v>1284.05</v>
      </c>
    </row>
    <row r="4211" spans="1:3" x14ac:dyDescent="0.25">
      <c r="A4211" s="115">
        <v>3123583</v>
      </c>
      <c r="B4211" s="115" t="s">
        <v>4044</v>
      </c>
      <c r="C4211" s="117">
        <v>1284.05</v>
      </c>
    </row>
    <row r="4212" spans="1:3" x14ac:dyDescent="0.25">
      <c r="A4212" s="115">
        <v>3126026</v>
      </c>
      <c r="B4212" s="115" t="s">
        <v>4045</v>
      </c>
      <c r="C4212" s="117">
        <v>1501.35</v>
      </c>
    </row>
    <row r="4213" spans="1:3" x14ac:dyDescent="0.25">
      <c r="A4213" s="115">
        <v>3124076</v>
      </c>
      <c r="B4213" s="115" t="s">
        <v>4046</v>
      </c>
      <c r="C4213" s="117">
        <v>2192.77</v>
      </c>
    </row>
    <row r="4214" spans="1:3" x14ac:dyDescent="0.25">
      <c r="A4214" s="115">
        <v>3124083</v>
      </c>
      <c r="B4214" s="115" t="s">
        <v>4047</v>
      </c>
      <c r="C4214" s="117">
        <v>2192.77</v>
      </c>
    </row>
    <row r="4215" spans="1:3" x14ac:dyDescent="0.25">
      <c r="A4215" s="115">
        <v>3123076</v>
      </c>
      <c r="B4215" s="115" t="s">
        <v>4048</v>
      </c>
      <c r="C4215" s="117">
        <v>2192.77</v>
      </c>
    </row>
    <row r="4216" spans="1:3" x14ac:dyDescent="0.25">
      <c r="A4216" s="115">
        <v>3123083</v>
      </c>
      <c r="B4216" s="115" t="s">
        <v>4049</v>
      </c>
      <c r="C4216" s="117">
        <v>1534.94</v>
      </c>
    </row>
    <row r="4217" spans="1:3" x14ac:dyDescent="0.25">
      <c r="A4217" s="115">
        <v>3120103</v>
      </c>
      <c r="B4217" s="115" t="s">
        <v>4050</v>
      </c>
      <c r="C4217" s="117">
        <v>6324.45</v>
      </c>
    </row>
    <row r="4218" spans="1:3" x14ac:dyDescent="0.25">
      <c r="A4218" s="115">
        <v>3730224</v>
      </c>
      <c r="B4218" s="115" t="s">
        <v>4051</v>
      </c>
      <c r="C4218" s="117">
        <v>15738.91</v>
      </c>
    </row>
    <row r="4219" spans="1:3" x14ac:dyDescent="0.25">
      <c r="A4219" s="115">
        <v>3129044</v>
      </c>
      <c r="B4219" s="115" t="s">
        <v>4052</v>
      </c>
      <c r="C4219" s="117">
        <v>2185.66</v>
      </c>
    </row>
    <row r="4220" spans="1:3" x14ac:dyDescent="0.25">
      <c r="A4220" s="115">
        <v>3730412</v>
      </c>
      <c r="B4220" s="115" t="s">
        <v>4053</v>
      </c>
      <c r="C4220" s="117">
        <v>912.41</v>
      </c>
    </row>
    <row r="4221" spans="1:3" x14ac:dyDescent="0.25">
      <c r="A4221" s="115">
        <v>3731629</v>
      </c>
      <c r="B4221" s="115" t="s">
        <v>4054</v>
      </c>
      <c r="C4221" s="117">
        <v>57.66</v>
      </c>
    </row>
    <row r="4222" spans="1:3" x14ac:dyDescent="0.25">
      <c r="A4222" s="115">
        <v>3739800</v>
      </c>
      <c r="B4222" s="115" t="s">
        <v>4055</v>
      </c>
      <c r="C4222" s="117">
        <v>1451.43</v>
      </c>
    </row>
    <row r="4223" spans="1:3" x14ac:dyDescent="0.25">
      <c r="A4223" s="115">
        <v>3737029</v>
      </c>
      <c r="B4223" s="115" t="s">
        <v>4056</v>
      </c>
      <c r="C4223" s="117">
        <v>255.55</v>
      </c>
    </row>
    <row r="4224" spans="1:3" x14ac:dyDescent="0.25">
      <c r="A4224" s="115">
        <v>3769029</v>
      </c>
      <c r="B4224" s="115" t="s">
        <v>4057</v>
      </c>
      <c r="C4224" s="117">
        <v>859.76</v>
      </c>
    </row>
    <row r="4225" spans="1:3" x14ac:dyDescent="0.25">
      <c r="A4225" s="115">
        <v>3734030</v>
      </c>
      <c r="B4225" s="115" t="s">
        <v>4058</v>
      </c>
      <c r="C4225" s="117">
        <v>1554.77</v>
      </c>
    </row>
    <row r="4226" spans="1:3" x14ac:dyDescent="0.25">
      <c r="A4226" s="115">
        <v>3734029</v>
      </c>
      <c r="B4226" s="115" t="s">
        <v>4059</v>
      </c>
      <c r="C4226" s="117">
        <v>610.87</v>
      </c>
    </row>
    <row r="4227" spans="1:3" x14ac:dyDescent="0.25">
      <c r="A4227" s="115">
        <v>3732263</v>
      </c>
      <c r="B4227" s="115" t="s">
        <v>4060</v>
      </c>
      <c r="C4227" s="117">
        <v>7.47</v>
      </c>
    </row>
    <row r="4228" spans="1:3" x14ac:dyDescent="0.25">
      <c r="A4228" s="115">
        <v>3731829</v>
      </c>
      <c r="B4228" s="115" t="s">
        <v>4061</v>
      </c>
      <c r="C4228" s="117">
        <v>610.84</v>
      </c>
    </row>
    <row r="4229" spans="1:3" x14ac:dyDescent="0.25">
      <c r="A4229" s="115">
        <v>3731828</v>
      </c>
      <c r="B4229" s="115" t="s">
        <v>4062</v>
      </c>
      <c r="C4229" s="117">
        <v>610.84</v>
      </c>
    </row>
    <row r="4230" spans="1:3" x14ac:dyDescent="0.25">
      <c r="A4230" s="115">
        <v>3731831</v>
      </c>
      <c r="B4230" s="115" t="s">
        <v>4063</v>
      </c>
      <c r="C4230" s="117">
        <v>610.84</v>
      </c>
    </row>
    <row r="4231" spans="1:3" x14ac:dyDescent="0.25">
      <c r="A4231" s="115">
        <v>3731863</v>
      </c>
      <c r="B4231" s="115" t="s">
        <v>4064</v>
      </c>
      <c r="C4231" s="117">
        <v>610.84</v>
      </c>
    </row>
    <row r="4232" spans="1:3" x14ac:dyDescent="0.25">
      <c r="A4232" s="115">
        <v>3731830</v>
      </c>
      <c r="B4232" s="115" t="s">
        <v>4065</v>
      </c>
      <c r="C4232" s="117">
        <v>459.53</v>
      </c>
    </row>
    <row r="4233" spans="1:3" x14ac:dyDescent="0.25">
      <c r="A4233" s="115">
        <v>3731029</v>
      </c>
      <c r="B4233" s="115" t="s">
        <v>4066</v>
      </c>
      <c r="C4233" s="117">
        <v>22.96</v>
      </c>
    </row>
    <row r="4234" spans="1:3" x14ac:dyDescent="0.25">
      <c r="A4234" s="144" t="s">
        <v>4067</v>
      </c>
      <c r="B4234" s="145"/>
      <c r="C4234" s="145"/>
    </row>
    <row r="4235" spans="1:3" x14ac:dyDescent="0.25">
      <c r="A4235" s="115">
        <v>3131700</v>
      </c>
      <c r="B4235" s="115" t="s">
        <v>4068</v>
      </c>
      <c r="C4235" s="117">
        <v>1381.8</v>
      </c>
    </row>
    <row r="4236" spans="1:3" x14ac:dyDescent="0.25">
      <c r="A4236" s="115">
        <v>3310806</v>
      </c>
      <c r="B4236" s="115" t="s">
        <v>4069</v>
      </c>
      <c r="C4236" s="117">
        <v>1354.83</v>
      </c>
    </row>
    <row r="4237" spans="1:3" x14ac:dyDescent="0.25">
      <c r="A4237" s="115">
        <v>3310812</v>
      </c>
      <c r="B4237" s="115" t="s">
        <v>4070</v>
      </c>
      <c r="C4237" s="117">
        <v>1574.48</v>
      </c>
    </row>
    <row r="4238" spans="1:3" x14ac:dyDescent="0.25">
      <c r="A4238" s="115">
        <v>3311100</v>
      </c>
      <c r="B4238" s="115" t="s">
        <v>4071</v>
      </c>
      <c r="C4238" s="117">
        <v>1562.19</v>
      </c>
    </row>
    <row r="4239" spans="1:3" x14ac:dyDescent="0.25">
      <c r="A4239" s="115">
        <v>3312010</v>
      </c>
      <c r="B4239" s="115" t="s">
        <v>4072</v>
      </c>
      <c r="C4239" s="117">
        <v>415.99</v>
      </c>
    </row>
    <row r="4240" spans="1:3" x14ac:dyDescent="0.25">
      <c r="A4240" s="115">
        <v>3311400</v>
      </c>
      <c r="B4240" s="115" t="s">
        <v>4073</v>
      </c>
      <c r="C4240" s="117">
        <v>926.25</v>
      </c>
    </row>
    <row r="4241" spans="1:3" x14ac:dyDescent="0.25">
      <c r="A4241" s="115">
        <v>3314801</v>
      </c>
      <c r="B4241" s="115" t="s">
        <v>12346</v>
      </c>
      <c r="C4241" s="117">
        <v>354.03</v>
      </c>
    </row>
    <row r="4242" spans="1:3" x14ac:dyDescent="0.25">
      <c r="A4242" s="115">
        <v>3314800</v>
      </c>
      <c r="B4242" s="115" t="s">
        <v>4074</v>
      </c>
      <c r="C4242" s="117">
        <v>354.05</v>
      </c>
    </row>
    <row r="4243" spans="1:3" x14ac:dyDescent="0.25">
      <c r="A4243" s="115">
        <v>3311500</v>
      </c>
      <c r="B4243" s="115" t="s">
        <v>4075</v>
      </c>
      <c r="C4243" s="117">
        <v>1892.7</v>
      </c>
    </row>
    <row r="4244" spans="1:3" x14ac:dyDescent="0.25">
      <c r="A4244" s="115">
        <v>3311200</v>
      </c>
      <c r="B4244" s="115" t="s">
        <v>4076</v>
      </c>
      <c r="C4244" s="117">
        <v>505.44</v>
      </c>
    </row>
    <row r="4245" spans="1:3" x14ac:dyDescent="0.25">
      <c r="A4245" s="144" t="s">
        <v>4077</v>
      </c>
      <c r="B4245" s="145"/>
      <c r="C4245" s="145"/>
    </row>
    <row r="4246" spans="1:3" x14ac:dyDescent="0.25">
      <c r="A4246" s="115">
        <v>3155310</v>
      </c>
      <c r="B4246" s="115" t="s">
        <v>4078</v>
      </c>
      <c r="C4246" s="117">
        <v>464.7</v>
      </c>
    </row>
    <row r="4247" spans="1:3" x14ac:dyDescent="0.25">
      <c r="A4247" s="115">
        <v>3155500</v>
      </c>
      <c r="B4247" s="115" t="s">
        <v>4079</v>
      </c>
      <c r="C4247" s="117">
        <v>1251.9000000000001</v>
      </c>
    </row>
    <row r="4248" spans="1:3" x14ac:dyDescent="0.25">
      <c r="A4248" s="115">
        <v>3155200</v>
      </c>
      <c r="B4248" s="115" t="s">
        <v>4080</v>
      </c>
      <c r="C4248" s="117">
        <v>693.09</v>
      </c>
    </row>
    <row r="4249" spans="1:3" x14ac:dyDescent="0.25">
      <c r="A4249" s="115">
        <v>3050313</v>
      </c>
      <c r="B4249" s="115" t="s">
        <v>4081</v>
      </c>
      <c r="C4249" s="117">
        <v>8933.3700000000008</v>
      </c>
    </row>
    <row r="4250" spans="1:3" x14ac:dyDescent="0.25">
      <c r="A4250" s="115">
        <v>3053022</v>
      </c>
      <c r="B4250" s="115" t="s">
        <v>4082</v>
      </c>
      <c r="C4250" s="117">
        <v>2675.73</v>
      </c>
    </row>
    <row r="4251" spans="1:3" x14ac:dyDescent="0.25">
      <c r="A4251" s="115">
        <v>3053014</v>
      </c>
      <c r="B4251" s="115" t="s">
        <v>4083</v>
      </c>
      <c r="C4251" s="117">
        <v>3730.95</v>
      </c>
    </row>
    <row r="4252" spans="1:3" x14ac:dyDescent="0.25">
      <c r="A4252" s="115">
        <v>3053015</v>
      </c>
      <c r="B4252" s="115" t="s">
        <v>4084</v>
      </c>
      <c r="C4252" s="117">
        <v>2848.74</v>
      </c>
    </row>
    <row r="4253" spans="1:3" x14ac:dyDescent="0.25">
      <c r="A4253" s="115">
        <v>3053013</v>
      </c>
      <c r="B4253" s="115" t="s">
        <v>4085</v>
      </c>
      <c r="C4253" s="117">
        <v>3165.65</v>
      </c>
    </row>
    <row r="4254" spans="1:3" x14ac:dyDescent="0.25">
      <c r="A4254" s="115">
        <v>3053006</v>
      </c>
      <c r="B4254" s="115" t="s">
        <v>4086</v>
      </c>
      <c r="C4254" s="117">
        <v>3330.1</v>
      </c>
    </row>
    <row r="4255" spans="1:3" x14ac:dyDescent="0.25">
      <c r="A4255" s="115">
        <v>3053003</v>
      </c>
      <c r="B4255" s="115" t="s">
        <v>4087</v>
      </c>
      <c r="C4255" s="117">
        <v>352.88</v>
      </c>
    </row>
    <row r="4256" spans="1:3" x14ac:dyDescent="0.25">
      <c r="A4256" s="115">
        <v>3050219</v>
      </c>
      <c r="B4256" s="115" t="s">
        <v>4088</v>
      </c>
      <c r="C4256" s="117">
        <v>259.70999999999998</v>
      </c>
    </row>
    <row r="4257" spans="1:3" x14ac:dyDescent="0.25">
      <c r="A4257" s="115">
        <v>3152500</v>
      </c>
      <c r="B4257" s="115" t="s">
        <v>4089</v>
      </c>
      <c r="C4257" s="117">
        <v>139.33000000000001</v>
      </c>
    </row>
    <row r="4258" spans="1:3" x14ac:dyDescent="0.25">
      <c r="A4258" s="115">
        <v>3152600</v>
      </c>
      <c r="B4258" s="115" t="s">
        <v>4090</v>
      </c>
      <c r="C4258" s="117">
        <v>117.89</v>
      </c>
    </row>
    <row r="4259" spans="1:3" x14ac:dyDescent="0.25">
      <c r="A4259" s="115">
        <v>3151600</v>
      </c>
      <c r="B4259" s="115" t="s">
        <v>4091</v>
      </c>
      <c r="C4259" s="117">
        <v>1824.2</v>
      </c>
    </row>
    <row r="4260" spans="1:3" x14ac:dyDescent="0.25">
      <c r="A4260" s="115">
        <v>3151203</v>
      </c>
      <c r="B4260" s="115" t="s">
        <v>4092</v>
      </c>
      <c r="C4260" s="117">
        <v>632.61</v>
      </c>
    </row>
    <row r="4261" spans="1:3" x14ac:dyDescent="0.25">
      <c r="A4261" s="115">
        <v>3151204</v>
      </c>
      <c r="B4261" s="115" t="s">
        <v>4093</v>
      </c>
      <c r="C4261" s="117">
        <v>723.98</v>
      </c>
    </row>
    <row r="4262" spans="1:3" x14ac:dyDescent="0.25">
      <c r="A4262" s="115">
        <v>3151206</v>
      </c>
      <c r="B4262" s="115" t="s">
        <v>4094</v>
      </c>
      <c r="C4262" s="117">
        <v>1022.34</v>
      </c>
    </row>
    <row r="4263" spans="1:3" x14ac:dyDescent="0.25">
      <c r="A4263" s="115">
        <v>3151424</v>
      </c>
      <c r="B4263" s="115" t="s">
        <v>4095</v>
      </c>
      <c r="C4263" s="117">
        <v>1516.42</v>
      </c>
    </row>
    <row r="4264" spans="1:3" x14ac:dyDescent="0.25">
      <c r="A4264" s="115">
        <v>3151010</v>
      </c>
      <c r="B4264" s="115" t="s">
        <v>4096</v>
      </c>
      <c r="C4264" s="117">
        <v>1112.69</v>
      </c>
    </row>
    <row r="4265" spans="1:3" x14ac:dyDescent="0.25">
      <c r="A4265" s="115">
        <v>3151002</v>
      </c>
      <c r="B4265" s="115" t="s">
        <v>4097</v>
      </c>
      <c r="C4265" s="117">
        <v>350.36</v>
      </c>
    </row>
    <row r="4266" spans="1:3" x14ac:dyDescent="0.25">
      <c r="A4266" s="115">
        <v>3151003</v>
      </c>
      <c r="B4266" s="115" t="s">
        <v>4098</v>
      </c>
      <c r="C4266" s="117">
        <v>352.63</v>
      </c>
    </row>
    <row r="4267" spans="1:3" x14ac:dyDescent="0.25">
      <c r="A4267" s="115">
        <v>3151004</v>
      </c>
      <c r="B4267" s="115" t="s">
        <v>4099</v>
      </c>
      <c r="C4267" s="117">
        <v>392.9</v>
      </c>
    </row>
    <row r="4268" spans="1:3" x14ac:dyDescent="0.25">
      <c r="A4268" s="115">
        <v>3151005</v>
      </c>
      <c r="B4268" s="115" t="s">
        <v>4100</v>
      </c>
      <c r="C4268" s="117">
        <v>592.80999999999995</v>
      </c>
    </row>
    <row r="4269" spans="1:3" x14ac:dyDescent="0.25">
      <c r="A4269" s="115">
        <v>3151006</v>
      </c>
      <c r="B4269" s="115" t="s">
        <v>4101</v>
      </c>
      <c r="C4269" s="117">
        <v>591.41</v>
      </c>
    </row>
    <row r="4270" spans="1:3" x14ac:dyDescent="0.25">
      <c r="A4270" s="115">
        <v>3151008</v>
      </c>
      <c r="B4270" s="115" t="s">
        <v>4102</v>
      </c>
      <c r="C4270" s="117">
        <v>1911.57</v>
      </c>
    </row>
    <row r="4271" spans="1:3" x14ac:dyDescent="0.25">
      <c r="A4271" s="115">
        <v>3151502</v>
      </c>
      <c r="B4271" s="115" t="s">
        <v>4103</v>
      </c>
      <c r="C4271" s="117">
        <v>2502.13</v>
      </c>
    </row>
    <row r="4272" spans="1:3" x14ac:dyDescent="0.25">
      <c r="A4272" s="115">
        <v>3151503</v>
      </c>
      <c r="B4272" s="115" t="s">
        <v>4104</v>
      </c>
      <c r="C4272" s="117">
        <v>79.05</v>
      </c>
    </row>
    <row r="4273" spans="1:3" x14ac:dyDescent="0.25">
      <c r="A4273" s="115">
        <v>3151910</v>
      </c>
      <c r="B4273" s="115" t="s">
        <v>4105</v>
      </c>
      <c r="C4273" s="117">
        <v>2434.89</v>
      </c>
    </row>
    <row r="4274" spans="1:3" x14ac:dyDescent="0.25">
      <c r="A4274" s="115">
        <v>3151912</v>
      </c>
      <c r="B4274" s="115" t="s">
        <v>4106</v>
      </c>
      <c r="C4274" s="117">
        <v>4440.1400000000003</v>
      </c>
    </row>
    <row r="4275" spans="1:3" x14ac:dyDescent="0.25">
      <c r="A4275" s="115">
        <v>3151914</v>
      </c>
      <c r="B4275" s="115" t="s">
        <v>4107</v>
      </c>
      <c r="C4275" s="117">
        <v>5832.12</v>
      </c>
    </row>
    <row r="4276" spans="1:3" x14ac:dyDescent="0.25">
      <c r="A4276" s="115">
        <v>3151903</v>
      </c>
      <c r="B4276" s="115" t="s">
        <v>4108</v>
      </c>
      <c r="C4276" s="117">
        <v>1380.32</v>
      </c>
    </row>
    <row r="4277" spans="1:3" x14ac:dyDescent="0.25">
      <c r="A4277" s="115">
        <v>3151904</v>
      </c>
      <c r="B4277" s="115" t="s">
        <v>4109</v>
      </c>
      <c r="C4277" s="117">
        <v>1466.14</v>
      </c>
    </row>
    <row r="4278" spans="1:3" x14ac:dyDescent="0.25">
      <c r="A4278" s="115">
        <v>3151905</v>
      </c>
      <c r="B4278" s="115" t="s">
        <v>4110</v>
      </c>
      <c r="C4278" s="117">
        <v>1559.12</v>
      </c>
    </row>
    <row r="4279" spans="1:3" x14ac:dyDescent="0.25">
      <c r="A4279" s="115">
        <v>3151906</v>
      </c>
      <c r="B4279" s="115" t="s">
        <v>4111</v>
      </c>
      <c r="C4279" s="117">
        <v>1669.22</v>
      </c>
    </row>
    <row r="4280" spans="1:3" x14ac:dyDescent="0.25">
      <c r="A4280" s="115">
        <v>3151907</v>
      </c>
      <c r="B4280" s="115" t="s">
        <v>4112</v>
      </c>
      <c r="C4280" s="117">
        <v>1786.86</v>
      </c>
    </row>
    <row r="4281" spans="1:3" x14ac:dyDescent="0.25">
      <c r="A4281" s="115">
        <v>3151908</v>
      </c>
      <c r="B4281" s="115" t="s">
        <v>4113</v>
      </c>
      <c r="C4281" s="117">
        <v>2082.1999999999998</v>
      </c>
    </row>
    <row r="4282" spans="1:3" x14ac:dyDescent="0.25">
      <c r="A4282" s="115">
        <v>3152400</v>
      </c>
      <c r="B4282" s="115" t="s">
        <v>4114</v>
      </c>
      <c r="C4282" s="117">
        <v>46.59</v>
      </c>
    </row>
    <row r="4283" spans="1:3" x14ac:dyDescent="0.25">
      <c r="A4283" s="115">
        <v>3152300</v>
      </c>
      <c r="B4283" s="115" t="s">
        <v>4115</v>
      </c>
      <c r="C4283" s="117">
        <v>27.86</v>
      </c>
    </row>
    <row r="4284" spans="1:3" x14ac:dyDescent="0.25">
      <c r="A4284" s="115">
        <v>3251400</v>
      </c>
      <c r="B4284" s="115" t="s">
        <v>4116</v>
      </c>
      <c r="C4284" s="117">
        <v>136.44</v>
      </c>
    </row>
    <row r="4285" spans="1:3" x14ac:dyDescent="0.25">
      <c r="A4285" s="115">
        <v>3251300</v>
      </c>
      <c r="B4285" s="115" t="s">
        <v>4117</v>
      </c>
      <c r="C4285" s="117">
        <v>1420.05</v>
      </c>
    </row>
    <row r="4286" spans="1:3" x14ac:dyDescent="0.25">
      <c r="A4286" s="115">
        <v>3251800</v>
      </c>
      <c r="B4286" s="115" t="s">
        <v>4118</v>
      </c>
      <c r="C4286" s="117">
        <v>1077.44</v>
      </c>
    </row>
    <row r="4287" spans="1:3" x14ac:dyDescent="0.25">
      <c r="A4287" s="115">
        <v>3251000</v>
      </c>
      <c r="B4287" s="115" t="s">
        <v>4119</v>
      </c>
      <c r="C4287" s="117">
        <v>215.72</v>
      </c>
    </row>
    <row r="4288" spans="1:3" x14ac:dyDescent="0.25">
      <c r="A4288" s="115">
        <v>3251100</v>
      </c>
      <c r="B4288" s="115" t="s">
        <v>4120</v>
      </c>
      <c r="C4288" s="117">
        <v>291.51</v>
      </c>
    </row>
    <row r="4289" spans="1:3" x14ac:dyDescent="0.25">
      <c r="A4289" s="115">
        <v>3251200</v>
      </c>
      <c r="B4289" s="115" t="s">
        <v>4121</v>
      </c>
      <c r="C4289" s="117">
        <v>507.23</v>
      </c>
    </row>
    <row r="4290" spans="1:3" x14ac:dyDescent="0.25">
      <c r="A4290" s="115">
        <v>3053024</v>
      </c>
      <c r="B4290" s="115" t="s">
        <v>4122</v>
      </c>
      <c r="C4290" s="117">
        <v>2675.73</v>
      </c>
    </row>
    <row r="4291" spans="1:3" x14ac:dyDescent="0.25">
      <c r="A4291" s="115">
        <v>3053020</v>
      </c>
      <c r="B4291" s="115" t="s">
        <v>4123</v>
      </c>
      <c r="C4291" s="117">
        <v>1711.3</v>
      </c>
    </row>
    <row r="4292" spans="1:3" x14ac:dyDescent="0.25">
      <c r="A4292" s="115">
        <v>3053012</v>
      </c>
      <c r="B4292" s="115" t="s">
        <v>4124</v>
      </c>
      <c r="C4292" s="117">
        <v>1711.3</v>
      </c>
    </row>
    <row r="4293" spans="1:3" x14ac:dyDescent="0.25">
      <c r="A4293" s="115">
        <v>3159302</v>
      </c>
      <c r="B4293" s="115" t="s">
        <v>4125</v>
      </c>
      <c r="C4293" s="117">
        <v>4950.6099999999997</v>
      </c>
    </row>
    <row r="4294" spans="1:3" x14ac:dyDescent="0.25">
      <c r="A4294" s="115">
        <v>3159209</v>
      </c>
      <c r="B4294" s="115" t="s">
        <v>4126</v>
      </c>
      <c r="C4294" s="117">
        <v>1678.75</v>
      </c>
    </row>
    <row r="4295" spans="1:3" x14ac:dyDescent="0.25">
      <c r="A4295" s="115">
        <v>3050506</v>
      </c>
      <c r="B4295" s="115" t="s">
        <v>4127</v>
      </c>
      <c r="C4295" s="117">
        <v>3986.19</v>
      </c>
    </row>
    <row r="4296" spans="1:3" x14ac:dyDescent="0.25">
      <c r="A4296" s="115">
        <v>3050505</v>
      </c>
      <c r="B4296" s="115" t="s">
        <v>4128</v>
      </c>
      <c r="C4296" s="117">
        <v>3885.12</v>
      </c>
    </row>
    <row r="4297" spans="1:3" x14ac:dyDescent="0.25">
      <c r="A4297" s="115">
        <v>3159400</v>
      </c>
      <c r="B4297" s="115" t="s">
        <v>4129</v>
      </c>
      <c r="C4297" s="117">
        <v>173.59</v>
      </c>
    </row>
    <row r="4298" spans="1:3" x14ac:dyDescent="0.25">
      <c r="A4298" s="115">
        <v>3159206</v>
      </c>
      <c r="B4298" s="115" t="s">
        <v>4130</v>
      </c>
      <c r="C4298" s="117">
        <v>1757.55</v>
      </c>
    </row>
    <row r="4299" spans="1:3" x14ac:dyDescent="0.25">
      <c r="A4299" s="115">
        <v>3159100</v>
      </c>
      <c r="B4299" s="115" t="s">
        <v>4131</v>
      </c>
      <c r="C4299" s="117">
        <v>340.32</v>
      </c>
    </row>
    <row r="4300" spans="1:3" x14ac:dyDescent="0.25">
      <c r="A4300" s="115">
        <v>3159200</v>
      </c>
      <c r="B4300" s="115" t="s">
        <v>4132</v>
      </c>
      <c r="C4300" s="117">
        <v>352.88</v>
      </c>
    </row>
    <row r="4301" spans="1:3" x14ac:dyDescent="0.25">
      <c r="A4301" s="115">
        <v>3159300</v>
      </c>
      <c r="B4301" s="115" t="s">
        <v>4133</v>
      </c>
      <c r="C4301" s="117">
        <v>565.29</v>
      </c>
    </row>
    <row r="4302" spans="1:3" x14ac:dyDescent="0.25">
      <c r="A4302" s="115">
        <v>3053023</v>
      </c>
      <c r="B4302" s="115" t="s">
        <v>4134</v>
      </c>
      <c r="C4302" s="117">
        <v>2408.5</v>
      </c>
    </row>
    <row r="4303" spans="1:3" x14ac:dyDescent="0.25">
      <c r="A4303" s="115">
        <v>3151001</v>
      </c>
      <c r="B4303" s="115" t="s">
        <v>4135</v>
      </c>
      <c r="C4303" s="117">
        <v>310.63</v>
      </c>
    </row>
    <row r="4304" spans="1:3" x14ac:dyDescent="0.25">
      <c r="A4304" s="115">
        <v>3053025</v>
      </c>
      <c r="B4304" s="115" t="s">
        <v>4136</v>
      </c>
      <c r="C4304" s="117">
        <v>2408.5</v>
      </c>
    </row>
    <row r="4305" spans="1:3" x14ac:dyDescent="0.25">
      <c r="A4305" s="115">
        <v>3053008</v>
      </c>
      <c r="B4305" s="115" t="s">
        <v>4137</v>
      </c>
      <c r="C4305" s="117">
        <v>401.99</v>
      </c>
    </row>
    <row r="4306" spans="1:3" x14ac:dyDescent="0.25">
      <c r="A4306" s="115">
        <v>3053016</v>
      </c>
      <c r="B4306" s="115" t="s">
        <v>4138</v>
      </c>
      <c r="C4306" s="117">
        <v>2542.11</v>
      </c>
    </row>
    <row r="4307" spans="1:3" x14ac:dyDescent="0.25">
      <c r="A4307" s="115">
        <v>3151104</v>
      </c>
      <c r="B4307" s="115" t="s">
        <v>4139</v>
      </c>
      <c r="C4307" s="117">
        <v>1341.29</v>
      </c>
    </row>
    <row r="4308" spans="1:3" x14ac:dyDescent="0.25">
      <c r="A4308" s="115">
        <v>3659209</v>
      </c>
      <c r="B4308" s="115" t="s">
        <v>4140</v>
      </c>
      <c r="C4308" s="117">
        <v>2408.5</v>
      </c>
    </row>
    <row r="4309" spans="1:3" x14ac:dyDescent="0.25">
      <c r="A4309" s="115">
        <v>3050314</v>
      </c>
      <c r="B4309" s="115" t="s">
        <v>4141</v>
      </c>
      <c r="C4309" s="117">
        <v>4408.16</v>
      </c>
    </row>
    <row r="4310" spans="1:3" x14ac:dyDescent="0.25">
      <c r="A4310" s="115">
        <v>3050312</v>
      </c>
      <c r="B4310" s="115" t="s">
        <v>4142</v>
      </c>
      <c r="C4310" s="117">
        <v>9964.61</v>
      </c>
    </row>
    <row r="4311" spans="1:3" x14ac:dyDescent="0.25">
      <c r="A4311" s="115">
        <v>3050305</v>
      </c>
      <c r="B4311" s="115" t="s">
        <v>4143</v>
      </c>
      <c r="C4311" s="117">
        <v>11799.25</v>
      </c>
    </row>
    <row r="4312" spans="1:3" x14ac:dyDescent="0.25">
      <c r="A4312" s="115">
        <v>3050311</v>
      </c>
      <c r="B4312" s="115" t="s">
        <v>4144</v>
      </c>
      <c r="C4312" s="117">
        <v>1387.54</v>
      </c>
    </row>
    <row r="4313" spans="1:3" x14ac:dyDescent="0.25">
      <c r="A4313" s="144" t="s">
        <v>4145</v>
      </c>
      <c r="B4313" s="145"/>
      <c r="C4313" s="145"/>
    </row>
    <row r="4314" spans="1:3" x14ac:dyDescent="0.25">
      <c r="A4314" s="115">
        <v>3190442</v>
      </c>
      <c r="B4314" s="115" t="s">
        <v>4146</v>
      </c>
      <c r="C4314" s="117">
        <v>2675.98</v>
      </c>
    </row>
    <row r="4315" spans="1:3" x14ac:dyDescent="0.25">
      <c r="A4315" s="115">
        <v>3190420</v>
      </c>
      <c r="B4315" s="115" t="s">
        <v>4147</v>
      </c>
      <c r="C4315" s="117">
        <v>4121.01</v>
      </c>
    </row>
    <row r="4316" spans="1:3" x14ac:dyDescent="0.25">
      <c r="A4316" s="115">
        <v>3193188</v>
      </c>
      <c r="B4316" s="115" t="s">
        <v>4148</v>
      </c>
      <c r="C4316" s="117">
        <v>4106.24</v>
      </c>
    </row>
    <row r="4317" spans="1:3" x14ac:dyDescent="0.25">
      <c r="A4317" s="115">
        <v>3190436</v>
      </c>
      <c r="B4317" s="115" t="s">
        <v>4149</v>
      </c>
      <c r="C4317" s="117">
        <v>4121.01</v>
      </c>
    </row>
    <row r="4318" spans="1:3" x14ac:dyDescent="0.25">
      <c r="A4318" s="115">
        <v>3190513</v>
      </c>
      <c r="B4318" s="115" t="s">
        <v>4150</v>
      </c>
      <c r="C4318" s="117">
        <v>19009.7</v>
      </c>
    </row>
    <row r="4319" spans="1:3" x14ac:dyDescent="0.25">
      <c r="A4319" s="115">
        <v>3190510</v>
      </c>
      <c r="B4319" s="115" t="s">
        <v>4151</v>
      </c>
      <c r="C4319" s="117">
        <v>5956.92</v>
      </c>
    </row>
    <row r="4320" spans="1:3" x14ac:dyDescent="0.25">
      <c r="A4320" s="115">
        <v>3190512</v>
      </c>
      <c r="B4320" s="115" t="s">
        <v>4152</v>
      </c>
      <c r="C4320" s="117">
        <v>5935.57</v>
      </c>
    </row>
    <row r="4321" spans="1:3" x14ac:dyDescent="0.25">
      <c r="A4321" s="115">
        <v>3190511</v>
      </c>
      <c r="B4321" s="115" t="s">
        <v>4153</v>
      </c>
      <c r="C4321" s="117">
        <v>9134.7000000000007</v>
      </c>
    </row>
    <row r="4322" spans="1:3" x14ac:dyDescent="0.25">
      <c r="A4322" s="115">
        <v>3190610</v>
      </c>
      <c r="B4322" s="115" t="s">
        <v>4154</v>
      </c>
      <c r="C4322" s="117">
        <v>5436.05</v>
      </c>
    </row>
    <row r="4323" spans="1:3" x14ac:dyDescent="0.25">
      <c r="A4323" s="115">
        <v>3190331</v>
      </c>
      <c r="B4323" s="115" t="s">
        <v>4155</v>
      </c>
      <c r="C4323" s="117">
        <v>7417.81</v>
      </c>
    </row>
    <row r="4324" spans="1:3" x14ac:dyDescent="0.25">
      <c r="A4324" s="115">
        <v>3191731</v>
      </c>
      <c r="B4324" s="115" t="s">
        <v>4156</v>
      </c>
      <c r="C4324" s="117">
        <v>2249.5</v>
      </c>
    </row>
    <row r="4325" spans="1:3" x14ac:dyDescent="0.25">
      <c r="A4325" s="115">
        <v>3191801</v>
      </c>
      <c r="B4325" s="115" t="s">
        <v>4157</v>
      </c>
      <c r="C4325" s="117">
        <v>5814.12</v>
      </c>
    </row>
    <row r="4326" spans="1:3" x14ac:dyDescent="0.25">
      <c r="A4326" s="115">
        <v>3191800</v>
      </c>
      <c r="B4326" s="115" t="s">
        <v>4158</v>
      </c>
      <c r="C4326" s="117">
        <v>5814.12</v>
      </c>
    </row>
    <row r="4327" spans="1:3" x14ac:dyDescent="0.25">
      <c r="A4327" s="115">
        <v>3191882</v>
      </c>
      <c r="B4327" s="115" t="s">
        <v>4159</v>
      </c>
      <c r="C4327" s="117">
        <v>6035.25</v>
      </c>
    </row>
    <row r="4328" spans="1:3" x14ac:dyDescent="0.25">
      <c r="A4328" s="115">
        <v>3191395</v>
      </c>
      <c r="B4328" s="115" t="s">
        <v>4160</v>
      </c>
      <c r="C4328" s="117">
        <v>17629.52</v>
      </c>
    </row>
    <row r="4329" spans="1:3" x14ac:dyDescent="0.25">
      <c r="A4329" s="115">
        <v>3191710</v>
      </c>
      <c r="B4329" s="115" t="s">
        <v>4161</v>
      </c>
      <c r="C4329" s="117">
        <v>6303.73</v>
      </c>
    </row>
    <row r="4330" spans="1:3" x14ac:dyDescent="0.25">
      <c r="A4330" s="115">
        <v>3191722</v>
      </c>
      <c r="B4330" s="115" t="s">
        <v>4162</v>
      </c>
      <c r="C4330" s="117">
        <v>5815.79</v>
      </c>
    </row>
    <row r="4331" spans="1:3" x14ac:dyDescent="0.25">
      <c r="A4331" s="115">
        <v>3191725</v>
      </c>
      <c r="B4331" s="115" t="s">
        <v>4163</v>
      </c>
      <c r="C4331" s="117">
        <v>6147.06</v>
      </c>
    </row>
    <row r="4332" spans="1:3" x14ac:dyDescent="0.25">
      <c r="A4332" s="115">
        <v>3191734</v>
      </c>
      <c r="B4332" s="115" t="s">
        <v>4164</v>
      </c>
      <c r="C4332" s="117">
        <v>5697.84</v>
      </c>
    </row>
    <row r="4333" spans="1:3" x14ac:dyDescent="0.25">
      <c r="A4333" s="115">
        <v>3191735</v>
      </c>
      <c r="B4333" s="115" t="s">
        <v>4165</v>
      </c>
      <c r="C4333" s="117">
        <v>7038.15</v>
      </c>
    </row>
    <row r="4334" spans="1:3" x14ac:dyDescent="0.25">
      <c r="A4334" s="115">
        <v>3191736</v>
      </c>
      <c r="B4334" s="115" t="s">
        <v>4166</v>
      </c>
      <c r="C4334" s="117">
        <v>3023.34</v>
      </c>
    </row>
    <row r="4335" spans="1:3" x14ac:dyDescent="0.25">
      <c r="A4335" s="115">
        <v>3191737</v>
      </c>
      <c r="B4335" s="115" t="s">
        <v>4167</v>
      </c>
      <c r="C4335" s="117">
        <v>3176.91</v>
      </c>
    </row>
    <row r="4336" spans="1:3" x14ac:dyDescent="0.25">
      <c r="A4336" s="115">
        <v>3191746</v>
      </c>
      <c r="B4336" s="115" t="s">
        <v>4168</v>
      </c>
      <c r="C4336" s="117">
        <v>8032.67</v>
      </c>
    </row>
    <row r="4337" spans="1:3" x14ac:dyDescent="0.25">
      <c r="A4337" s="115">
        <v>3191752</v>
      </c>
      <c r="B4337" s="115" t="s">
        <v>4169</v>
      </c>
      <c r="C4337" s="117">
        <v>4047.13</v>
      </c>
    </row>
    <row r="4338" spans="1:3" x14ac:dyDescent="0.25">
      <c r="A4338" s="115">
        <v>3191753</v>
      </c>
      <c r="B4338" s="115" t="s">
        <v>4170</v>
      </c>
      <c r="C4338" s="117">
        <v>5461.59</v>
      </c>
    </row>
    <row r="4339" spans="1:3" x14ac:dyDescent="0.25">
      <c r="A4339" s="115">
        <v>3191755</v>
      </c>
      <c r="B4339" s="115" t="s">
        <v>4171</v>
      </c>
      <c r="C4339" s="117">
        <v>4700.7</v>
      </c>
    </row>
    <row r="4340" spans="1:3" x14ac:dyDescent="0.25">
      <c r="A4340" s="115">
        <v>3191756</v>
      </c>
      <c r="B4340" s="115" t="s">
        <v>4172</v>
      </c>
      <c r="C4340" s="117">
        <v>10502.14</v>
      </c>
    </row>
    <row r="4341" spans="1:3" x14ac:dyDescent="0.25">
      <c r="A4341" s="115">
        <v>3191757</v>
      </c>
      <c r="B4341" s="115" t="s">
        <v>4173</v>
      </c>
      <c r="C4341" s="117">
        <v>3237.08</v>
      </c>
    </row>
    <row r="4342" spans="1:3" x14ac:dyDescent="0.25">
      <c r="A4342" s="115">
        <v>3191758</v>
      </c>
      <c r="B4342" s="115" t="s">
        <v>4174</v>
      </c>
      <c r="C4342" s="117">
        <v>7047.83</v>
      </c>
    </row>
    <row r="4343" spans="1:3" x14ac:dyDescent="0.25">
      <c r="A4343" s="115">
        <v>3191759</v>
      </c>
      <c r="B4343" s="115" t="s">
        <v>4175</v>
      </c>
      <c r="C4343" s="117">
        <v>2827.5</v>
      </c>
    </row>
    <row r="4344" spans="1:3" x14ac:dyDescent="0.25">
      <c r="A4344" s="115">
        <v>3191760</v>
      </c>
      <c r="B4344" s="115" t="s">
        <v>4176</v>
      </c>
      <c r="C4344" s="117">
        <v>2827.5</v>
      </c>
    </row>
    <row r="4345" spans="1:3" x14ac:dyDescent="0.25">
      <c r="A4345" s="115">
        <v>3191762</v>
      </c>
      <c r="B4345" s="115" t="s">
        <v>4177</v>
      </c>
      <c r="C4345" s="117">
        <v>5733.48</v>
      </c>
    </row>
    <row r="4346" spans="1:3" x14ac:dyDescent="0.25">
      <c r="A4346" s="115">
        <v>3191763</v>
      </c>
      <c r="B4346" s="115" t="s">
        <v>4178</v>
      </c>
      <c r="C4346" s="117">
        <v>6278.47</v>
      </c>
    </row>
    <row r="4347" spans="1:3" x14ac:dyDescent="0.25">
      <c r="A4347" s="115">
        <v>3190201</v>
      </c>
      <c r="B4347" s="115" t="s">
        <v>11923</v>
      </c>
      <c r="C4347" s="117">
        <v>11966.49</v>
      </c>
    </row>
    <row r="4348" spans="1:3" x14ac:dyDescent="0.25">
      <c r="A4348" s="115">
        <v>3190202</v>
      </c>
      <c r="B4348" s="115" t="s">
        <v>11924</v>
      </c>
      <c r="C4348" s="117">
        <v>13121.2</v>
      </c>
    </row>
    <row r="4349" spans="1:3" x14ac:dyDescent="0.25">
      <c r="A4349" s="144" t="s">
        <v>4179</v>
      </c>
      <c r="B4349" s="145"/>
      <c r="C4349" s="145"/>
    </row>
    <row r="4350" spans="1:3" x14ac:dyDescent="0.25">
      <c r="A4350" s="115">
        <v>1111040</v>
      </c>
      <c r="B4350" s="115" t="s">
        <v>4180</v>
      </c>
      <c r="C4350" s="117">
        <v>827.13</v>
      </c>
    </row>
    <row r="4351" spans="1:3" x14ac:dyDescent="0.25">
      <c r="A4351" s="115">
        <v>3483405</v>
      </c>
      <c r="B4351" s="115" t="s">
        <v>4181</v>
      </c>
      <c r="C4351" s="117">
        <v>861.96</v>
      </c>
    </row>
    <row r="4352" spans="1:3" x14ac:dyDescent="0.25">
      <c r="A4352" s="115">
        <v>3215226</v>
      </c>
      <c r="B4352" s="115" t="s">
        <v>4182</v>
      </c>
      <c r="C4352" s="117">
        <v>76.680000000000007</v>
      </c>
    </row>
    <row r="4353" spans="1:3" x14ac:dyDescent="0.25">
      <c r="A4353" s="115">
        <v>3239632</v>
      </c>
      <c r="B4353" s="115" t="s">
        <v>4183</v>
      </c>
      <c r="C4353" s="117">
        <v>2197.7600000000002</v>
      </c>
    </row>
    <row r="4354" spans="1:3" x14ac:dyDescent="0.25">
      <c r="A4354" s="115">
        <v>3433400</v>
      </c>
      <c r="B4354" s="115" t="s">
        <v>4184</v>
      </c>
      <c r="C4354" s="117">
        <v>223.2</v>
      </c>
    </row>
    <row r="4355" spans="1:3" x14ac:dyDescent="0.25">
      <c r="A4355" s="115">
        <v>3433200</v>
      </c>
      <c r="B4355" s="115" t="s">
        <v>4185</v>
      </c>
      <c r="C4355" s="117">
        <v>155</v>
      </c>
    </row>
    <row r="4356" spans="1:3" x14ac:dyDescent="0.25">
      <c r="A4356" s="115">
        <v>3433500</v>
      </c>
      <c r="B4356" s="115" t="s">
        <v>4186</v>
      </c>
      <c r="C4356" s="117">
        <v>155.27000000000001</v>
      </c>
    </row>
    <row r="4357" spans="1:3" x14ac:dyDescent="0.25">
      <c r="A4357" s="115">
        <v>3433300</v>
      </c>
      <c r="B4357" s="115" t="s">
        <v>4187</v>
      </c>
      <c r="C4357" s="117">
        <v>290.82</v>
      </c>
    </row>
    <row r="4358" spans="1:3" x14ac:dyDescent="0.25">
      <c r="A4358" s="115">
        <v>3245001</v>
      </c>
      <c r="B4358" s="115" t="s">
        <v>4188</v>
      </c>
      <c r="C4358" s="117">
        <v>541.78</v>
      </c>
    </row>
    <row r="4359" spans="1:3" x14ac:dyDescent="0.25">
      <c r="A4359" s="115">
        <v>4365755</v>
      </c>
      <c r="B4359" s="115" t="s">
        <v>4189</v>
      </c>
      <c r="C4359" s="117">
        <v>775.23</v>
      </c>
    </row>
    <row r="4360" spans="1:3" x14ac:dyDescent="0.25">
      <c r="A4360" s="115">
        <v>3239500</v>
      </c>
      <c r="B4360" s="115" t="s">
        <v>4190</v>
      </c>
      <c r="C4360" s="117">
        <v>9363.23</v>
      </c>
    </row>
    <row r="4361" spans="1:3" x14ac:dyDescent="0.25">
      <c r="A4361" s="144" t="s">
        <v>4191</v>
      </c>
      <c r="B4361" s="145"/>
      <c r="C4361" s="145"/>
    </row>
    <row r="4362" spans="1:3" x14ac:dyDescent="0.25">
      <c r="A4362" s="115">
        <v>3421670</v>
      </c>
      <c r="B4362" s="115" t="s">
        <v>4192</v>
      </c>
      <c r="C4362" s="117">
        <v>232.62</v>
      </c>
    </row>
    <row r="4363" spans="1:3" x14ac:dyDescent="0.25">
      <c r="A4363" s="115">
        <v>3421675</v>
      </c>
      <c r="B4363" s="115" t="s">
        <v>4193</v>
      </c>
      <c r="C4363" s="117">
        <v>271.45</v>
      </c>
    </row>
    <row r="4364" spans="1:3" x14ac:dyDescent="0.25">
      <c r="A4364" s="115">
        <v>3421690</v>
      </c>
      <c r="B4364" s="115" t="s">
        <v>4194</v>
      </c>
      <c r="C4364" s="117">
        <v>14863.85</v>
      </c>
    </row>
    <row r="4365" spans="1:3" x14ac:dyDescent="0.25">
      <c r="A4365" s="115">
        <v>3421200</v>
      </c>
      <c r="B4365" s="115" t="s">
        <v>4195</v>
      </c>
      <c r="C4365" s="117">
        <v>225.88</v>
      </c>
    </row>
    <row r="4366" spans="1:3" x14ac:dyDescent="0.25">
      <c r="A4366" s="115">
        <v>3963103</v>
      </c>
      <c r="B4366" s="115" t="s">
        <v>4196</v>
      </c>
      <c r="C4366" s="117">
        <v>499.12</v>
      </c>
    </row>
    <row r="4367" spans="1:3" x14ac:dyDescent="0.25">
      <c r="A4367" s="115">
        <v>3963100</v>
      </c>
      <c r="B4367" s="115" t="s">
        <v>4197</v>
      </c>
      <c r="C4367" s="117">
        <v>251.55</v>
      </c>
    </row>
    <row r="4368" spans="1:3" x14ac:dyDescent="0.25">
      <c r="A4368" s="115">
        <v>3963200</v>
      </c>
      <c r="B4368" s="115" t="s">
        <v>4198</v>
      </c>
      <c r="C4368" s="117">
        <v>297.39999999999998</v>
      </c>
    </row>
    <row r="4369" spans="1:3" x14ac:dyDescent="0.25">
      <c r="A4369" s="115">
        <v>3963800</v>
      </c>
      <c r="B4369" s="115" t="s">
        <v>4199</v>
      </c>
      <c r="C4369" s="117">
        <v>4277.1099999999997</v>
      </c>
    </row>
    <row r="4370" spans="1:3" x14ac:dyDescent="0.25">
      <c r="A4370" s="115">
        <v>3963750</v>
      </c>
      <c r="B4370" s="115" t="s">
        <v>4200</v>
      </c>
      <c r="C4370" s="117">
        <v>15617.78</v>
      </c>
    </row>
    <row r="4371" spans="1:3" x14ac:dyDescent="0.25">
      <c r="A4371" s="115">
        <v>3961800</v>
      </c>
      <c r="B4371" s="115" t="s">
        <v>4201</v>
      </c>
      <c r="C4371" s="117">
        <v>151.77000000000001</v>
      </c>
    </row>
    <row r="4372" spans="1:3" x14ac:dyDescent="0.25">
      <c r="A4372" s="115">
        <v>3964068</v>
      </c>
      <c r="B4372" s="115" t="s">
        <v>4202</v>
      </c>
      <c r="C4372" s="117">
        <v>29.58</v>
      </c>
    </row>
    <row r="4373" spans="1:3" x14ac:dyDescent="0.25">
      <c r="A4373" s="144" t="s">
        <v>4203</v>
      </c>
      <c r="B4373" s="145"/>
      <c r="C4373" s="145"/>
    </row>
    <row r="4374" spans="1:3" x14ac:dyDescent="0.25">
      <c r="A4374" s="115">
        <v>3515299</v>
      </c>
      <c r="B4374" s="115" t="s">
        <v>4204</v>
      </c>
      <c r="C4374" s="117">
        <v>688.3</v>
      </c>
    </row>
    <row r="4375" spans="1:3" x14ac:dyDescent="0.25">
      <c r="A4375" s="115">
        <v>3510698</v>
      </c>
      <c r="B4375" s="115" t="s">
        <v>4205</v>
      </c>
      <c r="C4375" s="117">
        <v>1465.54</v>
      </c>
    </row>
    <row r="4376" spans="1:3" x14ac:dyDescent="0.25">
      <c r="A4376" s="115">
        <v>3510699</v>
      </c>
      <c r="B4376" s="115" t="s">
        <v>4206</v>
      </c>
      <c r="C4376" s="117">
        <v>828.91</v>
      </c>
    </row>
    <row r="4377" spans="1:3" x14ac:dyDescent="0.25">
      <c r="A4377" s="115">
        <v>3510697</v>
      </c>
      <c r="B4377" s="115" t="s">
        <v>4207</v>
      </c>
      <c r="C4377" s="117">
        <v>5221.25</v>
      </c>
    </row>
    <row r="4378" spans="1:3" x14ac:dyDescent="0.25">
      <c r="A4378" s="115">
        <v>3510610</v>
      </c>
      <c r="B4378" s="115" t="s">
        <v>4208</v>
      </c>
      <c r="C4378" s="117">
        <v>6943.12</v>
      </c>
    </row>
    <row r="4379" spans="1:3" x14ac:dyDescent="0.25">
      <c r="A4379" s="115">
        <v>3511115</v>
      </c>
      <c r="B4379" s="115" t="s">
        <v>11586</v>
      </c>
      <c r="C4379" s="117">
        <v>6985.68</v>
      </c>
    </row>
    <row r="4380" spans="1:3" x14ac:dyDescent="0.25">
      <c r="A4380" s="115">
        <v>3512815</v>
      </c>
      <c r="B4380" s="115" t="s">
        <v>4209</v>
      </c>
      <c r="C4380" s="117">
        <v>6704.99</v>
      </c>
    </row>
    <row r="4381" spans="1:3" x14ac:dyDescent="0.25">
      <c r="A4381" s="115">
        <v>3516329</v>
      </c>
      <c r="B4381" s="115" t="s">
        <v>4210</v>
      </c>
      <c r="C4381" s="117">
        <v>931.83</v>
      </c>
    </row>
    <row r="4382" spans="1:3" x14ac:dyDescent="0.25">
      <c r="A4382" s="115">
        <v>3516397</v>
      </c>
      <c r="B4382" s="115" t="s">
        <v>4211</v>
      </c>
      <c r="C4382" s="117">
        <v>931.83</v>
      </c>
    </row>
    <row r="4383" spans="1:3" x14ac:dyDescent="0.25">
      <c r="A4383" s="115">
        <v>3516375</v>
      </c>
      <c r="B4383" s="115" t="s">
        <v>4212</v>
      </c>
      <c r="C4383" s="117">
        <v>931.83</v>
      </c>
    </row>
    <row r="4384" spans="1:3" x14ac:dyDescent="0.25">
      <c r="A4384" s="115">
        <v>3516385</v>
      </c>
      <c r="B4384" s="115" t="s">
        <v>4213</v>
      </c>
      <c r="C4384" s="117">
        <v>931.83</v>
      </c>
    </row>
    <row r="4385" spans="1:3" x14ac:dyDescent="0.25">
      <c r="A4385" s="115">
        <v>3510129</v>
      </c>
      <c r="B4385" s="115" t="s">
        <v>4214</v>
      </c>
      <c r="C4385" s="117">
        <v>1389.92</v>
      </c>
    </row>
    <row r="4386" spans="1:3" x14ac:dyDescent="0.25">
      <c r="A4386" s="115">
        <v>3510126</v>
      </c>
      <c r="B4386" s="115" t="s">
        <v>4215</v>
      </c>
      <c r="C4386" s="117">
        <v>1389.92</v>
      </c>
    </row>
    <row r="4387" spans="1:3" x14ac:dyDescent="0.25">
      <c r="A4387" s="115">
        <v>3510199</v>
      </c>
      <c r="B4387" s="115" t="s">
        <v>4216</v>
      </c>
      <c r="C4387" s="117">
        <v>1389.92</v>
      </c>
    </row>
    <row r="4388" spans="1:3" x14ac:dyDescent="0.25">
      <c r="A4388" s="115">
        <v>3510123</v>
      </c>
      <c r="B4388" s="115" t="s">
        <v>4217</v>
      </c>
      <c r="C4388" s="117">
        <v>1389.92</v>
      </c>
    </row>
    <row r="4389" spans="1:3" x14ac:dyDescent="0.25">
      <c r="A4389" s="115">
        <v>3510104</v>
      </c>
      <c r="B4389" s="115" t="s">
        <v>4218</v>
      </c>
      <c r="C4389" s="117">
        <v>5675.03</v>
      </c>
    </row>
    <row r="4390" spans="1:3" x14ac:dyDescent="0.25">
      <c r="A4390" s="115">
        <v>3510144</v>
      </c>
      <c r="B4390" s="115" t="s">
        <v>4219</v>
      </c>
      <c r="C4390" s="117">
        <v>1389.92</v>
      </c>
    </row>
    <row r="4391" spans="1:3" x14ac:dyDescent="0.25">
      <c r="A4391" s="115">
        <v>3510145</v>
      </c>
      <c r="B4391" s="115" t="s">
        <v>4220</v>
      </c>
      <c r="C4391" s="117">
        <v>1389.92</v>
      </c>
    </row>
    <row r="4392" spans="1:3" x14ac:dyDescent="0.25">
      <c r="A4392" s="115">
        <v>3510150</v>
      </c>
      <c r="B4392" s="115" t="s">
        <v>4221</v>
      </c>
      <c r="C4392" s="117">
        <v>1389.92</v>
      </c>
    </row>
    <row r="4393" spans="1:3" x14ac:dyDescent="0.25">
      <c r="A4393" s="115">
        <v>3510161</v>
      </c>
      <c r="B4393" s="115" t="s">
        <v>4222</v>
      </c>
      <c r="C4393" s="117">
        <v>1389.92</v>
      </c>
    </row>
    <row r="4394" spans="1:3" x14ac:dyDescent="0.25">
      <c r="A4394" s="115">
        <v>3510168</v>
      </c>
      <c r="B4394" s="115" t="s">
        <v>4223</v>
      </c>
      <c r="C4394" s="117">
        <v>1389.92</v>
      </c>
    </row>
    <row r="4395" spans="1:3" x14ac:dyDescent="0.25">
      <c r="A4395" s="115">
        <v>3510108</v>
      </c>
      <c r="B4395" s="115" t="s">
        <v>4224</v>
      </c>
      <c r="C4395" s="117">
        <v>11355.73</v>
      </c>
    </row>
    <row r="4396" spans="1:3" x14ac:dyDescent="0.25">
      <c r="A4396" s="115">
        <v>3510167</v>
      </c>
      <c r="B4396" s="115" t="s">
        <v>4225</v>
      </c>
      <c r="C4396" s="117">
        <v>1389.92</v>
      </c>
    </row>
    <row r="4397" spans="1:3" x14ac:dyDescent="0.25">
      <c r="A4397" s="115">
        <v>3510162</v>
      </c>
      <c r="B4397" s="115" t="s">
        <v>4226</v>
      </c>
      <c r="C4397" s="117">
        <v>1389.92</v>
      </c>
    </row>
    <row r="4398" spans="1:3" x14ac:dyDescent="0.25">
      <c r="A4398" s="115">
        <v>3510136</v>
      </c>
      <c r="B4398" s="115" t="s">
        <v>4227</v>
      </c>
      <c r="C4398" s="117">
        <v>1389.92</v>
      </c>
    </row>
    <row r="4399" spans="1:3" x14ac:dyDescent="0.25">
      <c r="A4399" s="115">
        <v>3510143</v>
      </c>
      <c r="B4399" s="115" t="s">
        <v>4228</v>
      </c>
      <c r="C4399" s="117">
        <v>1389.92</v>
      </c>
    </row>
    <row r="4400" spans="1:3" x14ac:dyDescent="0.25">
      <c r="A4400" s="115">
        <v>3510175</v>
      </c>
      <c r="B4400" s="115" t="s">
        <v>4229</v>
      </c>
      <c r="C4400" s="117">
        <v>1389.92</v>
      </c>
    </row>
    <row r="4401" spans="1:3" x14ac:dyDescent="0.25">
      <c r="A4401" s="115">
        <v>3510159</v>
      </c>
      <c r="B4401" s="115" t="s">
        <v>4230</v>
      </c>
      <c r="C4401" s="117">
        <v>1389.92</v>
      </c>
    </row>
    <row r="4402" spans="1:3" x14ac:dyDescent="0.25">
      <c r="A4402" s="115">
        <v>3510176</v>
      </c>
      <c r="B4402" s="115" t="s">
        <v>4231</v>
      </c>
      <c r="C4402" s="117">
        <v>1389.92</v>
      </c>
    </row>
    <row r="4403" spans="1:3" x14ac:dyDescent="0.25">
      <c r="A4403" s="115">
        <v>3510177</v>
      </c>
      <c r="B4403" s="115" t="s">
        <v>4232</v>
      </c>
      <c r="C4403" s="117">
        <v>1389.92</v>
      </c>
    </row>
    <row r="4404" spans="1:3" x14ac:dyDescent="0.25">
      <c r="A4404" s="115">
        <v>3510112</v>
      </c>
      <c r="B4404" s="115" t="s">
        <v>4233</v>
      </c>
      <c r="C4404" s="117">
        <v>13899.13</v>
      </c>
    </row>
    <row r="4405" spans="1:3" x14ac:dyDescent="0.25">
      <c r="A4405" s="115">
        <v>3510111</v>
      </c>
      <c r="B4405" s="115" t="s">
        <v>4234</v>
      </c>
      <c r="C4405" s="117">
        <v>8339.5</v>
      </c>
    </row>
    <row r="4406" spans="1:3" x14ac:dyDescent="0.25">
      <c r="A4406" s="115">
        <v>3510190</v>
      </c>
      <c r="B4406" s="115" t="s">
        <v>4235</v>
      </c>
      <c r="C4406" s="117">
        <v>1389.92</v>
      </c>
    </row>
    <row r="4407" spans="1:3" x14ac:dyDescent="0.25">
      <c r="A4407" s="115">
        <v>3510183</v>
      </c>
      <c r="B4407" s="115" t="s">
        <v>4236</v>
      </c>
      <c r="C4407" s="117">
        <v>1389.92</v>
      </c>
    </row>
    <row r="4408" spans="1:3" x14ac:dyDescent="0.25">
      <c r="A4408" s="115">
        <v>3510211</v>
      </c>
      <c r="B4408" s="115" t="s">
        <v>4237</v>
      </c>
      <c r="C4408" s="117">
        <v>502.27</v>
      </c>
    </row>
    <row r="4409" spans="1:3" x14ac:dyDescent="0.25">
      <c r="A4409" s="115">
        <v>3510213</v>
      </c>
      <c r="B4409" s="115" t="s">
        <v>4238</v>
      </c>
      <c r="C4409" s="117">
        <v>502.27</v>
      </c>
    </row>
    <row r="4410" spans="1:3" x14ac:dyDescent="0.25">
      <c r="A4410" s="115">
        <v>3510212</v>
      </c>
      <c r="B4410" s="115" t="s">
        <v>4239</v>
      </c>
      <c r="C4410" s="117">
        <v>502.27</v>
      </c>
    </row>
    <row r="4411" spans="1:3" x14ac:dyDescent="0.25">
      <c r="A4411" s="115">
        <v>3510210</v>
      </c>
      <c r="B4411" s="115" t="s">
        <v>4240</v>
      </c>
      <c r="C4411" s="117">
        <v>420.45</v>
      </c>
    </row>
    <row r="4412" spans="1:3" x14ac:dyDescent="0.25">
      <c r="A4412" s="115">
        <v>3510019</v>
      </c>
      <c r="B4412" s="115" t="s">
        <v>4241</v>
      </c>
      <c r="C4412" s="117">
        <v>4526.6499999999996</v>
      </c>
    </row>
    <row r="4413" spans="1:3" x14ac:dyDescent="0.25">
      <c r="A4413" s="115">
        <v>3510292</v>
      </c>
      <c r="B4413" s="115" t="s">
        <v>4242</v>
      </c>
      <c r="C4413" s="117">
        <v>5102.0600000000004</v>
      </c>
    </row>
    <row r="4414" spans="1:3" x14ac:dyDescent="0.25">
      <c r="A4414" s="115">
        <v>3512812</v>
      </c>
      <c r="B4414" s="115" t="s">
        <v>4243</v>
      </c>
      <c r="C4414" s="117">
        <v>8163.89</v>
      </c>
    </row>
    <row r="4415" spans="1:3" x14ac:dyDescent="0.25">
      <c r="A4415" s="115">
        <v>3512856</v>
      </c>
      <c r="B4415" s="115" t="s">
        <v>4244</v>
      </c>
      <c r="C4415" s="117">
        <v>8446.23</v>
      </c>
    </row>
    <row r="4416" spans="1:3" x14ac:dyDescent="0.25">
      <c r="A4416" s="115">
        <v>3510401</v>
      </c>
      <c r="B4416" s="115" t="s">
        <v>4245</v>
      </c>
      <c r="C4416" s="117">
        <v>3686.3</v>
      </c>
    </row>
    <row r="4417" spans="1:3" x14ac:dyDescent="0.25">
      <c r="A4417" s="115">
        <v>3547300</v>
      </c>
      <c r="B4417" s="115" t="s">
        <v>4246</v>
      </c>
      <c r="C4417" s="117">
        <v>7898.72</v>
      </c>
    </row>
    <row r="4418" spans="1:3" x14ac:dyDescent="0.25">
      <c r="A4418" s="115">
        <v>3510402</v>
      </c>
      <c r="B4418" s="115" t="s">
        <v>4247</v>
      </c>
      <c r="C4418" s="117">
        <v>15797.44</v>
      </c>
    </row>
    <row r="4419" spans="1:3" x14ac:dyDescent="0.25">
      <c r="A4419" s="115">
        <v>3510430</v>
      </c>
      <c r="B4419" s="115" t="s">
        <v>4248</v>
      </c>
      <c r="C4419" s="117">
        <v>5266.25</v>
      </c>
    </row>
    <row r="4420" spans="1:3" x14ac:dyDescent="0.25">
      <c r="A4420" s="115">
        <v>3547200</v>
      </c>
      <c r="B4420" s="115" t="s">
        <v>4249</v>
      </c>
      <c r="C4420" s="117">
        <v>4563.83</v>
      </c>
    </row>
    <row r="4421" spans="1:3" x14ac:dyDescent="0.25">
      <c r="A4421" s="115">
        <v>3510200</v>
      </c>
      <c r="B4421" s="115" t="s">
        <v>4250</v>
      </c>
      <c r="C4421" s="117">
        <v>1155.6300000000001</v>
      </c>
    </row>
    <row r="4422" spans="1:3" x14ac:dyDescent="0.25">
      <c r="A4422" s="115">
        <v>3510300</v>
      </c>
      <c r="B4422" s="115" t="s">
        <v>4251</v>
      </c>
      <c r="C4422" s="117">
        <v>840.67</v>
      </c>
    </row>
    <row r="4423" spans="1:3" x14ac:dyDescent="0.25">
      <c r="A4423" s="115">
        <v>3510350</v>
      </c>
      <c r="B4423" s="115" t="s">
        <v>4252</v>
      </c>
      <c r="C4423" s="117">
        <v>620.89</v>
      </c>
    </row>
    <row r="4424" spans="1:3" x14ac:dyDescent="0.25">
      <c r="A4424" s="115">
        <v>3515167</v>
      </c>
      <c r="B4424" s="115" t="s">
        <v>4253</v>
      </c>
      <c r="C4424" s="117">
        <v>58.9</v>
      </c>
    </row>
    <row r="4425" spans="1:3" x14ac:dyDescent="0.25">
      <c r="A4425" s="115">
        <v>3514975</v>
      </c>
      <c r="B4425" s="115" t="s">
        <v>4254</v>
      </c>
      <c r="C4425" s="117">
        <v>567.04999999999995</v>
      </c>
    </row>
    <row r="4426" spans="1:3" x14ac:dyDescent="0.25">
      <c r="A4426" s="115">
        <v>3514836</v>
      </c>
      <c r="B4426" s="115" t="s">
        <v>4255</v>
      </c>
      <c r="C4426" s="117">
        <v>567.04999999999995</v>
      </c>
    </row>
    <row r="4427" spans="1:3" x14ac:dyDescent="0.25">
      <c r="A4427" s="115">
        <v>3514875</v>
      </c>
      <c r="B4427" s="115" t="s">
        <v>4256</v>
      </c>
      <c r="C4427" s="117">
        <v>567.04999999999995</v>
      </c>
    </row>
    <row r="4428" spans="1:3" x14ac:dyDescent="0.25">
      <c r="A4428" s="115">
        <v>3514423</v>
      </c>
      <c r="B4428" s="115" t="s">
        <v>4257</v>
      </c>
      <c r="C4428" s="117">
        <v>92.06</v>
      </c>
    </row>
    <row r="4429" spans="1:3" x14ac:dyDescent="0.25">
      <c r="A4429" s="115">
        <v>3514477</v>
      </c>
      <c r="B4429" s="115" t="s">
        <v>4258</v>
      </c>
      <c r="C4429" s="117">
        <v>92.06</v>
      </c>
    </row>
    <row r="4430" spans="1:3" x14ac:dyDescent="0.25">
      <c r="A4430" s="115">
        <v>3518226</v>
      </c>
      <c r="B4430" s="115" t="s">
        <v>4259</v>
      </c>
      <c r="C4430" s="117">
        <v>650.28</v>
      </c>
    </row>
    <row r="4431" spans="1:3" x14ac:dyDescent="0.25">
      <c r="A4431" s="115">
        <v>3518229</v>
      </c>
      <c r="B4431" s="115" t="s">
        <v>4260</v>
      </c>
      <c r="C4431" s="117">
        <v>650.28</v>
      </c>
    </row>
    <row r="4432" spans="1:3" x14ac:dyDescent="0.25">
      <c r="A4432" s="115">
        <v>3518262</v>
      </c>
      <c r="B4432" s="115" t="s">
        <v>4261</v>
      </c>
      <c r="C4432" s="117">
        <v>650.28</v>
      </c>
    </row>
    <row r="4433" spans="1:3" x14ac:dyDescent="0.25">
      <c r="A4433" s="115">
        <v>3518276</v>
      </c>
      <c r="B4433" s="115" t="s">
        <v>4262</v>
      </c>
      <c r="C4433" s="117">
        <v>650.28</v>
      </c>
    </row>
    <row r="4434" spans="1:3" x14ac:dyDescent="0.25">
      <c r="A4434" s="115">
        <v>3518277</v>
      </c>
      <c r="B4434" s="115" t="s">
        <v>4263</v>
      </c>
      <c r="C4434" s="117">
        <v>650.28</v>
      </c>
    </row>
    <row r="4435" spans="1:3" x14ac:dyDescent="0.25">
      <c r="A4435" s="115">
        <v>3518283</v>
      </c>
      <c r="B4435" s="115" t="s">
        <v>4264</v>
      </c>
      <c r="C4435" s="117">
        <v>650.28</v>
      </c>
    </row>
    <row r="4436" spans="1:3" x14ac:dyDescent="0.25">
      <c r="A4436" s="115">
        <v>3518289</v>
      </c>
      <c r="B4436" s="115" t="s">
        <v>4265</v>
      </c>
      <c r="C4436" s="117">
        <v>650.28</v>
      </c>
    </row>
    <row r="4437" spans="1:3" x14ac:dyDescent="0.25">
      <c r="A4437" s="115">
        <v>3514783</v>
      </c>
      <c r="B4437" s="115" t="s">
        <v>4266</v>
      </c>
      <c r="C4437" s="117">
        <v>116.81</v>
      </c>
    </row>
    <row r="4438" spans="1:3" x14ac:dyDescent="0.25">
      <c r="A4438" s="115">
        <v>3514129</v>
      </c>
      <c r="B4438" s="115" t="s">
        <v>4267</v>
      </c>
      <c r="C4438" s="117">
        <v>105.13</v>
      </c>
    </row>
    <row r="4439" spans="1:3" x14ac:dyDescent="0.25">
      <c r="A4439" s="115">
        <v>3514183</v>
      </c>
      <c r="B4439" s="115" t="s">
        <v>4268</v>
      </c>
      <c r="C4439" s="117">
        <v>105.13</v>
      </c>
    </row>
    <row r="4440" spans="1:3" x14ac:dyDescent="0.25">
      <c r="A4440" s="115">
        <v>3514076</v>
      </c>
      <c r="B4440" s="115" t="s">
        <v>4269</v>
      </c>
      <c r="C4440" s="117">
        <v>73.59</v>
      </c>
    </row>
    <row r="4441" spans="1:3" x14ac:dyDescent="0.25">
      <c r="A4441" s="115">
        <v>3514626</v>
      </c>
      <c r="B4441" s="115" t="s">
        <v>4270</v>
      </c>
      <c r="C4441" s="117">
        <v>233.07</v>
      </c>
    </row>
    <row r="4442" spans="1:3" x14ac:dyDescent="0.25">
      <c r="A4442" s="115">
        <v>3514662</v>
      </c>
      <c r="B4442" s="115" t="s">
        <v>4271</v>
      </c>
      <c r="C4442" s="117">
        <v>233.07</v>
      </c>
    </row>
    <row r="4443" spans="1:3" x14ac:dyDescent="0.25">
      <c r="A4443" s="115">
        <v>3514676</v>
      </c>
      <c r="B4443" s="115" t="s">
        <v>4272</v>
      </c>
      <c r="C4443" s="117">
        <v>332.96</v>
      </c>
    </row>
    <row r="4444" spans="1:3" x14ac:dyDescent="0.25">
      <c r="A4444" s="115">
        <v>3514677</v>
      </c>
      <c r="B4444" s="115" t="s">
        <v>4273</v>
      </c>
      <c r="C4444" s="117">
        <v>332.96</v>
      </c>
    </row>
    <row r="4445" spans="1:3" x14ac:dyDescent="0.25">
      <c r="A4445" s="115">
        <v>3514683</v>
      </c>
      <c r="B4445" s="115" t="s">
        <v>4274</v>
      </c>
      <c r="C4445" s="117">
        <v>233.07</v>
      </c>
    </row>
    <row r="4446" spans="1:3" x14ac:dyDescent="0.25">
      <c r="A4446" s="115">
        <v>3514684</v>
      </c>
      <c r="B4446" s="115" t="s">
        <v>4275</v>
      </c>
      <c r="C4446" s="117">
        <v>332.96</v>
      </c>
    </row>
    <row r="4447" spans="1:3" x14ac:dyDescent="0.25">
      <c r="A4447" s="115">
        <v>3151601</v>
      </c>
      <c r="B4447" s="115" t="s">
        <v>4276</v>
      </c>
      <c r="C4447" s="117">
        <v>764.8</v>
      </c>
    </row>
    <row r="4448" spans="1:3" x14ac:dyDescent="0.25">
      <c r="A4448" s="115">
        <v>3512816</v>
      </c>
      <c r="B4448" s="115" t="s">
        <v>4277</v>
      </c>
      <c r="C4448" s="117">
        <v>4293.16</v>
      </c>
    </row>
    <row r="4449" spans="1:3" x14ac:dyDescent="0.25">
      <c r="A4449" s="115">
        <v>3512817</v>
      </c>
      <c r="B4449" s="115" t="s">
        <v>4278</v>
      </c>
      <c r="C4449" s="117">
        <v>3902.08</v>
      </c>
    </row>
    <row r="4450" spans="1:3" x14ac:dyDescent="0.25">
      <c r="A4450" s="115">
        <v>3515729</v>
      </c>
      <c r="B4450" s="115" t="s">
        <v>4279</v>
      </c>
      <c r="C4450" s="117">
        <v>931.83</v>
      </c>
    </row>
    <row r="4451" spans="1:3" x14ac:dyDescent="0.25">
      <c r="A4451" s="115">
        <v>3515763</v>
      </c>
      <c r="B4451" s="115" t="s">
        <v>4280</v>
      </c>
      <c r="C4451" s="117">
        <v>931.83</v>
      </c>
    </row>
    <row r="4452" spans="1:3" x14ac:dyDescent="0.25">
      <c r="A4452" s="115">
        <v>3515776</v>
      </c>
      <c r="B4452" s="115" t="s">
        <v>4281</v>
      </c>
      <c r="C4452" s="117">
        <v>931.83</v>
      </c>
    </row>
    <row r="4453" spans="1:3" x14ac:dyDescent="0.25">
      <c r="A4453" s="115">
        <v>3515783</v>
      </c>
      <c r="B4453" s="115" t="s">
        <v>4282</v>
      </c>
      <c r="C4453" s="117">
        <v>931.83</v>
      </c>
    </row>
    <row r="4454" spans="1:3" x14ac:dyDescent="0.25">
      <c r="A4454" s="115">
        <v>3511643</v>
      </c>
      <c r="B4454" s="115" t="s">
        <v>4283</v>
      </c>
      <c r="C4454" s="117">
        <v>5696.09</v>
      </c>
    </row>
    <row r="4455" spans="1:3" x14ac:dyDescent="0.25">
      <c r="A4455" s="115">
        <v>3515902</v>
      </c>
      <c r="B4455" s="115" t="s">
        <v>4284</v>
      </c>
      <c r="C4455" s="117">
        <v>2364.7199999999998</v>
      </c>
    </row>
    <row r="4456" spans="1:3" x14ac:dyDescent="0.25">
      <c r="A4456" s="115">
        <v>3515901</v>
      </c>
      <c r="B4456" s="115" t="s">
        <v>4285</v>
      </c>
      <c r="C4456" s="117">
        <v>3015.99</v>
      </c>
    </row>
    <row r="4457" spans="1:3" x14ac:dyDescent="0.25">
      <c r="A4457" s="115">
        <v>3511636</v>
      </c>
      <c r="B4457" s="115" t="s">
        <v>4286</v>
      </c>
      <c r="C4457" s="117">
        <v>7012.03</v>
      </c>
    </row>
    <row r="4458" spans="1:3" x14ac:dyDescent="0.25">
      <c r="A4458" s="115">
        <v>3511620</v>
      </c>
      <c r="B4458" s="115" t="s">
        <v>4288</v>
      </c>
      <c r="C4458" s="117">
        <v>9220.51</v>
      </c>
    </row>
    <row r="4459" spans="1:3" x14ac:dyDescent="0.25">
      <c r="A4459" s="115">
        <v>3511612</v>
      </c>
      <c r="B4459" s="115" t="s">
        <v>4287</v>
      </c>
      <c r="C4459" s="117">
        <v>2899.17</v>
      </c>
    </row>
    <row r="4460" spans="1:3" x14ac:dyDescent="0.25">
      <c r="A4460" s="115">
        <v>3612065</v>
      </c>
      <c r="B4460" s="115" t="s">
        <v>4289</v>
      </c>
      <c r="C4460" s="117">
        <v>2053.5300000000002</v>
      </c>
    </row>
    <row r="4461" spans="1:3" x14ac:dyDescent="0.25">
      <c r="A4461" s="115">
        <v>3612066</v>
      </c>
      <c r="B4461" s="115" t="s">
        <v>4290</v>
      </c>
      <c r="C4461" s="117">
        <v>2053.5300000000002</v>
      </c>
    </row>
    <row r="4462" spans="1:3" x14ac:dyDescent="0.25">
      <c r="A4462" s="115">
        <v>3515829</v>
      </c>
      <c r="B4462" s="115" t="s">
        <v>4291</v>
      </c>
      <c r="C4462" s="117">
        <v>189.46</v>
      </c>
    </row>
    <row r="4463" spans="1:3" x14ac:dyDescent="0.25">
      <c r="A4463" s="115">
        <v>3515862</v>
      </c>
      <c r="B4463" s="115" t="s">
        <v>4292</v>
      </c>
      <c r="C4463" s="117">
        <v>189.46</v>
      </c>
    </row>
    <row r="4464" spans="1:3" x14ac:dyDescent="0.25">
      <c r="A4464" s="115">
        <v>3515876</v>
      </c>
      <c r="B4464" s="115" t="s">
        <v>4293</v>
      </c>
      <c r="C4464" s="117">
        <v>189.46</v>
      </c>
    </row>
    <row r="4465" spans="1:3" x14ac:dyDescent="0.25">
      <c r="A4465" s="115">
        <v>3515838</v>
      </c>
      <c r="B4465" s="115" t="s">
        <v>4294</v>
      </c>
      <c r="C4465" s="117">
        <v>189.46</v>
      </c>
    </row>
    <row r="4466" spans="1:3" x14ac:dyDescent="0.25">
      <c r="A4466" s="115">
        <v>3515883</v>
      </c>
      <c r="B4466" s="115" t="s">
        <v>4295</v>
      </c>
      <c r="C4466" s="117">
        <v>189.46</v>
      </c>
    </row>
    <row r="4467" spans="1:3" x14ac:dyDescent="0.25">
      <c r="A4467" s="115">
        <v>3515629</v>
      </c>
      <c r="B4467" s="115" t="s">
        <v>4296</v>
      </c>
      <c r="C4467" s="117">
        <v>986.57</v>
      </c>
    </row>
    <row r="4468" spans="1:3" x14ac:dyDescent="0.25">
      <c r="A4468" s="115">
        <v>3515663</v>
      </c>
      <c r="B4468" s="115" t="s">
        <v>4297</v>
      </c>
      <c r="C4468" s="117">
        <v>986.57</v>
      </c>
    </row>
    <row r="4469" spans="1:3" x14ac:dyDescent="0.25">
      <c r="A4469" s="115">
        <v>3515676</v>
      </c>
      <c r="B4469" s="115" t="s">
        <v>4298</v>
      </c>
      <c r="C4469" s="117">
        <v>986.57</v>
      </c>
    </row>
    <row r="4470" spans="1:3" x14ac:dyDescent="0.25">
      <c r="A4470" s="115">
        <v>3515683</v>
      </c>
      <c r="B4470" s="115" t="s">
        <v>4299</v>
      </c>
      <c r="C4470" s="117">
        <v>986.57</v>
      </c>
    </row>
    <row r="4471" spans="1:3" x14ac:dyDescent="0.25">
      <c r="A4471" s="115">
        <v>3515529</v>
      </c>
      <c r="B4471" s="115" t="s">
        <v>4300</v>
      </c>
      <c r="C4471" s="117">
        <v>986.57</v>
      </c>
    </row>
    <row r="4472" spans="1:3" x14ac:dyDescent="0.25">
      <c r="A4472" s="115">
        <v>3515563</v>
      </c>
      <c r="B4472" s="115" t="s">
        <v>4301</v>
      </c>
      <c r="C4472" s="117">
        <v>986.57</v>
      </c>
    </row>
    <row r="4473" spans="1:3" x14ac:dyDescent="0.25">
      <c r="A4473" s="115">
        <v>3515576</v>
      </c>
      <c r="B4473" s="115" t="s">
        <v>4302</v>
      </c>
      <c r="C4473" s="117">
        <v>986.57</v>
      </c>
    </row>
    <row r="4474" spans="1:3" x14ac:dyDescent="0.25">
      <c r="A4474" s="115">
        <v>3515583</v>
      </c>
      <c r="B4474" s="115" t="s">
        <v>4303</v>
      </c>
      <c r="C4474" s="117">
        <v>986.57</v>
      </c>
    </row>
    <row r="4475" spans="1:3" x14ac:dyDescent="0.25">
      <c r="A4475" s="115">
        <v>3688526</v>
      </c>
      <c r="B4475" s="115" t="s">
        <v>4304</v>
      </c>
      <c r="C4475" s="117">
        <v>1176.97</v>
      </c>
    </row>
    <row r="4476" spans="1:3" x14ac:dyDescent="0.25">
      <c r="A4476" s="115">
        <v>3688523</v>
      </c>
      <c r="B4476" s="115" t="s">
        <v>4305</v>
      </c>
      <c r="C4476" s="117">
        <v>1176.97</v>
      </c>
    </row>
    <row r="4477" spans="1:3" x14ac:dyDescent="0.25">
      <c r="A4477" s="115">
        <v>3688538</v>
      </c>
      <c r="B4477" s="115" t="s">
        <v>4306</v>
      </c>
      <c r="C4477" s="117">
        <v>823.88</v>
      </c>
    </row>
    <row r="4478" spans="1:3" x14ac:dyDescent="0.25">
      <c r="A4478" s="115">
        <v>3688562</v>
      </c>
      <c r="B4478" s="115" t="s">
        <v>4307</v>
      </c>
      <c r="C4478" s="117">
        <v>1176.97</v>
      </c>
    </row>
    <row r="4479" spans="1:3" x14ac:dyDescent="0.25">
      <c r="A4479" s="115">
        <v>3688583</v>
      </c>
      <c r="B4479" s="115" t="s">
        <v>4308</v>
      </c>
      <c r="C4479" s="117">
        <v>1176.97</v>
      </c>
    </row>
    <row r="4480" spans="1:3" x14ac:dyDescent="0.25">
      <c r="A4480" s="115">
        <v>3510293</v>
      </c>
      <c r="B4480" s="115" t="s">
        <v>4309</v>
      </c>
      <c r="C4480" s="117">
        <v>658.73</v>
      </c>
    </row>
    <row r="4481" spans="1:3" x14ac:dyDescent="0.25">
      <c r="A4481" s="115">
        <v>3510288</v>
      </c>
      <c r="B4481" s="115" t="s">
        <v>4310</v>
      </c>
      <c r="C4481" s="117">
        <v>7691.26</v>
      </c>
    </row>
    <row r="4482" spans="1:3" x14ac:dyDescent="0.25">
      <c r="A4482" s="115">
        <v>3510287</v>
      </c>
      <c r="B4482" s="115" t="s">
        <v>4311</v>
      </c>
      <c r="C4482" s="117">
        <v>7691.26</v>
      </c>
    </row>
    <row r="4483" spans="1:3" x14ac:dyDescent="0.25">
      <c r="A4483" s="115">
        <v>3510291</v>
      </c>
      <c r="B4483" s="115" t="s">
        <v>4312</v>
      </c>
      <c r="C4483" s="117">
        <v>5724.44</v>
      </c>
    </row>
    <row r="4484" spans="1:3" x14ac:dyDescent="0.25">
      <c r="A4484" s="115">
        <v>3510290</v>
      </c>
      <c r="B4484" s="115" t="s">
        <v>4313</v>
      </c>
      <c r="C4484" s="117">
        <v>5724.44</v>
      </c>
    </row>
    <row r="4485" spans="1:3" x14ac:dyDescent="0.25">
      <c r="A4485" s="115">
        <v>3510289</v>
      </c>
      <c r="B4485" s="115" t="s">
        <v>4314</v>
      </c>
      <c r="C4485" s="117">
        <v>5724.44</v>
      </c>
    </row>
    <row r="4486" spans="1:3" x14ac:dyDescent="0.25">
      <c r="A4486" s="115">
        <v>3510286</v>
      </c>
      <c r="B4486" s="115" t="s">
        <v>4315</v>
      </c>
      <c r="C4486" s="117">
        <v>7691.26</v>
      </c>
    </row>
    <row r="4487" spans="1:3" x14ac:dyDescent="0.25">
      <c r="A4487" s="115">
        <v>3511013</v>
      </c>
      <c r="B4487" s="115" t="s">
        <v>4316</v>
      </c>
      <c r="C4487" s="117">
        <v>6587.4</v>
      </c>
    </row>
    <row r="4488" spans="1:3" x14ac:dyDescent="0.25">
      <c r="A4488" s="115">
        <v>3510255</v>
      </c>
      <c r="B4488" s="115" t="s">
        <v>4317</v>
      </c>
      <c r="C4488" s="117">
        <v>843.52</v>
      </c>
    </row>
    <row r="4489" spans="1:3" x14ac:dyDescent="0.25">
      <c r="A4489" s="115">
        <v>3510254</v>
      </c>
      <c r="B4489" s="115" t="s">
        <v>4318</v>
      </c>
      <c r="C4489" s="117">
        <v>1962.13</v>
      </c>
    </row>
    <row r="4490" spans="1:3" x14ac:dyDescent="0.25">
      <c r="A4490" s="115">
        <v>3510208</v>
      </c>
      <c r="B4490" s="115" t="s">
        <v>4319</v>
      </c>
      <c r="C4490" s="117">
        <v>587.76</v>
      </c>
    </row>
    <row r="4491" spans="1:3" x14ac:dyDescent="0.25">
      <c r="A4491" s="115">
        <v>3510276</v>
      </c>
      <c r="B4491" s="115" t="s">
        <v>4320</v>
      </c>
      <c r="C4491" s="117">
        <v>2372.06</v>
      </c>
    </row>
    <row r="4492" spans="1:3" x14ac:dyDescent="0.25">
      <c r="A4492" s="115">
        <v>3510279</v>
      </c>
      <c r="B4492" s="115" t="s">
        <v>4321</v>
      </c>
      <c r="C4492" s="117">
        <v>2668.63</v>
      </c>
    </row>
    <row r="4493" spans="1:3" x14ac:dyDescent="0.25">
      <c r="A4493" s="115">
        <v>3510278</v>
      </c>
      <c r="B4493" s="115" t="s">
        <v>4322</v>
      </c>
      <c r="C4493" s="117">
        <v>2372.06</v>
      </c>
    </row>
    <row r="4494" spans="1:3" x14ac:dyDescent="0.25">
      <c r="A4494" s="115">
        <v>3510277</v>
      </c>
      <c r="B4494" s="115" t="s">
        <v>4323</v>
      </c>
      <c r="C4494" s="117">
        <v>1875.39</v>
      </c>
    </row>
    <row r="4495" spans="1:3" x14ac:dyDescent="0.25">
      <c r="A4495" s="115">
        <v>3510275</v>
      </c>
      <c r="B4495" s="115" t="s">
        <v>4324</v>
      </c>
      <c r="C4495" s="117">
        <v>3521.06</v>
      </c>
    </row>
    <row r="4496" spans="1:3" x14ac:dyDescent="0.25">
      <c r="A4496" s="115">
        <v>3510274</v>
      </c>
      <c r="B4496" s="115" t="s">
        <v>4325</v>
      </c>
      <c r="C4496" s="117">
        <v>5707.87</v>
      </c>
    </row>
    <row r="4497" spans="1:3" x14ac:dyDescent="0.25">
      <c r="A4497" s="115">
        <v>3510273</v>
      </c>
      <c r="B4497" s="115" t="s">
        <v>4326</v>
      </c>
      <c r="C4497" s="117">
        <v>1126.72</v>
      </c>
    </row>
    <row r="4498" spans="1:3" x14ac:dyDescent="0.25">
      <c r="A4498" s="115">
        <v>3510271</v>
      </c>
      <c r="B4498" s="115" t="s">
        <v>4327</v>
      </c>
      <c r="C4498" s="117">
        <v>3839.8</v>
      </c>
    </row>
    <row r="4499" spans="1:3" x14ac:dyDescent="0.25">
      <c r="A4499" s="115">
        <v>3510272</v>
      </c>
      <c r="B4499" s="115" t="s">
        <v>4328</v>
      </c>
      <c r="C4499" s="117">
        <v>3839.8</v>
      </c>
    </row>
    <row r="4500" spans="1:3" x14ac:dyDescent="0.25">
      <c r="A4500" s="115">
        <v>3510270</v>
      </c>
      <c r="B4500" s="115" t="s">
        <v>4329</v>
      </c>
      <c r="C4500" s="117">
        <v>3839.8</v>
      </c>
    </row>
    <row r="4501" spans="1:3" x14ac:dyDescent="0.25">
      <c r="A4501" s="115">
        <v>3510207</v>
      </c>
      <c r="B4501" s="115" t="s">
        <v>4330</v>
      </c>
      <c r="C4501" s="117">
        <v>1126.72</v>
      </c>
    </row>
    <row r="4502" spans="1:3" x14ac:dyDescent="0.25">
      <c r="A4502" s="115">
        <v>3510253</v>
      </c>
      <c r="B4502" s="115" t="s">
        <v>4331</v>
      </c>
      <c r="C4502" s="117">
        <v>1687.96</v>
      </c>
    </row>
    <row r="4503" spans="1:3" x14ac:dyDescent="0.25">
      <c r="A4503" s="115">
        <v>3510250</v>
      </c>
      <c r="B4503" s="115" t="s">
        <v>4332</v>
      </c>
      <c r="C4503" s="117">
        <v>1014.03</v>
      </c>
    </row>
    <row r="4504" spans="1:3" x14ac:dyDescent="0.25">
      <c r="A4504" s="115">
        <v>3510245</v>
      </c>
      <c r="B4504" s="115" t="s">
        <v>4333</v>
      </c>
      <c r="C4504" s="117">
        <v>333.36</v>
      </c>
    </row>
    <row r="4505" spans="1:3" x14ac:dyDescent="0.25">
      <c r="A4505" s="115">
        <v>3510247</v>
      </c>
      <c r="B4505" s="115" t="s">
        <v>4334</v>
      </c>
      <c r="C4505" s="117">
        <v>333.36</v>
      </c>
    </row>
    <row r="4506" spans="1:3" x14ac:dyDescent="0.25">
      <c r="A4506" s="115">
        <v>3510240</v>
      </c>
      <c r="B4506" s="115" t="s">
        <v>4335</v>
      </c>
      <c r="C4506" s="117">
        <v>333.36</v>
      </c>
    </row>
    <row r="4507" spans="1:3" x14ac:dyDescent="0.25">
      <c r="A4507" s="115">
        <v>3510243</v>
      </c>
      <c r="B4507" s="115" t="s">
        <v>4336</v>
      </c>
      <c r="C4507" s="117">
        <v>333.36</v>
      </c>
    </row>
    <row r="4508" spans="1:3" x14ac:dyDescent="0.25">
      <c r="A4508" s="115">
        <v>3510249</v>
      </c>
      <c r="B4508" s="115" t="s">
        <v>4337</v>
      </c>
      <c r="C4508" s="117">
        <v>233.35</v>
      </c>
    </row>
    <row r="4509" spans="1:3" x14ac:dyDescent="0.25">
      <c r="A4509" s="115">
        <v>3510244</v>
      </c>
      <c r="B4509" s="115" t="s">
        <v>4338</v>
      </c>
      <c r="C4509" s="117">
        <v>333.36</v>
      </c>
    </row>
    <row r="4510" spans="1:3" x14ac:dyDescent="0.25">
      <c r="A4510" s="115">
        <v>3510248</v>
      </c>
      <c r="B4510" s="115" t="s">
        <v>4339</v>
      </c>
      <c r="C4510" s="117">
        <v>333.36</v>
      </c>
    </row>
    <row r="4511" spans="1:3" x14ac:dyDescent="0.25">
      <c r="A4511" s="115">
        <v>3510241</v>
      </c>
      <c r="B4511" s="115" t="s">
        <v>4340</v>
      </c>
      <c r="C4511" s="117">
        <v>333.36</v>
      </c>
    </row>
    <row r="4512" spans="1:3" x14ac:dyDescent="0.25">
      <c r="A4512" s="115">
        <v>3510239</v>
      </c>
      <c r="B4512" s="115" t="s">
        <v>4341</v>
      </c>
      <c r="C4512" s="117">
        <v>3336.04</v>
      </c>
    </row>
    <row r="4513" spans="1:3" x14ac:dyDescent="0.25">
      <c r="A4513" s="115">
        <v>3510206</v>
      </c>
      <c r="B4513" s="115" t="s">
        <v>4342</v>
      </c>
      <c r="C4513" s="117">
        <v>2001.67</v>
      </c>
    </row>
    <row r="4514" spans="1:3" x14ac:dyDescent="0.25">
      <c r="A4514" s="115">
        <v>3510246</v>
      </c>
      <c r="B4514" s="115" t="s">
        <v>4343</v>
      </c>
      <c r="C4514" s="117">
        <v>333.36</v>
      </c>
    </row>
    <row r="4515" spans="1:3" x14ac:dyDescent="0.25">
      <c r="A4515" s="115">
        <v>3510242</v>
      </c>
      <c r="B4515" s="115" t="s">
        <v>4344</v>
      </c>
      <c r="C4515" s="117">
        <v>333.36</v>
      </c>
    </row>
    <row r="4516" spans="1:3" x14ac:dyDescent="0.25">
      <c r="A4516" s="115">
        <v>3519399</v>
      </c>
      <c r="B4516" s="115" t="s">
        <v>4345</v>
      </c>
      <c r="C4516" s="117">
        <v>46941.54</v>
      </c>
    </row>
    <row r="4517" spans="1:3" x14ac:dyDescent="0.25">
      <c r="A4517" s="115">
        <v>3519612</v>
      </c>
      <c r="B4517" s="115" t="s">
        <v>4346</v>
      </c>
      <c r="C4517" s="117">
        <v>17693.349999999999</v>
      </c>
    </row>
    <row r="4518" spans="1:3" x14ac:dyDescent="0.25">
      <c r="A4518" s="115">
        <v>3519605</v>
      </c>
      <c r="B4518" s="115" t="s">
        <v>4347</v>
      </c>
      <c r="C4518" s="117">
        <v>9629.0300000000007</v>
      </c>
    </row>
    <row r="4519" spans="1:3" x14ac:dyDescent="0.25">
      <c r="A4519" s="115">
        <v>3517800</v>
      </c>
      <c r="B4519" s="115" t="s">
        <v>4348</v>
      </c>
      <c r="C4519" s="117">
        <v>6499.6</v>
      </c>
    </row>
    <row r="4520" spans="1:3" x14ac:dyDescent="0.25">
      <c r="A4520" s="115">
        <v>3519309</v>
      </c>
      <c r="B4520" s="115" t="s">
        <v>4349</v>
      </c>
      <c r="C4520" s="117">
        <v>8786.49</v>
      </c>
    </row>
    <row r="4521" spans="1:3" x14ac:dyDescent="0.25">
      <c r="A4521" s="115">
        <v>3516726</v>
      </c>
      <c r="B4521" s="115" t="s">
        <v>4350</v>
      </c>
      <c r="C4521" s="117">
        <v>493.49</v>
      </c>
    </row>
    <row r="4522" spans="1:3" x14ac:dyDescent="0.25">
      <c r="A4522" s="115">
        <v>3516729</v>
      </c>
      <c r="B4522" s="115" t="s">
        <v>4351</v>
      </c>
      <c r="C4522" s="117">
        <v>493.49</v>
      </c>
    </row>
    <row r="4523" spans="1:3" x14ac:dyDescent="0.25">
      <c r="A4523" s="115">
        <v>3516767</v>
      </c>
      <c r="B4523" s="115" t="s">
        <v>4352</v>
      </c>
      <c r="C4523" s="117">
        <v>345.44</v>
      </c>
    </row>
    <row r="4524" spans="1:3" x14ac:dyDescent="0.25">
      <c r="A4524" s="115">
        <v>3516762</v>
      </c>
      <c r="B4524" s="115" t="s">
        <v>4353</v>
      </c>
      <c r="C4524" s="117">
        <v>493.49</v>
      </c>
    </row>
    <row r="4525" spans="1:3" x14ac:dyDescent="0.25">
      <c r="A4525" s="115">
        <v>3516777</v>
      </c>
      <c r="B4525" s="115" t="s">
        <v>4354</v>
      </c>
      <c r="C4525" s="117">
        <v>345.44</v>
      </c>
    </row>
    <row r="4526" spans="1:3" x14ac:dyDescent="0.25">
      <c r="A4526" s="115">
        <v>3516783</v>
      </c>
      <c r="B4526" s="115" t="s">
        <v>4355</v>
      </c>
      <c r="C4526" s="117">
        <v>493.49</v>
      </c>
    </row>
    <row r="4527" spans="1:3" x14ac:dyDescent="0.25">
      <c r="A4527" s="115">
        <v>3516784</v>
      </c>
      <c r="B4527" s="115" t="s">
        <v>4356</v>
      </c>
      <c r="C4527" s="117">
        <v>493.49</v>
      </c>
    </row>
    <row r="4528" spans="1:3" x14ac:dyDescent="0.25">
      <c r="A4528" s="115">
        <v>3518910</v>
      </c>
      <c r="B4528" s="115" t="s">
        <v>4357</v>
      </c>
      <c r="C4528" s="117">
        <v>5356.15</v>
      </c>
    </row>
    <row r="4529" spans="1:3" x14ac:dyDescent="0.25">
      <c r="A4529" s="115">
        <v>3518920</v>
      </c>
      <c r="B4529" s="115" t="s">
        <v>4358</v>
      </c>
      <c r="C4529" s="117">
        <v>11073.39</v>
      </c>
    </row>
    <row r="4530" spans="1:3" x14ac:dyDescent="0.25">
      <c r="A4530" s="115">
        <v>3518906</v>
      </c>
      <c r="B4530" s="115" t="s">
        <v>4359</v>
      </c>
      <c r="C4530" s="117">
        <v>3129.44</v>
      </c>
    </row>
    <row r="4531" spans="1:3" x14ac:dyDescent="0.25">
      <c r="A4531" s="115">
        <v>3519308</v>
      </c>
      <c r="B4531" s="115" t="s">
        <v>4360</v>
      </c>
      <c r="C4531" s="117">
        <v>1757.3</v>
      </c>
    </row>
    <row r="4532" spans="1:3" x14ac:dyDescent="0.25">
      <c r="A4532" s="115">
        <v>3519613</v>
      </c>
      <c r="B4532" s="115" t="s">
        <v>4361</v>
      </c>
      <c r="C4532" s="117">
        <v>5897.78</v>
      </c>
    </row>
    <row r="4533" spans="1:3" x14ac:dyDescent="0.25">
      <c r="A4533" s="115">
        <v>3519210</v>
      </c>
      <c r="B4533" s="115" t="s">
        <v>4362</v>
      </c>
      <c r="C4533" s="117">
        <v>2238.75</v>
      </c>
    </row>
    <row r="4534" spans="1:3" x14ac:dyDescent="0.25">
      <c r="A4534" s="115">
        <v>3519220</v>
      </c>
      <c r="B4534" s="115" t="s">
        <v>4363</v>
      </c>
      <c r="C4534" s="117">
        <v>4333.07</v>
      </c>
    </row>
    <row r="4535" spans="1:3" x14ac:dyDescent="0.25">
      <c r="A4535" s="115">
        <v>3519206</v>
      </c>
      <c r="B4535" s="115" t="s">
        <v>4364</v>
      </c>
      <c r="C4535" s="117">
        <v>1408.25</v>
      </c>
    </row>
    <row r="4536" spans="1:3" x14ac:dyDescent="0.25">
      <c r="A4536" s="115">
        <v>3519263</v>
      </c>
      <c r="B4536" s="115" t="s">
        <v>4365</v>
      </c>
      <c r="C4536" s="117">
        <v>222.67</v>
      </c>
    </row>
    <row r="4537" spans="1:3" x14ac:dyDescent="0.25">
      <c r="A4537" s="115">
        <v>3510041</v>
      </c>
      <c r="B4537" s="115" t="s">
        <v>4366</v>
      </c>
      <c r="C4537" s="117">
        <v>285.45999999999998</v>
      </c>
    </row>
    <row r="4538" spans="1:3" x14ac:dyDescent="0.25">
      <c r="A4538" s="115">
        <v>3510046</v>
      </c>
      <c r="B4538" s="115" t="s">
        <v>4367</v>
      </c>
      <c r="C4538" s="117">
        <v>285.45999999999998</v>
      </c>
    </row>
    <row r="4539" spans="1:3" x14ac:dyDescent="0.25">
      <c r="A4539" s="115">
        <v>3510040</v>
      </c>
      <c r="B4539" s="115" t="s">
        <v>4368</v>
      </c>
      <c r="C4539" s="117">
        <v>285.45999999999998</v>
      </c>
    </row>
    <row r="4540" spans="1:3" x14ac:dyDescent="0.25">
      <c r="A4540" s="115">
        <v>3512706</v>
      </c>
      <c r="B4540" s="115" t="s">
        <v>4369</v>
      </c>
      <c r="C4540" s="117">
        <v>775</v>
      </c>
    </row>
    <row r="4541" spans="1:3" x14ac:dyDescent="0.25">
      <c r="A4541" s="115">
        <v>3512729</v>
      </c>
      <c r="B4541" s="115" t="s">
        <v>4370</v>
      </c>
      <c r="C4541" s="117">
        <v>111.98</v>
      </c>
    </row>
    <row r="4542" spans="1:3" x14ac:dyDescent="0.25">
      <c r="A4542" s="115">
        <v>3512776</v>
      </c>
      <c r="B4542" s="115" t="s">
        <v>4371</v>
      </c>
      <c r="C4542" s="117">
        <v>159.97</v>
      </c>
    </row>
    <row r="4543" spans="1:3" x14ac:dyDescent="0.25">
      <c r="A4543" s="115">
        <v>3512783</v>
      </c>
      <c r="B4543" s="115" t="s">
        <v>4372</v>
      </c>
      <c r="C4543" s="117">
        <v>111.98</v>
      </c>
    </row>
    <row r="4544" spans="1:3" x14ac:dyDescent="0.25">
      <c r="A4544" s="115">
        <v>3512763</v>
      </c>
      <c r="B4544" s="115" t="s">
        <v>4373</v>
      </c>
      <c r="C4544" s="117">
        <v>111.98</v>
      </c>
    </row>
    <row r="4545" spans="1:3" x14ac:dyDescent="0.25">
      <c r="A4545" s="115">
        <v>3511112</v>
      </c>
      <c r="B4545" s="115" t="s">
        <v>4374</v>
      </c>
      <c r="C4545" s="117">
        <v>6019.82</v>
      </c>
    </row>
    <row r="4546" spans="1:3" x14ac:dyDescent="0.25">
      <c r="A4546" s="115">
        <v>3511012</v>
      </c>
      <c r="B4546" s="115" t="s">
        <v>4375</v>
      </c>
      <c r="C4546" s="117">
        <v>9168</v>
      </c>
    </row>
    <row r="4547" spans="1:3" x14ac:dyDescent="0.25">
      <c r="A4547" s="115">
        <v>3511245</v>
      </c>
      <c r="B4547" s="115" t="s">
        <v>4376</v>
      </c>
      <c r="C4547" s="117">
        <v>10483.25</v>
      </c>
    </row>
    <row r="4548" spans="1:3" x14ac:dyDescent="0.25">
      <c r="A4548" s="115">
        <v>3511269</v>
      </c>
      <c r="B4548" s="115" t="s">
        <v>4377</v>
      </c>
      <c r="C4548" s="117">
        <v>4508.3</v>
      </c>
    </row>
    <row r="4549" spans="1:3" x14ac:dyDescent="0.25">
      <c r="A4549" s="115">
        <v>3513006</v>
      </c>
      <c r="B4549" s="115" t="s">
        <v>4378</v>
      </c>
      <c r="C4549" s="117">
        <v>9288.75</v>
      </c>
    </row>
    <row r="4550" spans="1:3" x14ac:dyDescent="0.25">
      <c r="A4550" s="115">
        <v>3518629</v>
      </c>
      <c r="B4550" s="115" t="s">
        <v>4379</v>
      </c>
      <c r="C4550" s="117">
        <v>1304.24</v>
      </c>
    </row>
    <row r="4551" spans="1:3" x14ac:dyDescent="0.25">
      <c r="A4551" s="115">
        <v>3518663</v>
      </c>
      <c r="B4551" s="115" t="s">
        <v>4380</v>
      </c>
      <c r="C4551" s="117">
        <v>1304.24</v>
      </c>
    </row>
    <row r="4552" spans="1:3" x14ac:dyDescent="0.25">
      <c r="A4552" s="115">
        <v>3518683</v>
      </c>
      <c r="B4552" s="115" t="s">
        <v>4381</v>
      </c>
      <c r="C4552" s="117">
        <v>912.97</v>
      </c>
    </row>
    <row r="4553" spans="1:3" x14ac:dyDescent="0.25">
      <c r="A4553" s="115">
        <v>3512095</v>
      </c>
      <c r="B4553" s="115" t="s">
        <v>4382</v>
      </c>
      <c r="C4553" s="117">
        <v>5152.53</v>
      </c>
    </row>
    <row r="4554" spans="1:3" x14ac:dyDescent="0.25">
      <c r="A4554" s="115">
        <v>3510285</v>
      </c>
      <c r="B4554" s="115" t="s">
        <v>4383</v>
      </c>
      <c r="C4554" s="117">
        <v>2477.09</v>
      </c>
    </row>
    <row r="4555" spans="1:3" x14ac:dyDescent="0.25">
      <c r="A4555" s="115">
        <v>3510284</v>
      </c>
      <c r="B4555" s="115" t="s">
        <v>4384</v>
      </c>
      <c r="C4555" s="117">
        <v>2477.09</v>
      </c>
    </row>
    <row r="4556" spans="1:3" x14ac:dyDescent="0.25">
      <c r="A4556" s="115">
        <v>3510110</v>
      </c>
      <c r="B4556" s="115" t="s">
        <v>4385</v>
      </c>
      <c r="C4556" s="117">
        <v>3784.72</v>
      </c>
    </row>
    <row r="4557" spans="1:3" x14ac:dyDescent="0.25">
      <c r="A4557" s="115">
        <v>3510106</v>
      </c>
      <c r="B4557" s="115" t="s">
        <v>4386</v>
      </c>
      <c r="C4557" s="117">
        <v>2387.9899999999998</v>
      </c>
    </row>
    <row r="4558" spans="1:3" x14ac:dyDescent="0.25">
      <c r="A4558" s="115">
        <v>3510120</v>
      </c>
      <c r="B4558" s="115" t="s">
        <v>4387</v>
      </c>
      <c r="C4558" s="117">
        <v>10490.19</v>
      </c>
    </row>
    <row r="4559" spans="1:3" x14ac:dyDescent="0.25">
      <c r="A4559" s="115">
        <v>3511008</v>
      </c>
      <c r="B4559" s="115" t="s">
        <v>11587</v>
      </c>
      <c r="C4559" s="117">
        <v>3059.45</v>
      </c>
    </row>
    <row r="4560" spans="1:3" x14ac:dyDescent="0.25">
      <c r="A4560" s="115">
        <v>3511010</v>
      </c>
      <c r="B4560" s="115" t="s">
        <v>11588</v>
      </c>
      <c r="C4560" s="117">
        <v>3206.76</v>
      </c>
    </row>
    <row r="4561" spans="1:3" x14ac:dyDescent="0.25">
      <c r="A4561" s="115">
        <v>3121621</v>
      </c>
      <c r="B4561" s="115" t="s">
        <v>4388</v>
      </c>
      <c r="C4561" s="117">
        <v>2284.02</v>
      </c>
    </row>
    <row r="4562" spans="1:3" x14ac:dyDescent="0.25">
      <c r="A4562" s="115">
        <v>3121606</v>
      </c>
      <c r="B4562" s="115" t="s">
        <v>4389</v>
      </c>
      <c r="C4562" s="117">
        <v>986.7</v>
      </c>
    </row>
    <row r="4563" spans="1:3" x14ac:dyDescent="0.25">
      <c r="A4563" s="115">
        <v>3511110</v>
      </c>
      <c r="B4563" s="115" t="s">
        <v>11589</v>
      </c>
      <c r="C4563" s="117">
        <v>5673.51</v>
      </c>
    </row>
    <row r="4564" spans="1:3" x14ac:dyDescent="0.25">
      <c r="A4564" s="115">
        <v>3121610</v>
      </c>
      <c r="B4564" s="115" t="s">
        <v>11590</v>
      </c>
      <c r="C4564" s="117">
        <v>4755.33</v>
      </c>
    </row>
    <row r="4565" spans="1:3" x14ac:dyDescent="0.25">
      <c r="A4565" s="115">
        <v>3510611</v>
      </c>
      <c r="B4565" s="115" t="s">
        <v>4390</v>
      </c>
      <c r="C4565" s="117">
        <v>1057.01</v>
      </c>
    </row>
    <row r="4566" spans="1:3" x14ac:dyDescent="0.25">
      <c r="A4566" s="115">
        <v>3517029</v>
      </c>
      <c r="B4566" s="115" t="s">
        <v>4391</v>
      </c>
      <c r="C4566" s="117">
        <v>826.06</v>
      </c>
    </row>
    <row r="4567" spans="1:3" x14ac:dyDescent="0.25">
      <c r="A4567" s="115">
        <v>3517063</v>
      </c>
      <c r="B4567" s="115" t="s">
        <v>4392</v>
      </c>
      <c r="C4567" s="117">
        <v>826.06</v>
      </c>
    </row>
    <row r="4568" spans="1:3" x14ac:dyDescent="0.25">
      <c r="A4568" s="115">
        <v>3517076</v>
      </c>
      <c r="B4568" s="115" t="s">
        <v>4393</v>
      </c>
      <c r="C4568" s="117">
        <v>826.06</v>
      </c>
    </row>
    <row r="4569" spans="1:3" x14ac:dyDescent="0.25">
      <c r="A4569" s="115">
        <v>3517083</v>
      </c>
      <c r="B4569" s="115" t="s">
        <v>4394</v>
      </c>
      <c r="C4569" s="117">
        <v>826.06</v>
      </c>
    </row>
    <row r="4570" spans="1:3" x14ac:dyDescent="0.25">
      <c r="A4570" s="115">
        <v>3517129</v>
      </c>
      <c r="B4570" s="115" t="s">
        <v>4395</v>
      </c>
      <c r="C4570" s="117">
        <v>826.06</v>
      </c>
    </row>
    <row r="4571" spans="1:3" x14ac:dyDescent="0.25">
      <c r="A4571" s="115">
        <v>3517163</v>
      </c>
      <c r="B4571" s="115" t="s">
        <v>4396</v>
      </c>
      <c r="C4571" s="117">
        <v>826.06</v>
      </c>
    </row>
    <row r="4572" spans="1:3" x14ac:dyDescent="0.25">
      <c r="A4572" s="115">
        <v>3517176</v>
      </c>
      <c r="B4572" s="115" t="s">
        <v>4397</v>
      </c>
      <c r="C4572" s="117">
        <v>826.06</v>
      </c>
    </row>
    <row r="4573" spans="1:3" x14ac:dyDescent="0.25">
      <c r="A4573" s="115">
        <v>3517183</v>
      </c>
      <c r="B4573" s="115" t="s">
        <v>4398</v>
      </c>
      <c r="C4573" s="117">
        <v>826.06</v>
      </c>
    </row>
    <row r="4574" spans="1:3" x14ac:dyDescent="0.25">
      <c r="A4574" s="115">
        <v>3517226</v>
      </c>
      <c r="B4574" s="115" t="s">
        <v>4399</v>
      </c>
      <c r="C4574" s="117">
        <v>656.75</v>
      </c>
    </row>
    <row r="4575" spans="1:3" x14ac:dyDescent="0.25">
      <c r="A4575" s="115">
        <v>3517229</v>
      </c>
      <c r="B4575" s="115" t="s">
        <v>4400</v>
      </c>
      <c r="C4575" s="117">
        <v>656.75</v>
      </c>
    </row>
    <row r="4576" spans="1:3" x14ac:dyDescent="0.25">
      <c r="A4576" s="115">
        <v>3517223</v>
      </c>
      <c r="B4576" s="115" t="s">
        <v>4401</v>
      </c>
      <c r="C4576" s="117">
        <v>656.75</v>
      </c>
    </row>
    <row r="4577" spans="1:3" x14ac:dyDescent="0.25">
      <c r="A4577" s="115">
        <v>3517262</v>
      </c>
      <c r="B4577" s="115" t="s">
        <v>4402</v>
      </c>
      <c r="C4577" s="117">
        <v>656.75</v>
      </c>
    </row>
    <row r="4578" spans="1:3" x14ac:dyDescent="0.25">
      <c r="A4578" s="115">
        <v>3517263</v>
      </c>
      <c r="B4578" s="115" t="s">
        <v>4403</v>
      </c>
      <c r="C4578" s="117">
        <v>656.75</v>
      </c>
    </row>
    <row r="4579" spans="1:3" x14ac:dyDescent="0.25">
      <c r="A4579" s="115">
        <v>3517276</v>
      </c>
      <c r="B4579" s="115" t="s">
        <v>4404</v>
      </c>
      <c r="C4579" s="117">
        <v>656.75</v>
      </c>
    </row>
    <row r="4580" spans="1:3" x14ac:dyDescent="0.25">
      <c r="A4580" s="115">
        <v>3517277</v>
      </c>
      <c r="B4580" s="115" t="s">
        <v>4405</v>
      </c>
      <c r="C4580" s="117">
        <v>656.75</v>
      </c>
    </row>
    <row r="4581" spans="1:3" x14ac:dyDescent="0.25">
      <c r="A4581" s="115">
        <v>3517283</v>
      </c>
      <c r="B4581" s="115" t="s">
        <v>4406</v>
      </c>
      <c r="C4581" s="117">
        <v>656.75</v>
      </c>
    </row>
    <row r="4582" spans="1:3" x14ac:dyDescent="0.25">
      <c r="A4582" s="115">
        <v>3517329</v>
      </c>
      <c r="B4582" s="115" t="s">
        <v>4407</v>
      </c>
      <c r="C4582" s="117">
        <v>702.64</v>
      </c>
    </row>
    <row r="4583" spans="1:3" x14ac:dyDescent="0.25">
      <c r="A4583" s="115">
        <v>3517383</v>
      </c>
      <c r="B4583" s="115" t="s">
        <v>4408</v>
      </c>
      <c r="C4583" s="117">
        <v>702.64</v>
      </c>
    </row>
    <row r="4584" spans="1:3" x14ac:dyDescent="0.25">
      <c r="A4584" s="115">
        <v>3517429</v>
      </c>
      <c r="B4584" s="115" t="s">
        <v>4409</v>
      </c>
      <c r="C4584" s="117">
        <v>296.01</v>
      </c>
    </row>
    <row r="4585" spans="1:3" x14ac:dyDescent="0.25">
      <c r="A4585" s="115">
        <v>3517476</v>
      </c>
      <c r="B4585" s="115" t="s">
        <v>4410</v>
      </c>
      <c r="C4585" s="117">
        <v>296.01</v>
      </c>
    </row>
    <row r="4586" spans="1:3" x14ac:dyDescent="0.25">
      <c r="A4586" s="115">
        <v>3517483</v>
      </c>
      <c r="B4586" s="115" t="s">
        <v>4411</v>
      </c>
      <c r="C4586" s="117">
        <v>296.01</v>
      </c>
    </row>
    <row r="4587" spans="1:3" x14ac:dyDescent="0.25">
      <c r="A4587" s="115">
        <v>3512007</v>
      </c>
      <c r="B4587" s="115" t="s">
        <v>4412</v>
      </c>
      <c r="C4587" s="117">
        <v>968.94</v>
      </c>
    </row>
    <row r="4588" spans="1:3" x14ac:dyDescent="0.25">
      <c r="A4588" s="115">
        <v>3512009</v>
      </c>
      <c r="B4588" s="115" t="s">
        <v>4413</v>
      </c>
      <c r="C4588" s="117">
        <v>1462.28</v>
      </c>
    </row>
    <row r="4589" spans="1:3" x14ac:dyDescent="0.25">
      <c r="A4589" s="115">
        <v>3516963</v>
      </c>
      <c r="B4589" s="115" t="s">
        <v>4414</v>
      </c>
      <c r="C4589" s="117">
        <v>1195.8800000000001</v>
      </c>
    </row>
    <row r="4590" spans="1:3" x14ac:dyDescent="0.25">
      <c r="A4590" s="115">
        <v>3510205</v>
      </c>
      <c r="B4590" s="115" t="s">
        <v>4415</v>
      </c>
      <c r="C4590" s="117">
        <v>535.41999999999996</v>
      </c>
    </row>
    <row r="4591" spans="1:3" x14ac:dyDescent="0.25">
      <c r="A4591" s="115">
        <v>3510204</v>
      </c>
      <c r="B4591" s="115" t="s">
        <v>4416</v>
      </c>
      <c r="C4591" s="117">
        <v>755.18</v>
      </c>
    </row>
    <row r="4592" spans="1:3" x14ac:dyDescent="0.25">
      <c r="A4592" s="115">
        <v>3510203</v>
      </c>
      <c r="B4592" s="115" t="s">
        <v>4417</v>
      </c>
      <c r="C4592" s="117">
        <v>832.32</v>
      </c>
    </row>
    <row r="4593" spans="1:3" x14ac:dyDescent="0.25">
      <c r="A4593" s="115">
        <v>3510202</v>
      </c>
      <c r="B4593" s="115" t="s">
        <v>4418</v>
      </c>
      <c r="C4593" s="117">
        <v>566.16</v>
      </c>
    </row>
    <row r="4594" spans="1:3" x14ac:dyDescent="0.25">
      <c r="A4594" s="115">
        <v>3510201</v>
      </c>
      <c r="B4594" s="115" t="s">
        <v>4419</v>
      </c>
      <c r="C4594" s="117">
        <v>566.16</v>
      </c>
    </row>
    <row r="4595" spans="1:3" x14ac:dyDescent="0.25">
      <c r="A4595" s="115">
        <v>3510237</v>
      </c>
      <c r="B4595" s="115" t="s">
        <v>4420</v>
      </c>
      <c r="C4595" s="117">
        <v>535.41999999999996</v>
      </c>
    </row>
    <row r="4596" spans="1:3" x14ac:dyDescent="0.25">
      <c r="A4596" s="115">
        <v>3510229</v>
      </c>
      <c r="B4596" s="115" t="s">
        <v>4421</v>
      </c>
      <c r="C4596" s="117">
        <v>3533.18</v>
      </c>
    </row>
    <row r="4597" spans="1:3" x14ac:dyDescent="0.25">
      <c r="A4597" s="115">
        <v>3510234</v>
      </c>
      <c r="B4597" s="115" t="s">
        <v>4422</v>
      </c>
      <c r="C4597" s="117">
        <v>997.58</v>
      </c>
    </row>
    <row r="4598" spans="1:3" x14ac:dyDescent="0.25">
      <c r="A4598" s="115">
        <v>3510233</v>
      </c>
      <c r="B4598" s="115" t="s">
        <v>4423</v>
      </c>
      <c r="C4598" s="117">
        <v>2355.38</v>
      </c>
    </row>
    <row r="4599" spans="1:3" x14ac:dyDescent="0.25">
      <c r="A4599" s="115">
        <v>3510232</v>
      </c>
      <c r="B4599" s="115" t="s">
        <v>4424</v>
      </c>
      <c r="C4599" s="117">
        <v>2355.38</v>
      </c>
    </row>
    <row r="4600" spans="1:3" x14ac:dyDescent="0.25">
      <c r="A4600" s="115">
        <v>3510231</v>
      </c>
      <c r="B4600" s="115" t="s">
        <v>4425</v>
      </c>
      <c r="C4600" s="117">
        <v>3911.68</v>
      </c>
    </row>
    <row r="4601" spans="1:3" x14ac:dyDescent="0.25">
      <c r="A4601" s="115">
        <v>3510236</v>
      </c>
      <c r="B4601" s="115" t="s">
        <v>4426</v>
      </c>
      <c r="C4601" s="117">
        <v>997.58</v>
      </c>
    </row>
    <row r="4602" spans="1:3" x14ac:dyDescent="0.25">
      <c r="A4602" s="115">
        <v>3510230</v>
      </c>
      <c r="B4602" s="115" t="s">
        <v>4427</v>
      </c>
      <c r="C4602" s="117">
        <v>2944.16</v>
      </c>
    </row>
    <row r="4603" spans="1:3" x14ac:dyDescent="0.25">
      <c r="A4603" s="115">
        <v>3510235</v>
      </c>
      <c r="B4603" s="115" t="s">
        <v>4428</v>
      </c>
      <c r="C4603" s="117">
        <v>997.58</v>
      </c>
    </row>
    <row r="4604" spans="1:3" x14ac:dyDescent="0.25">
      <c r="A4604" s="115">
        <v>3510238</v>
      </c>
      <c r="B4604" s="115" t="s">
        <v>4429</v>
      </c>
      <c r="C4604" s="117">
        <v>535.41999999999996</v>
      </c>
    </row>
    <row r="4605" spans="1:3" x14ac:dyDescent="0.25">
      <c r="A4605" s="115">
        <v>3510228</v>
      </c>
      <c r="B4605" s="115" t="s">
        <v>4430</v>
      </c>
      <c r="C4605" s="117">
        <v>755.18</v>
      </c>
    </row>
    <row r="4606" spans="1:3" x14ac:dyDescent="0.25">
      <c r="A4606" s="115">
        <v>3510226</v>
      </c>
      <c r="B4606" s="115" t="s">
        <v>4431</v>
      </c>
      <c r="C4606" s="117">
        <v>832.32</v>
      </c>
    </row>
    <row r="4607" spans="1:3" x14ac:dyDescent="0.25">
      <c r="A4607" s="115">
        <v>3510227</v>
      </c>
      <c r="B4607" s="115" t="s">
        <v>4432</v>
      </c>
      <c r="C4607" s="117">
        <v>832.32</v>
      </c>
    </row>
    <row r="4608" spans="1:3" x14ac:dyDescent="0.25">
      <c r="A4608" s="115">
        <v>3510224</v>
      </c>
      <c r="B4608" s="115" t="s">
        <v>4433</v>
      </c>
      <c r="C4608" s="117">
        <v>566.16</v>
      </c>
    </row>
    <row r="4609" spans="1:3" x14ac:dyDescent="0.25">
      <c r="A4609" s="115">
        <v>3510225</v>
      </c>
      <c r="B4609" s="115" t="s">
        <v>4434</v>
      </c>
      <c r="C4609" s="117">
        <v>566.16</v>
      </c>
    </row>
    <row r="4610" spans="1:3" x14ac:dyDescent="0.25">
      <c r="A4610" s="115">
        <v>3510223</v>
      </c>
      <c r="B4610" s="115" t="s">
        <v>4435</v>
      </c>
      <c r="C4610" s="117">
        <v>566.16</v>
      </c>
    </row>
    <row r="4611" spans="1:3" x14ac:dyDescent="0.25">
      <c r="A4611" s="115">
        <v>3510220</v>
      </c>
      <c r="B4611" s="115" t="s">
        <v>4436</v>
      </c>
      <c r="C4611" s="117">
        <v>566.16</v>
      </c>
    </row>
    <row r="4612" spans="1:3" x14ac:dyDescent="0.25">
      <c r="A4612" s="115">
        <v>3510218</v>
      </c>
      <c r="B4612" s="115" t="s">
        <v>4437</v>
      </c>
      <c r="C4612" s="117">
        <v>2850.36</v>
      </c>
    </row>
    <row r="4613" spans="1:3" x14ac:dyDescent="0.25">
      <c r="A4613" s="115">
        <v>3510221</v>
      </c>
      <c r="B4613" s="115" t="s">
        <v>4438</v>
      </c>
      <c r="C4613" s="117">
        <v>566.16</v>
      </c>
    </row>
    <row r="4614" spans="1:3" x14ac:dyDescent="0.25">
      <c r="A4614" s="115">
        <v>3510219</v>
      </c>
      <c r="B4614" s="115" t="s">
        <v>4439</v>
      </c>
      <c r="C4614" s="117">
        <v>566.16</v>
      </c>
    </row>
    <row r="4615" spans="1:3" x14ac:dyDescent="0.25">
      <c r="A4615" s="115">
        <v>3510216</v>
      </c>
      <c r="B4615" s="115" t="s">
        <v>4440</v>
      </c>
      <c r="C4615" s="117">
        <v>433.48</v>
      </c>
    </row>
    <row r="4616" spans="1:3" x14ac:dyDescent="0.25">
      <c r="A4616" s="115">
        <v>3510214</v>
      </c>
      <c r="B4616" s="115" t="s">
        <v>4441</v>
      </c>
      <c r="C4616" s="117">
        <v>433.48</v>
      </c>
    </row>
    <row r="4617" spans="1:3" x14ac:dyDescent="0.25">
      <c r="A4617" s="115">
        <v>3510222</v>
      </c>
      <c r="B4617" s="115" t="s">
        <v>4442</v>
      </c>
      <c r="C4617" s="117">
        <v>2850.36</v>
      </c>
    </row>
    <row r="4618" spans="1:3" x14ac:dyDescent="0.25">
      <c r="A4618" s="115">
        <v>3510215</v>
      </c>
      <c r="B4618" s="115" t="s">
        <v>4443</v>
      </c>
      <c r="C4618" s="117">
        <v>433.48</v>
      </c>
    </row>
    <row r="4619" spans="1:3" x14ac:dyDescent="0.25">
      <c r="A4619" s="115">
        <v>3519811</v>
      </c>
      <c r="B4619" s="115" t="s">
        <v>4444</v>
      </c>
      <c r="C4619" s="117">
        <v>1888.14</v>
      </c>
    </row>
    <row r="4620" spans="1:3" x14ac:dyDescent="0.25">
      <c r="A4620" s="115">
        <v>3519810</v>
      </c>
      <c r="B4620" s="115" t="s">
        <v>4445</v>
      </c>
      <c r="C4620" s="117">
        <v>3776.29</v>
      </c>
    </row>
    <row r="4621" spans="1:3" x14ac:dyDescent="0.25">
      <c r="A4621" s="115">
        <v>3512459</v>
      </c>
      <c r="B4621" s="115" t="s">
        <v>4446</v>
      </c>
      <c r="C4621" s="117">
        <v>610.17999999999995</v>
      </c>
    </row>
    <row r="4622" spans="1:3" x14ac:dyDescent="0.25">
      <c r="A4622" s="115">
        <v>3512451</v>
      </c>
      <c r="B4622" s="115" t="s">
        <v>4447</v>
      </c>
      <c r="C4622" s="117">
        <v>599.27</v>
      </c>
    </row>
    <row r="4623" spans="1:3" x14ac:dyDescent="0.25">
      <c r="A4623" s="115">
        <v>3512450</v>
      </c>
      <c r="B4623" s="115" t="s">
        <v>4448</v>
      </c>
      <c r="C4623" s="117">
        <v>599.27</v>
      </c>
    </row>
    <row r="4624" spans="1:3" x14ac:dyDescent="0.25">
      <c r="A4624" s="115">
        <v>3512452</v>
      </c>
      <c r="B4624" s="115" t="s">
        <v>4449</v>
      </c>
      <c r="C4624" s="117">
        <v>599.27</v>
      </c>
    </row>
    <row r="4625" spans="1:3" x14ac:dyDescent="0.25">
      <c r="A4625" s="115">
        <v>3510282</v>
      </c>
      <c r="B4625" s="115" t="s">
        <v>4450</v>
      </c>
      <c r="C4625" s="117">
        <v>6301.87</v>
      </c>
    </row>
    <row r="4626" spans="1:3" x14ac:dyDescent="0.25">
      <c r="A4626" s="115">
        <v>3510283</v>
      </c>
      <c r="B4626" s="115" t="s">
        <v>4451</v>
      </c>
      <c r="C4626" s="117">
        <v>2100.63</v>
      </c>
    </row>
    <row r="4627" spans="1:3" x14ac:dyDescent="0.25">
      <c r="A4627" s="115">
        <v>3510281</v>
      </c>
      <c r="B4627" s="115" t="s">
        <v>4452</v>
      </c>
      <c r="C4627" s="117">
        <v>6301.87</v>
      </c>
    </row>
    <row r="4628" spans="1:3" x14ac:dyDescent="0.25">
      <c r="A4628" s="115">
        <v>3510209</v>
      </c>
      <c r="B4628" s="115" t="s">
        <v>4453</v>
      </c>
      <c r="C4628" s="117">
        <v>5888.55</v>
      </c>
    </row>
    <row r="4629" spans="1:3" x14ac:dyDescent="0.25">
      <c r="A4629" s="115">
        <v>3510280</v>
      </c>
      <c r="B4629" s="115" t="s">
        <v>4454</v>
      </c>
      <c r="C4629" s="117">
        <v>19093.29</v>
      </c>
    </row>
    <row r="4630" spans="1:3" x14ac:dyDescent="0.25">
      <c r="A4630" s="115">
        <v>3510260</v>
      </c>
      <c r="B4630" s="115" t="s">
        <v>4455</v>
      </c>
      <c r="C4630" s="117">
        <v>669.24</v>
      </c>
    </row>
    <row r="4631" spans="1:3" x14ac:dyDescent="0.25">
      <c r="A4631" s="115">
        <v>3510262</v>
      </c>
      <c r="B4631" s="115" t="s">
        <v>4456</v>
      </c>
      <c r="C4631" s="117">
        <v>669.24</v>
      </c>
    </row>
    <row r="4632" spans="1:3" x14ac:dyDescent="0.25">
      <c r="A4632" s="115">
        <v>3510261</v>
      </c>
      <c r="B4632" s="115" t="s">
        <v>4457</v>
      </c>
      <c r="C4632" s="117">
        <v>669.24</v>
      </c>
    </row>
    <row r="4633" spans="1:3" x14ac:dyDescent="0.25">
      <c r="A4633" s="115">
        <v>3510256</v>
      </c>
      <c r="B4633" s="115" t="s">
        <v>4458</v>
      </c>
      <c r="C4633" s="117">
        <v>559.64</v>
      </c>
    </row>
    <row r="4634" spans="1:3" x14ac:dyDescent="0.25">
      <c r="A4634" s="115">
        <v>3510258</v>
      </c>
      <c r="B4634" s="115" t="s">
        <v>4459</v>
      </c>
      <c r="C4634" s="117">
        <v>559.64</v>
      </c>
    </row>
    <row r="4635" spans="1:3" x14ac:dyDescent="0.25">
      <c r="A4635" s="115">
        <v>3510257</v>
      </c>
      <c r="B4635" s="115" t="s">
        <v>4460</v>
      </c>
      <c r="C4635" s="117">
        <v>559.64</v>
      </c>
    </row>
    <row r="4636" spans="1:3" x14ac:dyDescent="0.25">
      <c r="A4636" s="115">
        <v>3512454</v>
      </c>
      <c r="B4636" s="115" t="s">
        <v>4461</v>
      </c>
      <c r="C4636" s="117">
        <v>760.97</v>
      </c>
    </row>
    <row r="4637" spans="1:3" x14ac:dyDescent="0.25">
      <c r="A4637" s="115">
        <v>3512453</v>
      </c>
      <c r="B4637" s="115" t="s">
        <v>4462</v>
      </c>
      <c r="C4637" s="117">
        <v>760.97</v>
      </c>
    </row>
    <row r="4638" spans="1:3" x14ac:dyDescent="0.25">
      <c r="A4638" s="115">
        <v>3512455</v>
      </c>
      <c r="B4638" s="115" t="s">
        <v>4463</v>
      </c>
      <c r="C4638" s="117">
        <v>760.93</v>
      </c>
    </row>
    <row r="4639" spans="1:3" x14ac:dyDescent="0.25">
      <c r="A4639" s="115">
        <v>3510294</v>
      </c>
      <c r="B4639" s="115" t="s">
        <v>4464</v>
      </c>
      <c r="C4639" s="117">
        <v>433.48</v>
      </c>
    </row>
    <row r="4640" spans="1:3" x14ac:dyDescent="0.25">
      <c r="A4640" s="115">
        <v>3510217</v>
      </c>
      <c r="B4640" s="115" t="s">
        <v>4465</v>
      </c>
      <c r="C4640" s="117">
        <v>433.48</v>
      </c>
    </row>
    <row r="4641" spans="1:3" x14ac:dyDescent="0.25">
      <c r="A4641" s="115">
        <v>3511111</v>
      </c>
      <c r="B4641" s="115" t="s">
        <v>11591</v>
      </c>
      <c r="C4641" s="117">
        <v>3849.15</v>
      </c>
    </row>
    <row r="4642" spans="1:3" x14ac:dyDescent="0.25">
      <c r="A4642" s="115">
        <v>3510029</v>
      </c>
      <c r="B4642" s="115" t="s">
        <v>4466</v>
      </c>
      <c r="C4642" s="117">
        <v>285.45999999999998</v>
      </c>
    </row>
    <row r="4643" spans="1:3" x14ac:dyDescent="0.25">
      <c r="A4643" s="115">
        <v>3510053</v>
      </c>
      <c r="B4643" s="115" t="s">
        <v>4467</v>
      </c>
      <c r="C4643" s="117">
        <v>285.45999999999998</v>
      </c>
    </row>
    <row r="4644" spans="1:3" x14ac:dyDescent="0.25">
      <c r="A4644" s="115">
        <v>3510076</v>
      </c>
      <c r="B4644" s="115" t="s">
        <v>4468</v>
      </c>
      <c r="C4644" s="117">
        <v>285.45999999999998</v>
      </c>
    </row>
    <row r="4645" spans="1:3" x14ac:dyDescent="0.25">
      <c r="A4645" s="115">
        <v>3510083</v>
      </c>
      <c r="B4645" s="115" t="s">
        <v>4469</v>
      </c>
      <c r="C4645" s="117">
        <v>285.45999999999998</v>
      </c>
    </row>
    <row r="4646" spans="1:3" x14ac:dyDescent="0.25">
      <c r="A4646" s="115">
        <v>3510051</v>
      </c>
      <c r="B4646" s="115" t="s">
        <v>4470</v>
      </c>
      <c r="C4646" s="117">
        <v>199.82</v>
      </c>
    </row>
    <row r="4647" spans="1:3" x14ac:dyDescent="0.25">
      <c r="A4647" s="115">
        <v>3510050</v>
      </c>
      <c r="B4647" s="115" t="s">
        <v>4471</v>
      </c>
      <c r="C4647" s="117">
        <v>285.45999999999998</v>
      </c>
    </row>
    <row r="4648" spans="1:3" x14ac:dyDescent="0.25">
      <c r="A4648" s="115">
        <v>3510052</v>
      </c>
      <c r="B4648" s="115" t="s">
        <v>4472</v>
      </c>
      <c r="C4648" s="117">
        <v>199.82</v>
      </c>
    </row>
    <row r="4649" spans="1:3" x14ac:dyDescent="0.25">
      <c r="A4649" s="115">
        <v>3510054</v>
      </c>
      <c r="B4649" s="115" t="s">
        <v>4473</v>
      </c>
      <c r="C4649" s="117">
        <v>285.45999999999998</v>
      </c>
    </row>
    <row r="4650" spans="1:3" x14ac:dyDescent="0.25">
      <c r="A4650" s="115">
        <v>3515245</v>
      </c>
      <c r="B4650" s="115" t="s">
        <v>4474</v>
      </c>
      <c r="C4650" s="117">
        <v>13466.19</v>
      </c>
    </row>
    <row r="4651" spans="1:3" x14ac:dyDescent="0.25">
      <c r="A4651" s="115">
        <v>3515246</v>
      </c>
      <c r="B4651" s="115" t="s">
        <v>4475</v>
      </c>
      <c r="C4651" s="117">
        <v>21997.62</v>
      </c>
    </row>
    <row r="4652" spans="1:3" x14ac:dyDescent="0.25">
      <c r="A4652" s="115">
        <v>3516103</v>
      </c>
      <c r="B4652" s="115" t="s">
        <v>4476</v>
      </c>
      <c r="C4652" s="117">
        <v>1467.25</v>
      </c>
    </row>
    <row r="4653" spans="1:3" x14ac:dyDescent="0.25">
      <c r="A4653" s="115">
        <v>3515201</v>
      </c>
      <c r="B4653" s="115" t="s">
        <v>4477</v>
      </c>
      <c r="C4653" s="117">
        <v>218.45</v>
      </c>
    </row>
    <row r="4654" spans="1:3" x14ac:dyDescent="0.25">
      <c r="A4654" s="115">
        <v>3515202</v>
      </c>
      <c r="B4654" s="115" t="s">
        <v>4478</v>
      </c>
      <c r="C4654" s="117">
        <v>218.45</v>
      </c>
    </row>
    <row r="4655" spans="1:3" x14ac:dyDescent="0.25">
      <c r="A4655" s="115">
        <v>3515200</v>
      </c>
      <c r="B4655" s="115" t="s">
        <v>4479</v>
      </c>
      <c r="C4655" s="117">
        <v>218.45</v>
      </c>
    </row>
    <row r="4656" spans="1:3" x14ac:dyDescent="0.25">
      <c r="A4656" s="115">
        <v>3515205</v>
      </c>
      <c r="B4656" s="115" t="s">
        <v>4480</v>
      </c>
      <c r="C4656" s="117">
        <v>15653.78</v>
      </c>
    </row>
    <row r="4657" spans="1:3" x14ac:dyDescent="0.25">
      <c r="A4657" s="115">
        <v>3512689</v>
      </c>
      <c r="B4657" s="115" t="s">
        <v>4481</v>
      </c>
      <c r="C4657" s="117">
        <v>1534.44</v>
      </c>
    </row>
    <row r="4658" spans="1:3" x14ac:dyDescent="0.25">
      <c r="A4658" s="115">
        <v>3512678</v>
      </c>
      <c r="B4658" s="115" t="s">
        <v>4482</v>
      </c>
      <c r="C4658" s="117">
        <v>1534.44</v>
      </c>
    </row>
    <row r="4659" spans="1:3" x14ac:dyDescent="0.25">
      <c r="A4659" s="115">
        <v>3512629</v>
      </c>
      <c r="B4659" s="115" t="s">
        <v>4483</v>
      </c>
      <c r="C4659" s="117">
        <v>1534.44</v>
      </c>
    </row>
    <row r="4660" spans="1:3" x14ac:dyDescent="0.25">
      <c r="A4660" s="115">
        <v>3512675</v>
      </c>
      <c r="B4660" s="115" t="s">
        <v>12347</v>
      </c>
      <c r="C4660" s="117">
        <v>2361.69</v>
      </c>
    </row>
    <row r="4661" spans="1:3" x14ac:dyDescent="0.25">
      <c r="A4661" s="115">
        <v>3512676</v>
      </c>
      <c r="B4661" s="115" t="s">
        <v>4484</v>
      </c>
      <c r="C4661" s="117">
        <v>1534.44</v>
      </c>
    </row>
    <row r="4662" spans="1:3" x14ac:dyDescent="0.25">
      <c r="A4662" s="115">
        <v>3512683</v>
      </c>
      <c r="B4662" s="115" t="s">
        <v>4485</v>
      </c>
      <c r="C4662" s="117">
        <v>1534.44</v>
      </c>
    </row>
    <row r="4663" spans="1:3" x14ac:dyDescent="0.25">
      <c r="A4663" s="115">
        <v>3512684</v>
      </c>
      <c r="B4663" s="115" t="s">
        <v>4486</v>
      </c>
      <c r="C4663" s="117">
        <v>1534.44</v>
      </c>
    </row>
    <row r="4664" spans="1:3" x14ac:dyDescent="0.25">
      <c r="A4664" s="115">
        <v>3510002</v>
      </c>
      <c r="B4664" s="115" t="s">
        <v>4487</v>
      </c>
      <c r="C4664" s="117">
        <v>318.22000000000003</v>
      </c>
    </row>
    <row r="4665" spans="1:3" x14ac:dyDescent="0.25">
      <c r="A4665" s="115">
        <v>3510650</v>
      </c>
      <c r="B4665" s="115" t="s">
        <v>4488</v>
      </c>
      <c r="C4665" s="117">
        <v>2078.9299999999998</v>
      </c>
    </row>
    <row r="4666" spans="1:3" x14ac:dyDescent="0.25">
      <c r="A4666" s="115">
        <v>3512679</v>
      </c>
      <c r="B4666" s="115" t="s">
        <v>4489</v>
      </c>
      <c r="C4666" s="117">
        <v>294.82</v>
      </c>
    </row>
    <row r="4667" spans="1:3" x14ac:dyDescent="0.25">
      <c r="A4667" s="115">
        <v>3515242</v>
      </c>
      <c r="B4667" s="115" t="s">
        <v>4490</v>
      </c>
      <c r="C4667" s="117">
        <v>15145.12</v>
      </c>
    </row>
    <row r="4668" spans="1:3" x14ac:dyDescent="0.25">
      <c r="A4668" s="115">
        <v>3515241</v>
      </c>
      <c r="B4668" s="115" t="s">
        <v>4491</v>
      </c>
      <c r="C4668" s="117">
        <v>15711.43</v>
      </c>
    </row>
    <row r="4669" spans="1:3" x14ac:dyDescent="0.25">
      <c r="A4669" s="115">
        <v>3512529</v>
      </c>
      <c r="B4669" s="115" t="s">
        <v>4492</v>
      </c>
      <c r="C4669" s="117">
        <v>2288.23</v>
      </c>
    </row>
    <row r="4670" spans="1:3" x14ac:dyDescent="0.25">
      <c r="A4670" s="115">
        <v>3512576</v>
      </c>
      <c r="B4670" s="115" t="s">
        <v>4493</v>
      </c>
      <c r="C4670" s="117">
        <v>2288.23</v>
      </c>
    </row>
    <row r="4671" spans="1:3" x14ac:dyDescent="0.25">
      <c r="A4671" s="115">
        <v>3510025</v>
      </c>
      <c r="B4671" s="115" t="s">
        <v>4494</v>
      </c>
      <c r="C4671" s="117">
        <v>603.30999999999995</v>
      </c>
    </row>
    <row r="4672" spans="1:3" x14ac:dyDescent="0.25">
      <c r="A4672" s="115">
        <v>3510678</v>
      </c>
      <c r="B4672" s="115" t="s">
        <v>4495</v>
      </c>
      <c r="C4672" s="117">
        <v>23234.21</v>
      </c>
    </row>
    <row r="4673" spans="1:3" x14ac:dyDescent="0.25">
      <c r="A4673" s="115">
        <v>3510676</v>
      </c>
      <c r="B4673" s="115" t="s">
        <v>4496</v>
      </c>
      <c r="C4673" s="117">
        <v>10751.2</v>
      </c>
    </row>
    <row r="4674" spans="1:3" x14ac:dyDescent="0.25">
      <c r="A4674" s="115">
        <v>3512976</v>
      </c>
      <c r="B4674" s="115" t="s">
        <v>4497</v>
      </c>
      <c r="C4674" s="117">
        <v>719.6</v>
      </c>
    </row>
    <row r="4675" spans="1:3" x14ac:dyDescent="0.25">
      <c r="A4675" s="115">
        <v>3512312</v>
      </c>
      <c r="B4675" s="115" t="s">
        <v>4498</v>
      </c>
      <c r="C4675" s="117">
        <v>1524.96</v>
      </c>
    </row>
    <row r="4676" spans="1:3" x14ac:dyDescent="0.25">
      <c r="A4676" s="115">
        <v>3512320</v>
      </c>
      <c r="B4676" s="115" t="s">
        <v>4499</v>
      </c>
      <c r="C4676" s="117">
        <v>2875.07</v>
      </c>
    </row>
    <row r="4677" spans="1:3" x14ac:dyDescent="0.25">
      <c r="A4677" s="115">
        <v>3512306</v>
      </c>
      <c r="B4677" s="115" t="s">
        <v>4500</v>
      </c>
      <c r="C4677" s="117">
        <v>626.34</v>
      </c>
    </row>
    <row r="4678" spans="1:3" x14ac:dyDescent="0.25">
      <c r="A4678" s="115">
        <v>3517911</v>
      </c>
      <c r="B4678" s="115" t="s">
        <v>4501</v>
      </c>
      <c r="C4678" s="117">
        <v>442.85</v>
      </c>
    </row>
    <row r="4679" spans="1:3" x14ac:dyDescent="0.25">
      <c r="A4679" s="115">
        <v>3517912</v>
      </c>
      <c r="B4679" s="115" t="s">
        <v>4502</v>
      </c>
      <c r="C4679" s="117">
        <v>632.64</v>
      </c>
    </row>
    <row r="4680" spans="1:3" x14ac:dyDescent="0.25">
      <c r="A4680" s="115">
        <v>3513360</v>
      </c>
      <c r="B4680" s="115" t="s">
        <v>4503</v>
      </c>
      <c r="C4680" s="117">
        <v>1121.03</v>
      </c>
    </row>
    <row r="4681" spans="1:3" x14ac:dyDescent="0.25">
      <c r="A4681" s="115">
        <v>3513370</v>
      </c>
      <c r="B4681" s="115" t="s">
        <v>4504</v>
      </c>
      <c r="C4681" s="117">
        <v>1057.25</v>
      </c>
    </row>
    <row r="4682" spans="1:3" x14ac:dyDescent="0.25">
      <c r="A4682" s="115">
        <v>3513363</v>
      </c>
      <c r="B4682" s="115" t="s">
        <v>4505</v>
      </c>
      <c r="C4682" s="117">
        <v>627.15</v>
      </c>
    </row>
    <row r="4683" spans="1:3" x14ac:dyDescent="0.25">
      <c r="A4683" s="115">
        <v>3513340</v>
      </c>
      <c r="B4683" s="115" t="s">
        <v>4506</v>
      </c>
      <c r="C4683" s="117">
        <v>3739.88</v>
      </c>
    </row>
    <row r="4684" spans="1:3" x14ac:dyDescent="0.25">
      <c r="A4684" s="115">
        <v>3512324</v>
      </c>
      <c r="B4684" s="115" t="s">
        <v>4507</v>
      </c>
      <c r="C4684" s="117">
        <v>1360.8</v>
      </c>
    </row>
    <row r="4685" spans="1:3" x14ac:dyDescent="0.25">
      <c r="A4685" s="115">
        <v>3512429</v>
      </c>
      <c r="B4685" s="115" t="s">
        <v>4508</v>
      </c>
      <c r="C4685" s="117">
        <v>433.3</v>
      </c>
    </row>
    <row r="4686" spans="1:3" x14ac:dyDescent="0.25">
      <c r="A4686" s="115">
        <v>3512463</v>
      </c>
      <c r="B4686" s="115" t="s">
        <v>4509</v>
      </c>
      <c r="C4686" s="117">
        <v>433.3</v>
      </c>
    </row>
    <row r="4687" spans="1:3" x14ac:dyDescent="0.25">
      <c r="A4687" s="115">
        <v>3512476</v>
      </c>
      <c r="B4687" s="115" t="s">
        <v>4510</v>
      </c>
      <c r="C4687" s="117">
        <v>433.3</v>
      </c>
    </row>
    <row r="4688" spans="1:3" x14ac:dyDescent="0.25">
      <c r="A4688" s="115">
        <v>3512483</v>
      </c>
      <c r="B4688" s="115" t="s">
        <v>4511</v>
      </c>
      <c r="C4688" s="117">
        <v>433.3</v>
      </c>
    </row>
    <row r="4689" spans="1:3" x14ac:dyDescent="0.25">
      <c r="A4689" s="115">
        <v>3512410</v>
      </c>
      <c r="B4689" s="115" t="s">
        <v>4512</v>
      </c>
      <c r="C4689" s="117">
        <v>4514.57</v>
      </c>
    </row>
    <row r="4690" spans="1:3" x14ac:dyDescent="0.25">
      <c r="A4690" s="115">
        <v>3512406</v>
      </c>
      <c r="B4690" s="115" t="s">
        <v>4513</v>
      </c>
      <c r="C4690" s="117">
        <v>2591.7600000000002</v>
      </c>
    </row>
    <row r="4691" spans="1:3" x14ac:dyDescent="0.25">
      <c r="A4691" s="115">
        <v>3516808</v>
      </c>
      <c r="B4691" s="115" t="s">
        <v>4514</v>
      </c>
      <c r="C4691" s="117">
        <v>3872.51</v>
      </c>
    </row>
    <row r="4692" spans="1:3" x14ac:dyDescent="0.25">
      <c r="A4692" s="115">
        <v>3519723</v>
      </c>
      <c r="B4692" s="115" t="s">
        <v>4515</v>
      </c>
      <c r="C4692" s="117">
        <v>1483.87</v>
      </c>
    </row>
    <row r="4693" spans="1:3" x14ac:dyDescent="0.25">
      <c r="A4693" s="115">
        <v>3519783</v>
      </c>
      <c r="B4693" s="115" t="s">
        <v>4516</v>
      </c>
      <c r="C4693" s="117">
        <v>1483.87</v>
      </c>
    </row>
    <row r="4694" spans="1:3" x14ac:dyDescent="0.25">
      <c r="A4694" s="115">
        <v>3519784</v>
      </c>
      <c r="B4694" s="115" t="s">
        <v>4517</v>
      </c>
      <c r="C4694" s="117">
        <v>1483.87</v>
      </c>
    </row>
    <row r="4695" spans="1:3" x14ac:dyDescent="0.25">
      <c r="A4695" s="115">
        <v>3516829</v>
      </c>
      <c r="B4695" s="115" t="s">
        <v>4518</v>
      </c>
      <c r="C4695" s="117">
        <v>696.83</v>
      </c>
    </row>
    <row r="4696" spans="1:3" x14ac:dyDescent="0.25">
      <c r="A4696" s="115">
        <v>3516855</v>
      </c>
      <c r="B4696" s="115" t="s">
        <v>4519</v>
      </c>
      <c r="C4696" s="117">
        <v>798.82</v>
      </c>
    </row>
    <row r="4697" spans="1:3" x14ac:dyDescent="0.25">
      <c r="A4697" s="115">
        <v>3516863</v>
      </c>
      <c r="B4697" s="115" t="s">
        <v>4520</v>
      </c>
      <c r="C4697" s="117">
        <v>696.83</v>
      </c>
    </row>
    <row r="4698" spans="1:3" x14ac:dyDescent="0.25">
      <c r="A4698" s="115">
        <v>3516899</v>
      </c>
      <c r="B4698" s="115" t="s">
        <v>4521</v>
      </c>
      <c r="C4698" s="117">
        <v>6661.09</v>
      </c>
    </row>
    <row r="4699" spans="1:3" x14ac:dyDescent="0.25">
      <c r="A4699" s="115">
        <v>3516876</v>
      </c>
      <c r="B4699" s="115" t="s">
        <v>4522</v>
      </c>
      <c r="C4699" s="117">
        <v>696.83</v>
      </c>
    </row>
    <row r="4700" spans="1:3" x14ac:dyDescent="0.25">
      <c r="A4700" s="115">
        <v>3516877</v>
      </c>
      <c r="B4700" s="115" t="s">
        <v>4523</v>
      </c>
      <c r="C4700" s="117">
        <v>798.82</v>
      </c>
    </row>
    <row r="4701" spans="1:3" x14ac:dyDescent="0.25">
      <c r="A4701" s="115">
        <v>3516887</v>
      </c>
      <c r="B4701" s="115" t="s">
        <v>4524</v>
      </c>
      <c r="C4701" s="117">
        <v>798.82</v>
      </c>
    </row>
    <row r="4702" spans="1:3" x14ac:dyDescent="0.25">
      <c r="A4702" s="115">
        <v>3516883</v>
      </c>
      <c r="B4702" s="115" t="s">
        <v>4525</v>
      </c>
      <c r="C4702" s="117">
        <v>696.83</v>
      </c>
    </row>
    <row r="4703" spans="1:3" x14ac:dyDescent="0.25">
      <c r="A4703" s="115">
        <v>3516898</v>
      </c>
      <c r="B4703" s="115" t="s">
        <v>4526</v>
      </c>
      <c r="C4703" s="117">
        <v>3643.88</v>
      </c>
    </row>
    <row r="4704" spans="1:3" x14ac:dyDescent="0.25">
      <c r="A4704" s="115">
        <v>3516363</v>
      </c>
      <c r="B4704" s="115" t="s">
        <v>4527</v>
      </c>
      <c r="C4704" s="117">
        <v>289.76</v>
      </c>
    </row>
    <row r="4705" spans="1:3" x14ac:dyDescent="0.25">
      <c r="A4705" s="115">
        <v>3516376</v>
      </c>
      <c r="B4705" s="115" t="s">
        <v>4528</v>
      </c>
      <c r="C4705" s="117">
        <v>340.89</v>
      </c>
    </row>
    <row r="4706" spans="1:3" x14ac:dyDescent="0.25">
      <c r="A4706" s="115">
        <v>3516377</v>
      </c>
      <c r="B4706" s="115" t="s">
        <v>4529</v>
      </c>
      <c r="C4706" s="117">
        <v>289.76</v>
      </c>
    </row>
    <row r="4707" spans="1:3" x14ac:dyDescent="0.25">
      <c r="A4707" s="115">
        <v>3516383</v>
      </c>
      <c r="B4707" s="115" t="s">
        <v>4530</v>
      </c>
      <c r="C4707" s="117">
        <v>289.76</v>
      </c>
    </row>
    <row r="4708" spans="1:3" x14ac:dyDescent="0.25">
      <c r="A4708" s="115">
        <v>3516382</v>
      </c>
      <c r="B4708" s="115" t="s">
        <v>4531</v>
      </c>
      <c r="C4708" s="117">
        <v>340.89</v>
      </c>
    </row>
    <row r="4709" spans="1:3" x14ac:dyDescent="0.25">
      <c r="A4709" s="115">
        <v>3516384</v>
      </c>
      <c r="B4709" s="115" t="s">
        <v>4532</v>
      </c>
      <c r="C4709" s="117">
        <v>289.76</v>
      </c>
    </row>
    <row r="4710" spans="1:3" x14ac:dyDescent="0.25">
      <c r="A4710" s="115">
        <v>3518829</v>
      </c>
      <c r="B4710" s="115" t="s">
        <v>4533</v>
      </c>
      <c r="C4710" s="117">
        <v>439.63</v>
      </c>
    </row>
    <row r="4711" spans="1:3" x14ac:dyDescent="0.25">
      <c r="A4711" s="115">
        <v>3518863</v>
      </c>
      <c r="B4711" s="115" t="s">
        <v>4534</v>
      </c>
      <c r="C4711" s="117">
        <v>439.63</v>
      </c>
    </row>
    <row r="4712" spans="1:3" x14ac:dyDescent="0.25">
      <c r="A4712" s="115">
        <v>3518876</v>
      </c>
      <c r="B4712" s="115" t="s">
        <v>4535</v>
      </c>
      <c r="C4712" s="117">
        <v>439.63</v>
      </c>
    </row>
    <row r="4713" spans="1:3" x14ac:dyDescent="0.25">
      <c r="A4713" s="115">
        <v>3516429</v>
      </c>
      <c r="B4713" s="115" t="s">
        <v>4536</v>
      </c>
      <c r="C4713" s="117">
        <v>289.76</v>
      </c>
    </row>
    <row r="4714" spans="1:3" x14ac:dyDescent="0.25">
      <c r="A4714" s="115">
        <v>3516463</v>
      </c>
      <c r="B4714" s="115" t="s">
        <v>4537</v>
      </c>
      <c r="C4714" s="117">
        <v>289.76</v>
      </c>
    </row>
    <row r="4715" spans="1:3" x14ac:dyDescent="0.25">
      <c r="A4715" s="115">
        <v>3516476</v>
      </c>
      <c r="B4715" s="115" t="s">
        <v>4538</v>
      </c>
      <c r="C4715" s="117">
        <v>289.76</v>
      </c>
    </row>
    <row r="4716" spans="1:3" x14ac:dyDescent="0.25">
      <c r="A4716" s="115">
        <v>3516483</v>
      </c>
      <c r="B4716" s="115" t="s">
        <v>4539</v>
      </c>
      <c r="C4716" s="117">
        <v>289.76</v>
      </c>
    </row>
    <row r="4717" spans="1:3" x14ac:dyDescent="0.25">
      <c r="A4717" s="115">
        <v>3516529</v>
      </c>
      <c r="B4717" s="115" t="s">
        <v>4540</v>
      </c>
      <c r="C4717" s="117">
        <v>289.76</v>
      </c>
    </row>
    <row r="4718" spans="1:3" x14ac:dyDescent="0.25">
      <c r="A4718" s="115">
        <v>3516563</v>
      </c>
      <c r="B4718" s="115" t="s">
        <v>4541</v>
      </c>
      <c r="C4718" s="117">
        <v>202.83</v>
      </c>
    </row>
    <row r="4719" spans="1:3" x14ac:dyDescent="0.25">
      <c r="A4719" s="115">
        <v>3516576</v>
      </c>
      <c r="B4719" s="115" t="s">
        <v>4542</v>
      </c>
      <c r="C4719" s="117">
        <v>289.76</v>
      </c>
    </row>
    <row r="4720" spans="1:3" x14ac:dyDescent="0.25">
      <c r="A4720" s="115">
        <v>3516583</v>
      </c>
      <c r="B4720" s="115" t="s">
        <v>4543</v>
      </c>
      <c r="C4720" s="117">
        <v>289.76</v>
      </c>
    </row>
    <row r="4721" spans="1:3" x14ac:dyDescent="0.25">
      <c r="A4721" s="115">
        <v>3517710</v>
      </c>
      <c r="B4721" s="115" t="s">
        <v>4544</v>
      </c>
      <c r="C4721" s="117">
        <v>260.57</v>
      </c>
    </row>
    <row r="4722" spans="1:3" x14ac:dyDescent="0.25">
      <c r="A4722" s="115">
        <v>3517720</v>
      </c>
      <c r="B4722" s="115" t="s">
        <v>4545</v>
      </c>
      <c r="C4722" s="117">
        <v>9717.52</v>
      </c>
    </row>
    <row r="4723" spans="1:3" x14ac:dyDescent="0.25">
      <c r="A4723" s="115">
        <v>3548700</v>
      </c>
      <c r="B4723" s="115" t="s">
        <v>4546</v>
      </c>
      <c r="C4723" s="117">
        <v>497.03</v>
      </c>
    </row>
    <row r="4724" spans="1:3" x14ac:dyDescent="0.25">
      <c r="A4724" s="115">
        <v>3548726</v>
      </c>
      <c r="B4724" s="115" t="s">
        <v>4547</v>
      </c>
      <c r="C4724" s="117">
        <v>347.92</v>
      </c>
    </row>
    <row r="4725" spans="1:3" x14ac:dyDescent="0.25">
      <c r="A4725" s="115">
        <v>3548723</v>
      </c>
      <c r="B4725" s="115" t="s">
        <v>4548</v>
      </c>
      <c r="C4725" s="117">
        <v>347.92</v>
      </c>
    </row>
    <row r="4726" spans="1:3" x14ac:dyDescent="0.25">
      <c r="A4726" s="115">
        <v>3548763</v>
      </c>
      <c r="B4726" s="115" t="s">
        <v>4549</v>
      </c>
      <c r="C4726" s="117">
        <v>497.03</v>
      </c>
    </row>
    <row r="4727" spans="1:3" x14ac:dyDescent="0.25">
      <c r="A4727" s="115">
        <v>3548762</v>
      </c>
      <c r="B4727" s="115" t="s">
        <v>4550</v>
      </c>
      <c r="C4727" s="117">
        <v>347.92</v>
      </c>
    </row>
    <row r="4728" spans="1:3" x14ac:dyDescent="0.25">
      <c r="A4728" s="115">
        <v>3548777</v>
      </c>
      <c r="B4728" s="115" t="s">
        <v>4551</v>
      </c>
      <c r="C4728" s="117">
        <v>497.03</v>
      </c>
    </row>
    <row r="4729" spans="1:3" x14ac:dyDescent="0.25">
      <c r="A4729" s="115">
        <v>3548787</v>
      </c>
      <c r="B4729" s="115" t="s">
        <v>4552</v>
      </c>
      <c r="C4729" s="117">
        <v>347.92</v>
      </c>
    </row>
    <row r="4730" spans="1:3" x14ac:dyDescent="0.25">
      <c r="A4730" s="115">
        <v>3548783</v>
      </c>
      <c r="B4730" s="115" t="s">
        <v>4553</v>
      </c>
      <c r="C4730" s="117">
        <v>347.92</v>
      </c>
    </row>
    <row r="4731" spans="1:3" x14ac:dyDescent="0.25">
      <c r="A4731" s="115">
        <v>3510096</v>
      </c>
      <c r="B4731" s="115" t="s">
        <v>4554</v>
      </c>
      <c r="C4731" s="117">
        <v>14087.11</v>
      </c>
    </row>
    <row r="4732" spans="1:3" x14ac:dyDescent="0.25">
      <c r="A4732" s="115">
        <v>3518499</v>
      </c>
      <c r="B4732" s="115" t="s">
        <v>4555</v>
      </c>
      <c r="C4732" s="117">
        <v>3727.86</v>
      </c>
    </row>
    <row r="4733" spans="1:3" x14ac:dyDescent="0.25">
      <c r="A4733" s="115">
        <v>3518402</v>
      </c>
      <c r="B4733" s="115" t="s">
        <v>4556</v>
      </c>
      <c r="C4733" s="117">
        <v>3727.86</v>
      </c>
    </row>
    <row r="4734" spans="1:3" x14ac:dyDescent="0.25">
      <c r="A4734" s="115">
        <v>3518412</v>
      </c>
      <c r="B4734" s="115" t="s">
        <v>4557</v>
      </c>
      <c r="C4734" s="117">
        <v>6213.09</v>
      </c>
    </row>
    <row r="4735" spans="1:3" x14ac:dyDescent="0.25">
      <c r="A4735" s="115">
        <v>3518424</v>
      </c>
      <c r="B4735" s="115" t="s">
        <v>4558</v>
      </c>
      <c r="C4735" s="117">
        <v>218.33</v>
      </c>
    </row>
    <row r="4736" spans="1:3" x14ac:dyDescent="0.25">
      <c r="A4736" s="115">
        <v>3518444</v>
      </c>
      <c r="B4736" s="115" t="s">
        <v>4559</v>
      </c>
      <c r="C4736" s="117">
        <v>3727.86</v>
      </c>
    </row>
    <row r="4737" spans="1:3" x14ac:dyDescent="0.25">
      <c r="A4737" s="115">
        <v>3518400</v>
      </c>
      <c r="B4737" s="115" t="s">
        <v>4560</v>
      </c>
      <c r="C4737" s="117">
        <v>3727.86</v>
      </c>
    </row>
    <row r="4738" spans="1:3" x14ac:dyDescent="0.25">
      <c r="A4738" s="115">
        <v>3510091</v>
      </c>
      <c r="B4738" s="115" t="s">
        <v>4561</v>
      </c>
      <c r="C4738" s="117">
        <v>2695.18</v>
      </c>
    </row>
    <row r="4739" spans="1:3" x14ac:dyDescent="0.25">
      <c r="A4739" s="115">
        <v>3510530</v>
      </c>
      <c r="B4739" s="115" t="s">
        <v>4562</v>
      </c>
      <c r="C4739" s="117">
        <v>574.54999999999995</v>
      </c>
    </row>
    <row r="4740" spans="1:3" x14ac:dyDescent="0.25">
      <c r="A4740" s="115">
        <v>3510575</v>
      </c>
      <c r="B4740" s="115" t="s">
        <v>4563</v>
      </c>
      <c r="C4740" s="117">
        <v>574.54999999999995</v>
      </c>
    </row>
    <row r="4741" spans="1:3" x14ac:dyDescent="0.25">
      <c r="A4741" s="115">
        <v>3510584</v>
      </c>
      <c r="B4741" s="115" t="s">
        <v>4564</v>
      </c>
      <c r="C4741" s="117">
        <v>342.55</v>
      </c>
    </row>
    <row r="4742" spans="1:3" x14ac:dyDescent="0.25">
      <c r="A4742" s="115">
        <v>3510099</v>
      </c>
      <c r="B4742" s="115" t="s">
        <v>4565</v>
      </c>
      <c r="C4742" s="117">
        <v>10318.86</v>
      </c>
    </row>
    <row r="4743" spans="1:3" x14ac:dyDescent="0.25">
      <c r="A4743" s="115">
        <v>3512720</v>
      </c>
      <c r="B4743" s="115" t="s">
        <v>4566</v>
      </c>
      <c r="C4743" s="117">
        <v>2503.29</v>
      </c>
    </row>
    <row r="4744" spans="1:3" x14ac:dyDescent="0.25">
      <c r="A4744" s="115">
        <v>3510001</v>
      </c>
      <c r="B4744" s="115" t="s">
        <v>4567</v>
      </c>
      <c r="C4744" s="117">
        <v>864.8</v>
      </c>
    </row>
    <row r="4745" spans="1:3" x14ac:dyDescent="0.25">
      <c r="A4745" s="115">
        <v>3512710</v>
      </c>
      <c r="B4745" s="115" t="s">
        <v>4568</v>
      </c>
      <c r="C4745" s="117">
        <v>1218.52</v>
      </c>
    </row>
    <row r="4746" spans="1:3" x14ac:dyDescent="0.25">
      <c r="A4746" s="115">
        <v>3511475</v>
      </c>
      <c r="B4746" s="115" t="s">
        <v>4569</v>
      </c>
      <c r="C4746" s="117">
        <v>783.74</v>
      </c>
    </row>
    <row r="4747" spans="1:3" x14ac:dyDescent="0.25">
      <c r="A4747" s="115">
        <v>3511436</v>
      </c>
      <c r="B4747" s="115" t="s">
        <v>4570</v>
      </c>
      <c r="C4747" s="117">
        <v>783.74</v>
      </c>
    </row>
    <row r="4748" spans="1:3" x14ac:dyDescent="0.25">
      <c r="A4748" s="115">
        <v>3511474</v>
      </c>
      <c r="B4748" s="115" t="s">
        <v>4571</v>
      </c>
      <c r="C4748" s="117">
        <v>783.74</v>
      </c>
    </row>
    <row r="4749" spans="1:3" x14ac:dyDescent="0.25">
      <c r="A4749" s="115">
        <v>3510929</v>
      </c>
      <c r="B4749" s="115" t="s">
        <v>4572</v>
      </c>
      <c r="C4749" s="117">
        <v>650.02</v>
      </c>
    </row>
    <row r="4750" spans="1:3" x14ac:dyDescent="0.25">
      <c r="A4750" s="115">
        <v>3510923</v>
      </c>
      <c r="B4750" s="115" t="s">
        <v>4573</v>
      </c>
      <c r="C4750" s="117">
        <v>650.02</v>
      </c>
    </row>
    <row r="4751" spans="1:3" x14ac:dyDescent="0.25">
      <c r="A4751" s="115">
        <v>3510963</v>
      </c>
      <c r="B4751" s="115" t="s">
        <v>4574</v>
      </c>
      <c r="C4751" s="117">
        <v>650.02</v>
      </c>
    </row>
    <row r="4752" spans="1:3" x14ac:dyDescent="0.25">
      <c r="A4752" s="115">
        <v>3510962</v>
      </c>
      <c r="B4752" s="115" t="s">
        <v>4575</v>
      </c>
      <c r="C4752" s="117">
        <v>650.02</v>
      </c>
    </row>
    <row r="4753" spans="1:3" x14ac:dyDescent="0.25">
      <c r="A4753" s="115">
        <v>3510976</v>
      </c>
      <c r="B4753" s="115" t="s">
        <v>4576</v>
      </c>
      <c r="C4753" s="117">
        <v>650.02</v>
      </c>
    </row>
    <row r="4754" spans="1:3" x14ac:dyDescent="0.25">
      <c r="A4754" s="115">
        <v>3510977</v>
      </c>
      <c r="B4754" s="115" t="s">
        <v>4577</v>
      </c>
      <c r="C4754" s="117">
        <v>650.02</v>
      </c>
    </row>
    <row r="4755" spans="1:3" x14ac:dyDescent="0.25">
      <c r="A4755" s="115">
        <v>3510983</v>
      </c>
      <c r="B4755" s="115" t="s">
        <v>4578</v>
      </c>
      <c r="C4755" s="117">
        <v>650.02</v>
      </c>
    </row>
    <row r="4756" spans="1:3" x14ac:dyDescent="0.25">
      <c r="A4756" s="115">
        <v>3510989</v>
      </c>
      <c r="B4756" s="115" t="s">
        <v>4579</v>
      </c>
      <c r="C4756" s="117">
        <v>650.02</v>
      </c>
    </row>
    <row r="4757" spans="1:3" x14ac:dyDescent="0.25">
      <c r="A4757" s="115">
        <v>3510984</v>
      </c>
      <c r="B4757" s="115" t="s">
        <v>4580</v>
      </c>
      <c r="C4757" s="117">
        <v>650.02</v>
      </c>
    </row>
    <row r="4758" spans="1:3" x14ac:dyDescent="0.25">
      <c r="A4758" s="115">
        <v>3510961</v>
      </c>
      <c r="B4758" s="115" t="s">
        <v>4581</v>
      </c>
      <c r="C4758" s="117">
        <v>57.25</v>
      </c>
    </row>
    <row r="4759" spans="1:3" x14ac:dyDescent="0.25">
      <c r="A4759" s="115">
        <v>3511329</v>
      </c>
      <c r="B4759" s="115" t="s">
        <v>4582</v>
      </c>
      <c r="C4759" s="117">
        <v>319.42</v>
      </c>
    </row>
    <row r="4760" spans="1:3" x14ac:dyDescent="0.25">
      <c r="A4760" s="115">
        <v>3511363</v>
      </c>
      <c r="B4760" s="115" t="s">
        <v>4583</v>
      </c>
      <c r="C4760" s="117">
        <v>456.31</v>
      </c>
    </row>
    <row r="4761" spans="1:3" x14ac:dyDescent="0.25">
      <c r="A4761" s="115">
        <v>3511376</v>
      </c>
      <c r="B4761" s="115" t="s">
        <v>4584</v>
      </c>
      <c r="C4761" s="117">
        <v>456.31</v>
      </c>
    </row>
    <row r="4762" spans="1:3" x14ac:dyDescent="0.25">
      <c r="A4762" s="115">
        <v>3511383</v>
      </c>
      <c r="B4762" s="115" t="s">
        <v>4585</v>
      </c>
      <c r="C4762" s="117">
        <v>456.31</v>
      </c>
    </row>
    <row r="4763" spans="1:3" x14ac:dyDescent="0.25">
      <c r="A4763" s="115">
        <v>3511310</v>
      </c>
      <c r="B4763" s="115" t="s">
        <v>4586</v>
      </c>
      <c r="C4763" s="117">
        <v>5223</v>
      </c>
    </row>
    <row r="4764" spans="1:3" x14ac:dyDescent="0.25">
      <c r="A4764" s="115">
        <v>3511429</v>
      </c>
      <c r="B4764" s="115" t="s">
        <v>4587</v>
      </c>
      <c r="C4764" s="117">
        <v>456.31</v>
      </c>
    </row>
    <row r="4765" spans="1:3" x14ac:dyDescent="0.25">
      <c r="A4765" s="115">
        <v>3511463</v>
      </c>
      <c r="B4765" s="115" t="s">
        <v>4588</v>
      </c>
      <c r="C4765" s="117">
        <v>456.31</v>
      </c>
    </row>
    <row r="4766" spans="1:3" x14ac:dyDescent="0.25">
      <c r="A4766" s="115">
        <v>3511476</v>
      </c>
      <c r="B4766" s="115" t="s">
        <v>4589</v>
      </c>
      <c r="C4766" s="117">
        <v>456.31</v>
      </c>
    </row>
    <row r="4767" spans="1:3" x14ac:dyDescent="0.25">
      <c r="A4767" s="115">
        <v>3511483</v>
      </c>
      <c r="B4767" s="115" t="s">
        <v>4590</v>
      </c>
      <c r="C4767" s="117">
        <v>456.31</v>
      </c>
    </row>
    <row r="4768" spans="1:3" x14ac:dyDescent="0.25">
      <c r="A4768" s="115">
        <v>3511410</v>
      </c>
      <c r="B4768" s="115" t="s">
        <v>4591</v>
      </c>
      <c r="C4768" s="117">
        <v>5223</v>
      </c>
    </row>
    <row r="4769" spans="1:3" x14ac:dyDescent="0.25">
      <c r="A4769" s="115">
        <v>3510529</v>
      </c>
      <c r="B4769" s="115" t="s">
        <v>4592</v>
      </c>
      <c r="C4769" s="117">
        <v>325.33</v>
      </c>
    </row>
    <row r="4770" spans="1:3" x14ac:dyDescent="0.25">
      <c r="A4770" s="115">
        <v>3510576</v>
      </c>
      <c r="B4770" s="115" t="s">
        <v>4593</v>
      </c>
      <c r="C4770" s="117">
        <v>325.33</v>
      </c>
    </row>
    <row r="4771" spans="1:3" x14ac:dyDescent="0.25">
      <c r="A4771" s="115">
        <v>3510577</v>
      </c>
      <c r="B4771" s="115" t="s">
        <v>4594</v>
      </c>
      <c r="C4771" s="117">
        <v>325.33</v>
      </c>
    </row>
    <row r="4772" spans="1:3" x14ac:dyDescent="0.25">
      <c r="A4772" s="115">
        <v>3510583</v>
      </c>
      <c r="B4772" s="115" t="s">
        <v>4595</v>
      </c>
      <c r="C4772" s="117">
        <v>325.33</v>
      </c>
    </row>
    <row r="4773" spans="1:3" x14ac:dyDescent="0.25">
      <c r="A4773" s="115">
        <v>3510563</v>
      </c>
      <c r="B4773" s="115" t="s">
        <v>4596</v>
      </c>
      <c r="C4773" s="117">
        <v>325.33</v>
      </c>
    </row>
    <row r="4774" spans="1:3" x14ac:dyDescent="0.25">
      <c r="A4774" s="115">
        <v>3510525</v>
      </c>
      <c r="B4774" s="115" t="s">
        <v>4597</v>
      </c>
      <c r="C4774" s="117">
        <v>325.33</v>
      </c>
    </row>
    <row r="4775" spans="1:3" x14ac:dyDescent="0.25">
      <c r="A4775" s="115">
        <v>3514506</v>
      </c>
      <c r="B4775" s="115" t="s">
        <v>4598</v>
      </c>
      <c r="C4775" s="117">
        <v>1590.85</v>
      </c>
    </row>
    <row r="4776" spans="1:3" x14ac:dyDescent="0.25">
      <c r="A4776" s="115">
        <v>3514406</v>
      </c>
      <c r="B4776" s="115" t="s">
        <v>4599</v>
      </c>
      <c r="C4776" s="117">
        <v>1527.57</v>
      </c>
    </row>
    <row r="4777" spans="1:3" x14ac:dyDescent="0.25">
      <c r="A4777" s="115">
        <v>3513710</v>
      </c>
      <c r="B4777" s="115" t="s">
        <v>4600</v>
      </c>
      <c r="C4777" s="117">
        <v>2564.52</v>
      </c>
    </row>
    <row r="4778" spans="1:3" x14ac:dyDescent="0.25">
      <c r="A4778" s="115">
        <v>3513706</v>
      </c>
      <c r="B4778" s="115" t="s">
        <v>4601</v>
      </c>
      <c r="C4778" s="117">
        <v>1630.95</v>
      </c>
    </row>
    <row r="4779" spans="1:3" x14ac:dyDescent="0.25">
      <c r="A4779" s="115">
        <v>3514400</v>
      </c>
      <c r="B4779" s="115" t="s">
        <v>4602</v>
      </c>
      <c r="C4779" s="117">
        <v>1709.03</v>
      </c>
    </row>
    <row r="4780" spans="1:3" x14ac:dyDescent="0.25">
      <c r="A4780" s="115">
        <v>3510095</v>
      </c>
      <c r="B4780" s="115" t="s">
        <v>4603</v>
      </c>
      <c r="C4780" s="117">
        <v>6837.15</v>
      </c>
    </row>
    <row r="4781" spans="1:3" x14ac:dyDescent="0.25">
      <c r="A4781" s="115">
        <v>3549003</v>
      </c>
      <c r="B4781" s="115" t="s">
        <v>4604</v>
      </c>
      <c r="C4781" s="117">
        <v>722.18</v>
      </c>
    </row>
    <row r="4782" spans="1:3" x14ac:dyDescent="0.25">
      <c r="A4782" s="115">
        <v>3515426</v>
      </c>
      <c r="B4782" s="115" t="s">
        <v>4605</v>
      </c>
      <c r="C4782" s="117">
        <v>789.64</v>
      </c>
    </row>
    <row r="4783" spans="1:3" x14ac:dyDescent="0.25">
      <c r="A4783" s="115">
        <v>3515462</v>
      </c>
      <c r="B4783" s="115" t="s">
        <v>4606</v>
      </c>
      <c r="C4783" s="117">
        <v>789.64</v>
      </c>
    </row>
    <row r="4784" spans="1:3" x14ac:dyDescent="0.25">
      <c r="A4784" s="115">
        <v>3515476</v>
      </c>
      <c r="B4784" s="115" t="s">
        <v>4607</v>
      </c>
      <c r="C4784" s="117">
        <v>789.64</v>
      </c>
    </row>
    <row r="4785" spans="1:3" x14ac:dyDescent="0.25">
      <c r="A4785" s="115">
        <v>3516351</v>
      </c>
      <c r="B4785" s="115" t="s">
        <v>11592</v>
      </c>
      <c r="C4785" s="117">
        <v>11181.98</v>
      </c>
    </row>
    <row r="4786" spans="1:3" x14ac:dyDescent="0.25">
      <c r="A4786" s="115">
        <v>3516398</v>
      </c>
      <c r="B4786" s="115" t="s">
        <v>4608</v>
      </c>
      <c r="C4786" s="117">
        <v>355.34</v>
      </c>
    </row>
    <row r="4787" spans="1:3" x14ac:dyDescent="0.25">
      <c r="A4787" s="115">
        <v>3516303</v>
      </c>
      <c r="B4787" s="115" t="s">
        <v>4609</v>
      </c>
      <c r="C4787" s="117">
        <v>7827.39</v>
      </c>
    </row>
    <row r="4788" spans="1:3" x14ac:dyDescent="0.25">
      <c r="A4788" s="115">
        <v>3516301</v>
      </c>
      <c r="B4788" s="115" t="s">
        <v>4610</v>
      </c>
      <c r="C4788" s="117">
        <v>7827.39</v>
      </c>
    </row>
    <row r="4789" spans="1:3" x14ac:dyDescent="0.25">
      <c r="A4789" s="115">
        <v>3516302</v>
      </c>
      <c r="B4789" s="115" t="s">
        <v>4611</v>
      </c>
      <c r="C4789" s="117">
        <v>7827.39</v>
      </c>
    </row>
    <row r="4790" spans="1:3" x14ac:dyDescent="0.25">
      <c r="A4790" s="115">
        <v>3510061</v>
      </c>
      <c r="B4790" s="115" t="s">
        <v>4612</v>
      </c>
      <c r="C4790" s="117">
        <v>285.45999999999998</v>
      </c>
    </row>
    <row r="4791" spans="1:3" x14ac:dyDescent="0.25">
      <c r="A4791" s="115">
        <v>3510062</v>
      </c>
      <c r="B4791" s="115" t="s">
        <v>4613</v>
      </c>
      <c r="C4791" s="117">
        <v>285.45999999999998</v>
      </c>
    </row>
    <row r="4792" spans="1:3" x14ac:dyDescent="0.25">
      <c r="A4792" s="115">
        <v>3510063</v>
      </c>
      <c r="B4792" s="115" t="s">
        <v>4614</v>
      </c>
      <c r="C4792" s="117">
        <v>285.45999999999998</v>
      </c>
    </row>
    <row r="4793" spans="1:3" x14ac:dyDescent="0.25">
      <c r="A4793" s="115">
        <v>3510064</v>
      </c>
      <c r="B4793" s="115" t="s">
        <v>4615</v>
      </c>
      <c r="C4793" s="117">
        <v>199.82</v>
      </c>
    </row>
    <row r="4794" spans="1:3" x14ac:dyDescent="0.25">
      <c r="A4794" s="115">
        <v>3512846</v>
      </c>
      <c r="B4794" s="115" t="s">
        <v>4616</v>
      </c>
      <c r="C4794" s="117">
        <v>5429.67</v>
      </c>
    </row>
    <row r="4795" spans="1:3" x14ac:dyDescent="0.25">
      <c r="A4795" s="115">
        <v>3512800</v>
      </c>
      <c r="B4795" s="115" t="s">
        <v>4617</v>
      </c>
      <c r="C4795" s="117">
        <v>5184.58</v>
      </c>
    </row>
    <row r="4796" spans="1:3" x14ac:dyDescent="0.25">
      <c r="A4796" s="115">
        <v>3512805</v>
      </c>
      <c r="B4796" s="115" t="s">
        <v>4618</v>
      </c>
      <c r="C4796" s="117">
        <v>9330.16</v>
      </c>
    </row>
    <row r="4797" spans="1:3" x14ac:dyDescent="0.25">
      <c r="A4797" s="115">
        <v>3512850</v>
      </c>
      <c r="B4797" s="115" t="s">
        <v>4619</v>
      </c>
      <c r="C4797" s="117">
        <v>6861.61</v>
      </c>
    </row>
    <row r="4798" spans="1:3" x14ac:dyDescent="0.25">
      <c r="A4798" s="115">
        <v>3512361</v>
      </c>
      <c r="B4798" s="115" t="s">
        <v>4620</v>
      </c>
      <c r="C4798" s="117">
        <v>961.24</v>
      </c>
    </row>
    <row r="4799" spans="1:3" x14ac:dyDescent="0.25">
      <c r="A4799" s="115">
        <v>3512360</v>
      </c>
      <c r="B4799" s="115" t="s">
        <v>4621</v>
      </c>
      <c r="C4799" s="117">
        <v>600.55999999999995</v>
      </c>
    </row>
    <row r="4800" spans="1:3" x14ac:dyDescent="0.25">
      <c r="A4800" s="115">
        <v>3511190</v>
      </c>
      <c r="B4800" s="115" t="s">
        <v>4622</v>
      </c>
      <c r="C4800" s="117">
        <v>23464.89</v>
      </c>
    </row>
    <row r="4801" spans="1:3" x14ac:dyDescent="0.25">
      <c r="A4801" s="115">
        <v>3511191</v>
      </c>
      <c r="B4801" s="115" t="s">
        <v>4623</v>
      </c>
      <c r="C4801" s="117">
        <v>4508.3</v>
      </c>
    </row>
    <row r="4802" spans="1:3" x14ac:dyDescent="0.25">
      <c r="A4802" s="115">
        <v>3512403</v>
      </c>
      <c r="B4802" s="115" t="s">
        <v>4624</v>
      </c>
      <c r="C4802" s="117">
        <v>3215.36</v>
      </c>
    </row>
    <row r="4803" spans="1:3" x14ac:dyDescent="0.25">
      <c r="A4803" s="115">
        <v>3512401</v>
      </c>
      <c r="B4803" s="115" t="s">
        <v>4625</v>
      </c>
      <c r="C4803" s="117">
        <v>2942.45</v>
      </c>
    </row>
    <row r="4804" spans="1:3" x14ac:dyDescent="0.25">
      <c r="A4804" s="115">
        <v>3512402</v>
      </c>
      <c r="B4804" s="115" t="s">
        <v>4626</v>
      </c>
      <c r="C4804" s="117">
        <v>5787.53</v>
      </c>
    </row>
    <row r="4805" spans="1:3" x14ac:dyDescent="0.25">
      <c r="A4805" s="115">
        <v>3613510</v>
      </c>
      <c r="B4805" s="115" t="s">
        <v>4627</v>
      </c>
      <c r="C4805" s="117">
        <v>3061.05</v>
      </c>
    </row>
    <row r="4806" spans="1:3" x14ac:dyDescent="0.25">
      <c r="A4806" s="115">
        <v>3610801</v>
      </c>
      <c r="B4806" s="115" t="s">
        <v>4628</v>
      </c>
      <c r="C4806" s="117">
        <v>6854.5</v>
      </c>
    </row>
    <row r="4807" spans="1:3" x14ac:dyDescent="0.25">
      <c r="A4807" s="115">
        <v>3610802</v>
      </c>
      <c r="B4807" s="115" t="s">
        <v>4629</v>
      </c>
      <c r="C4807" s="117">
        <v>3808.82</v>
      </c>
    </row>
    <row r="4808" spans="1:3" x14ac:dyDescent="0.25">
      <c r="A4808" s="115">
        <v>3610800</v>
      </c>
      <c r="B4808" s="115" t="s">
        <v>4630</v>
      </c>
      <c r="C4808" s="117">
        <v>4062.92</v>
      </c>
    </row>
    <row r="4809" spans="1:3" x14ac:dyDescent="0.25">
      <c r="A4809" s="115">
        <v>3619400</v>
      </c>
      <c r="B4809" s="115" t="s">
        <v>4631</v>
      </c>
      <c r="C4809" s="117">
        <v>4814.5200000000004</v>
      </c>
    </row>
    <row r="4810" spans="1:3" x14ac:dyDescent="0.25">
      <c r="A4810" s="115">
        <v>3512897</v>
      </c>
      <c r="B4810" s="115" t="s">
        <v>4632</v>
      </c>
      <c r="C4810" s="117">
        <v>7976.07</v>
      </c>
    </row>
    <row r="4811" spans="1:3" x14ac:dyDescent="0.25">
      <c r="A4811" s="115">
        <v>3519000</v>
      </c>
      <c r="B4811" s="115" t="s">
        <v>4633</v>
      </c>
      <c r="C4811" s="117">
        <v>2077.4</v>
      </c>
    </row>
    <row r="4812" spans="1:3" x14ac:dyDescent="0.25">
      <c r="A4812" s="115">
        <v>3519001</v>
      </c>
      <c r="B4812" s="115" t="s">
        <v>4634</v>
      </c>
      <c r="C4812" s="117">
        <v>1807.95</v>
      </c>
    </row>
    <row r="4813" spans="1:3" x14ac:dyDescent="0.25">
      <c r="A4813" s="115">
        <v>3519002</v>
      </c>
      <c r="B4813" s="115" t="s">
        <v>4635</v>
      </c>
      <c r="C4813" s="117">
        <v>1807.95</v>
      </c>
    </row>
    <row r="4814" spans="1:3" x14ac:dyDescent="0.25">
      <c r="A4814" s="115">
        <v>3519003</v>
      </c>
      <c r="B4814" s="115" t="s">
        <v>4636</v>
      </c>
      <c r="C4814" s="117">
        <v>1807.95</v>
      </c>
    </row>
    <row r="4815" spans="1:3" x14ac:dyDescent="0.25">
      <c r="A4815" s="115">
        <v>3519004</v>
      </c>
      <c r="B4815" s="115" t="s">
        <v>4637</v>
      </c>
      <c r="C4815" s="117">
        <v>1807.95</v>
      </c>
    </row>
    <row r="4816" spans="1:3" x14ac:dyDescent="0.25">
      <c r="A4816" s="115">
        <v>3519005</v>
      </c>
      <c r="B4816" s="115" t="s">
        <v>4638</v>
      </c>
      <c r="C4816" s="117">
        <v>1807.95</v>
      </c>
    </row>
    <row r="4817" spans="1:3" x14ac:dyDescent="0.25">
      <c r="A4817" s="115">
        <v>3519006</v>
      </c>
      <c r="B4817" s="115" t="s">
        <v>4639</v>
      </c>
      <c r="C4817" s="117">
        <v>1807.95</v>
      </c>
    </row>
    <row r="4818" spans="1:3" x14ac:dyDescent="0.25">
      <c r="A4818" s="115">
        <v>3519007</v>
      </c>
      <c r="B4818" s="115" t="s">
        <v>4640</v>
      </c>
      <c r="C4818" s="117">
        <v>1807.95</v>
      </c>
    </row>
    <row r="4819" spans="1:3" x14ac:dyDescent="0.25">
      <c r="A4819" s="115">
        <v>3519008</v>
      </c>
      <c r="B4819" s="115" t="s">
        <v>4641</v>
      </c>
      <c r="C4819" s="117">
        <v>1807.95</v>
      </c>
    </row>
    <row r="4820" spans="1:3" x14ac:dyDescent="0.25">
      <c r="A4820" s="115">
        <v>3519010</v>
      </c>
      <c r="B4820" s="115" t="s">
        <v>4642</v>
      </c>
      <c r="C4820" s="117">
        <v>1807.95</v>
      </c>
    </row>
    <row r="4821" spans="1:3" x14ac:dyDescent="0.25">
      <c r="A4821" s="115">
        <v>3681204</v>
      </c>
      <c r="B4821" s="115" t="s">
        <v>11593</v>
      </c>
      <c r="C4821" s="117">
        <v>3158.8</v>
      </c>
    </row>
    <row r="4822" spans="1:3" x14ac:dyDescent="0.25">
      <c r="A4822" s="115">
        <v>3681205</v>
      </c>
      <c r="B4822" s="115" t="s">
        <v>11594</v>
      </c>
      <c r="C4822" s="117">
        <v>3897.11</v>
      </c>
    </row>
    <row r="4823" spans="1:3" x14ac:dyDescent="0.25">
      <c r="A4823" s="115">
        <v>3670876</v>
      </c>
      <c r="B4823" s="115" t="s">
        <v>4643</v>
      </c>
      <c r="C4823" s="117">
        <v>1719.92</v>
      </c>
    </row>
    <row r="4824" spans="1:3" x14ac:dyDescent="0.25">
      <c r="A4824" s="115">
        <v>3682030</v>
      </c>
      <c r="B4824" s="115" t="s">
        <v>4644</v>
      </c>
      <c r="C4824" s="117">
        <v>1995.04</v>
      </c>
    </row>
    <row r="4825" spans="1:3" x14ac:dyDescent="0.25">
      <c r="A4825" s="115">
        <v>3512490</v>
      </c>
      <c r="B4825" s="115" t="s">
        <v>4645</v>
      </c>
      <c r="C4825" s="117">
        <v>12394.97</v>
      </c>
    </row>
    <row r="4826" spans="1:3" x14ac:dyDescent="0.25">
      <c r="A4826" s="115">
        <v>3512491</v>
      </c>
      <c r="B4826" s="115" t="s">
        <v>4646</v>
      </c>
      <c r="C4826" s="117">
        <v>24872.46</v>
      </c>
    </row>
    <row r="4827" spans="1:3" x14ac:dyDescent="0.25">
      <c r="A4827" s="115">
        <v>3762029</v>
      </c>
      <c r="B4827" s="115" t="s">
        <v>4647</v>
      </c>
      <c r="C4827" s="117">
        <v>779.84</v>
      </c>
    </row>
    <row r="4828" spans="1:3" x14ac:dyDescent="0.25">
      <c r="A4828" s="115">
        <v>3762083</v>
      </c>
      <c r="B4828" s="115" t="s">
        <v>4648</v>
      </c>
      <c r="C4828" s="117">
        <v>545.89</v>
      </c>
    </row>
    <row r="4829" spans="1:3" x14ac:dyDescent="0.25">
      <c r="A4829" s="115">
        <v>3761763</v>
      </c>
      <c r="B4829" s="115" t="s">
        <v>4649</v>
      </c>
      <c r="C4829" s="117">
        <v>608.98</v>
      </c>
    </row>
    <row r="4830" spans="1:3" x14ac:dyDescent="0.25">
      <c r="A4830" s="115">
        <v>3761483</v>
      </c>
      <c r="B4830" s="115" t="s">
        <v>4650</v>
      </c>
      <c r="C4830" s="117">
        <v>59.43</v>
      </c>
    </row>
    <row r="4831" spans="1:3" x14ac:dyDescent="0.25">
      <c r="A4831" s="115">
        <v>3761529</v>
      </c>
      <c r="B4831" s="115" t="s">
        <v>4651</v>
      </c>
      <c r="C4831" s="117">
        <v>1724.75</v>
      </c>
    </row>
    <row r="4832" spans="1:3" x14ac:dyDescent="0.25">
      <c r="A4832" s="115">
        <v>3761563</v>
      </c>
      <c r="B4832" s="115" t="s">
        <v>4652</v>
      </c>
      <c r="C4832" s="117">
        <v>1724.75</v>
      </c>
    </row>
    <row r="4833" spans="1:3" x14ac:dyDescent="0.25">
      <c r="A4833" s="115">
        <v>3761576</v>
      </c>
      <c r="B4833" s="115" t="s">
        <v>4653</v>
      </c>
      <c r="C4833" s="117">
        <v>1207.32</v>
      </c>
    </row>
    <row r="4834" spans="1:3" x14ac:dyDescent="0.25">
      <c r="A4834" s="115">
        <v>3761663</v>
      </c>
      <c r="B4834" s="115" t="s">
        <v>4654</v>
      </c>
      <c r="C4834" s="117">
        <v>1776.05</v>
      </c>
    </row>
    <row r="4835" spans="1:3" x14ac:dyDescent="0.25">
      <c r="A4835" s="115">
        <v>3761676</v>
      </c>
      <c r="B4835" s="115" t="s">
        <v>4655</v>
      </c>
      <c r="C4835" s="117">
        <v>1776.05</v>
      </c>
    </row>
    <row r="4836" spans="1:3" x14ac:dyDescent="0.25">
      <c r="A4836" s="115">
        <v>3510097</v>
      </c>
      <c r="B4836" s="115" t="s">
        <v>4656</v>
      </c>
      <c r="C4836" s="117">
        <v>13632.33</v>
      </c>
    </row>
    <row r="4837" spans="1:3" x14ac:dyDescent="0.25">
      <c r="A4837" s="115">
        <v>3510098</v>
      </c>
      <c r="B4837" s="115" t="s">
        <v>4657</v>
      </c>
      <c r="C4837" s="117">
        <v>10657.97</v>
      </c>
    </row>
    <row r="4838" spans="1:3" x14ac:dyDescent="0.25">
      <c r="A4838" s="144" t="s">
        <v>4658</v>
      </c>
      <c r="B4838" s="145"/>
      <c r="C4838" s="145"/>
    </row>
    <row r="4839" spans="1:3" x14ac:dyDescent="0.25">
      <c r="A4839" s="115">
        <v>3547050</v>
      </c>
      <c r="B4839" s="115" t="s">
        <v>4659</v>
      </c>
      <c r="C4839" s="117">
        <v>270.88</v>
      </c>
    </row>
    <row r="4840" spans="1:3" x14ac:dyDescent="0.25">
      <c r="A4840" s="115">
        <v>3547055</v>
      </c>
      <c r="B4840" s="115" t="s">
        <v>4660</v>
      </c>
      <c r="C4840" s="117">
        <v>1315.76</v>
      </c>
    </row>
    <row r="4841" spans="1:3" x14ac:dyDescent="0.25">
      <c r="A4841" s="115">
        <v>3547100</v>
      </c>
      <c r="B4841" s="115" t="s">
        <v>4661</v>
      </c>
      <c r="C4841" s="117">
        <v>2637.82</v>
      </c>
    </row>
    <row r="4842" spans="1:3" x14ac:dyDescent="0.25">
      <c r="A4842" s="115">
        <v>3544001</v>
      </c>
      <c r="B4842" s="115" t="s">
        <v>4662</v>
      </c>
      <c r="C4842" s="117">
        <v>404.06</v>
      </c>
    </row>
    <row r="4843" spans="1:3" x14ac:dyDescent="0.25">
      <c r="A4843" s="115">
        <v>3540303</v>
      </c>
      <c r="B4843" s="115" t="s">
        <v>4663</v>
      </c>
      <c r="C4843" s="117">
        <v>1461.45</v>
      </c>
    </row>
    <row r="4844" spans="1:3" x14ac:dyDescent="0.25">
      <c r="A4844" s="115">
        <v>3540302</v>
      </c>
      <c r="B4844" s="115" t="s">
        <v>4664</v>
      </c>
      <c r="C4844" s="117">
        <v>1023.26</v>
      </c>
    </row>
    <row r="4845" spans="1:3" x14ac:dyDescent="0.25">
      <c r="A4845" s="115">
        <v>3540301</v>
      </c>
      <c r="B4845" s="115" t="s">
        <v>4665</v>
      </c>
      <c r="C4845" s="117">
        <v>1461.45</v>
      </c>
    </row>
    <row r="4846" spans="1:3" x14ac:dyDescent="0.25">
      <c r="A4846" s="115">
        <v>3544030</v>
      </c>
      <c r="B4846" s="115" t="s">
        <v>4666</v>
      </c>
      <c r="C4846" s="117">
        <v>5847.18</v>
      </c>
    </row>
    <row r="4847" spans="1:3" x14ac:dyDescent="0.25">
      <c r="A4847" s="115">
        <v>3544026</v>
      </c>
      <c r="B4847" s="115" t="s">
        <v>4667</v>
      </c>
      <c r="C4847" s="117">
        <v>424.56</v>
      </c>
    </row>
    <row r="4848" spans="1:3" x14ac:dyDescent="0.25">
      <c r="A4848" s="115">
        <v>3544029</v>
      </c>
      <c r="B4848" s="115" t="s">
        <v>4668</v>
      </c>
      <c r="C4848" s="117">
        <v>424.56</v>
      </c>
    </row>
    <row r="4849" spans="1:3" x14ac:dyDescent="0.25">
      <c r="A4849" s="115">
        <v>3544027</v>
      </c>
      <c r="B4849" s="115" t="s">
        <v>4669</v>
      </c>
      <c r="C4849" s="117">
        <v>424.56</v>
      </c>
    </row>
    <row r="4850" spans="1:3" x14ac:dyDescent="0.25">
      <c r="A4850" s="115">
        <v>3544023</v>
      </c>
      <c r="B4850" s="115" t="s">
        <v>4670</v>
      </c>
      <c r="C4850" s="117">
        <v>424.56</v>
      </c>
    </row>
    <row r="4851" spans="1:3" x14ac:dyDescent="0.25">
      <c r="A4851" s="115">
        <v>3544049</v>
      </c>
      <c r="B4851" s="115" t="s">
        <v>4671</v>
      </c>
      <c r="C4851" s="117">
        <v>424.56</v>
      </c>
    </row>
    <row r="4852" spans="1:3" x14ac:dyDescent="0.25">
      <c r="A4852" s="115">
        <v>3544090</v>
      </c>
      <c r="B4852" s="115" t="s">
        <v>4672</v>
      </c>
      <c r="C4852" s="117">
        <v>2125.67</v>
      </c>
    </row>
    <row r="4853" spans="1:3" x14ac:dyDescent="0.25">
      <c r="A4853" s="115">
        <v>3544038</v>
      </c>
      <c r="B4853" s="115" t="s">
        <v>4673</v>
      </c>
      <c r="C4853" s="117">
        <v>424.56</v>
      </c>
    </row>
    <row r="4854" spans="1:3" x14ac:dyDescent="0.25">
      <c r="A4854" s="115">
        <v>3544044</v>
      </c>
      <c r="B4854" s="115" t="s">
        <v>4674</v>
      </c>
      <c r="C4854" s="117">
        <v>424.56</v>
      </c>
    </row>
    <row r="4855" spans="1:3" x14ac:dyDescent="0.25">
      <c r="A4855" s="115">
        <v>3544067</v>
      </c>
      <c r="B4855" s="115" t="s">
        <v>4675</v>
      </c>
      <c r="C4855" s="117">
        <v>424.56</v>
      </c>
    </row>
    <row r="4856" spans="1:3" x14ac:dyDescent="0.25">
      <c r="A4856" s="115">
        <v>3544051</v>
      </c>
      <c r="B4856" s="115" t="s">
        <v>4676</v>
      </c>
      <c r="C4856" s="117">
        <v>424.56</v>
      </c>
    </row>
    <row r="4857" spans="1:3" x14ac:dyDescent="0.25">
      <c r="A4857" s="115">
        <v>3544063</v>
      </c>
      <c r="B4857" s="115" t="s">
        <v>4677</v>
      </c>
      <c r="C4857" s="117">
        <v>424.56</v>
      </c>
    </row>
    <row r="4858" spans="1:3" x14ac:dyDescent="0.25">
      <c r="A4858" s="115">
        <v>3544062</v>
      </c>
      <c r="B4858" s="115" t="s">
        <v>4678</v>
      </c>
      <c r="C4858" s="117">
        <v>424.56</v>
      </c>
    </row>
    <row r="4859" spans="1:3" x14ac:dyDescent="0.25">
      <c r="A4859" s="115">
        <v>3544037</v>
      </c>
      <c r="B4859" s="115" t="s">
        <v>4679</v>
      </c>
      <c r="C4859" s="117">
        <v>2550.5700000000002</v>
      </c>
    </row>
    <row r="4860" spans="1:3" x14ac:dyDescent="0.25">
      <c r="A4860" s="115">
        <v>3544076</v>
      </c>
      <c r="B4860" s="115" t="s">
        <v>4680</v>
      </c>
      <c r="C4860" s="117">
        <v>424.56</v>
      </c>
    </row>
    <row r="4861" spans="1:3" x14ac:dyDescent="0.25">
      <c r="A4861" s="115">
        <v>3544078</v>
      </c>
      <c r="B4861" s="115" t="s">
        <v>4681</v>
      </c>
      <c r="C4861" s="117">
        <v>424.56</v>
      </c>
    </row>
    <row r="4862" spans="1:3" x14ac:dyDescent="0.25">
      <c r="A4862" s="115">
        <v>3544077</v>
      </c>
      <c r="B4862" s="115" t="s">
        <v>4682</v>
      </c>
      <c r="C4862" s="117">
        <v>424.56</v>
      </c>
    </row>
    <row r="4863" spans="1:3" x14ac:dyDescent="0.25">
      <c r="A4863" s="115">
        <v>3544010</v>
      </c>
      <c r="B4863" s="115" t="s">
        <v>4683</v>
      </c>
      <c r="C4863" s="117">
        <v>4249.05</v>
      </c>
    </row>
    <row r="4864" spans="1:3" x14ac:dyDescent="0.25">
      <c r="A4864" s="115">
        <v>3544020</v>
      </c>
      <c r="B4864" s="115" t="s">
        <v>4684</v>
      </c>
      <c r="C4864" s="117">
        <v>8503.1200000000008</v>
      </c>
    </row>
    <row r="4865" spans="1:3" x14ac:dyDescent="0.25">
      <c r="A4865" s="115">
        <v>3544004</v>
      </c>
      <c r="B4865" s="115" t="s">
        <v>4685</v>
      </c>
      <c r="C4865" s="117">
        <v>1699.51</v>
      </c>
    </row>
    <row r="4866" spans="1:3" x14ac:dyDescent="0.25">
      <c r="A4866" s="115">
        <v>3544087</v>
      </c>
      <c r="B4866" s="115" t="s">
        <v>4686</v>
      </c>
      <c r="C4866" s="117">
        <v>424.56</v>
      </c>
    </row>
    <row r="4867" spans="1:3" x14ac:dyDescent="0.25">
      <c r="A4867" s="115">
        <v>3544088</v>
      </c>
      <c r="B4867" s="115" t="s">
        <v>4687</v>
      </c>
      <c r="C4867" s="117">
        <v>424.56</v>
      </c>
    </row>
    <row r="4868" spans="1:3" x14ac:dyDescent="0.25">
      <c r="A4868" s="115">
        <v>3544083</v>
      </c>
      <c r="B4868" s="115" t="s">
        <v>4688</v>
      </c>
      <c r="C4868" s="117">
        <v>424.56</v>
      </c>
    </row>
    <row r="4869" spans="1:3" x14ac:dyDescent="0.25">
      <c r="A4869" s="115">
        <v>3544069</v>
      </c>
      <c r="B4869" s="115" t="s">
        <v>4689</v>
      </c>
      <c r="C4869" s="117">
        <v>424.56</v>
      </c>
    </row>
    <row r="4870" spans="1:3" x14ac:dyDescent="0.25">
      <c r="A4870" s="115">
        <v>3544086</v>
      </c>
      <c r="B4870" s="115" t="s">
        <v>4690</v>
      </c>
      <c r="C4870" s="117">
        <v>424.56</v>
      </c>
    </row>
    <row r="4871" spans="1:3" x14ac:dyDescent="0.25">
      <c r="A4871" s="115">
        <v>3544084</v>
      </c>
      <c r="B4871" s="115" t="s">
        <v>4691</v>
      </c>
      <c r="C4871" s="117">
        <v>424.56</v>
      </c>
    </row>
    <row r="4872" spans="1:3" x14ac:dyDescent="0.25">
      <c r="A4872" s="115">
        <v>3543744</v>
      </c>
      <c r="B4872" s="115" t="s">
        <v>4692</v>
      </c>
      <c r="C4872" s="117">
        <v>93.91</v>
      </c>
    </row>
    <row r="4873" spans="1:3" x14ac:dyDescent="0.25">
      <c r="A4873" s="115">
        <v>3543747</v>
      </c>
      <c r="B4873" s="115" t="s">
        <v>4693</v>
      </c>
      <c r="C4873" s="117">
        <v>93.91</v>
      </c>
    </row>
    <row r="4874" spans="1:3" x14ac:dyDescent="0.25">
      <c r="A4874" s="115">
        <v>3543729</v>
      </c>
      <c r="B4874" s="115" t="s">
        <v>4694</v>
      </c>
      <c r="C4874" s="117">
        <v>93.91</v>
      </c>
    </row>
    <row r="4875" spans="1:3" x14ac:dyDescent="0.25">
      <c r="A4875" s="115">
        <v>3543777</v>
      </c>
      <c r="B4875" s="115" t="s">
        <v>4695</v>
      </c>
      <c r="C4875" s="117">
        <v>93.91</v>
      </c>
    </row>
    <row r="4876" spans="1:3" x14ac:dyDescent="0.25">
      <c r="A4876" s="115">
        <v>3543745</v>
      </c>
      <c r="B4876" s="115" t="s">
        <v>4696</v>
      </c>
      <c r="C4876" s="117">
        <v>93.91</v>
      </c>
    </row>
    <row r="4877" spans="1:3" x14ac:dyDescent="0.25">
      <c r="A4877" s="115">
        <v>3547030</v>
      </c>
      <c r="B4877" s="115" t="s">
        <v>4697</v>
      </c>
      <c r="C4877" s="117">
        <v>2280.92</v>
      </c>
    </row>
    <row r="4878" spans="1:3" x14ac:dyDescent="0.25">
      <c r="A4878" s="115">
        <v>3547060</v>
      </c>
      <c r="B4878" s="115" t="s">
        <v>4698</v>
      </c>
      <c r="C4878" s="117">
        <v>43.66</v>
      </c>
    </row>
    <row r="4879" spans="1:3" x14ac:dyDescent="0.25">
      <c r="A4879" s="115">
        <v>3543805</v>
      </c>
      <c r="B4879" s="115" t="s">
        <v>4699</v>
      </c>
      <c r="C4879" s="117">
        <v>118.23</v>
      </c>
    </row>
    <row r="4880" spans="1:3" x14ac:dyDescent="0.25">
      <c r="A4880" s="115">
        <v>3541205</v>
      </c>
      <c r="B4880" s="115" t="s">
        <v>12348</v>
      </c>
      <c r="C4880" s="117">
        <v>2035.99</v>
      </c>
    </row>
    <row r="4881" spans="1:3" x14ac:dyDescent="0.25">
      <c r="A4881" s="115">
        <v>3541297</v>
      </c>
      <c r="B4881" s="115" t="s">
        <v>12349</v>
      </c>
      <c r="C4881" s="117">
        <v>2194.67</v>
      </c>
    </row>
    <row r="4882" spans="1:3" x14ac:dyDescent="0.25">
      <c r="A4882" s="115">
        <v>3541296</v>
      </c>
      <c r="B4882" s="115" t="s">
        <v>12350</v>
      </c>
      <c r="C4882" s="117">
        <v>2194.67</v>
      </c>
    </row>
    <row r="4883" spans="1:3" x14ac:dyDescent="0.25">
      <c r="A4883" s="115">
        <v>3541294</v>
      </c>
      <c r="B4883" s="115" t="s">
        <v>12351</v>
      </c>
      <c r="C4883" s="117">
        <v>2194.67</v>
      </c>
    </row>
    <row r="4884" spans="1:3" x14ac:dyDescent="0.25">
      <c r="A4884" s="115">
        <v>3515029</v>
      </c>
      <c r="B4884" s="115" t="s">
        <v>4700</v>
      </c>
      <c r="C4884" s="117">
        <v>348.51</v>
      </c>
    </row>
    <row r="4885" spans="1:3" x14ac:dyDescent="0.25">
      <c r="A4885" s="115">
        <v>3515063</v>
      </c>
      <c r="B4885" s="115" t="s">
        <v>4701</v>
      </c>
      <c r="C4885" s="117">
        <v>348.51</v>
      </c>
    </row>
    <row r="4886" spans="1:3" x14ac:dyDescent="0.25">
      <c r="A4886" s="115">
        <v>3515062</v>
      </c>
      <c r="B4886" s="115" t="s">
        <v>4702</v>
      </c>
      <c r="C4886" s="117">
        <v>107.85</v>
      </c>
    </row>
    <row r="4887" spans="1:3" x14ac:dyDescent="0.25">
      <c r="A4887" s="115">
        <v>3515076</v>
      </c>
      <c r="B4887" s="115" t="s">
        <v>4703</v>
      </c>
      <c r="C4887" s="117">
        <v>348.51</v>
      </c>
    </row>
    <row r="4888" spans="1:3" x14ac:dyDescent="0.25">
      <c r="A4888" s="115">
        <v>3515083</v>
      </c>
      <c r="B4888" s="115" t="s">
        <v>4704</v>
      </c>
      <c r="C4888" s="117">
        <v>348.51</v>
      </c>
    </row>
    <row r="4889" spans="1:3" x14ac:dyDescent="0.25">
      <c r="A4889" s="115">
        <v>3548029</v>
      </c>
      <c r="B4889" s="115" t="s">
        <v>4705</v>
      </c>
      <c r="C4889" s="117">
        <v>57.77</v>
      </c>
    </row>
    <row r="4890" spans="1:3" x14ac:dyDescent="0.25">
      <c r="A4890" s="115">
        <v>3548076</v>
      </c>
      <c r="B4890" s="115" t="s">
        <v>4706</v>
      </c>
      <c r="C4890" s="117">
        <v>57.77</v>
      </c>
    </row>
    <row r="4891" spans="1:3" x14ac:dyDescent="0.25">
      <c r="A4891" s="115">
        <v>3548083</v>
      </c>
      <c r="B4891" s="115" t="s">
        <v>4707</v>
      </c>
      <c r="C4891" s="117">
        <v>57.77</v>
      </c>
    </row>
    <row r="4892" spans="1:3" x14ac:dyDescent="0.25">
      <c r="A4892" s="115">
        <v>3543026</v>
      </c>
      <c r="B4892" s="115" t="s">
        <v>4708</v>
      </c>
      <c r="C4892" s="117">
        <v>64.5</v>
      </c>
    </row>
    <row r="4893" spans="1:3" x14ac:dyDescent="0.25">
      <c r="A4893" s="115">
        <v>3543023</v>
      </c>
      <c r="B4893" s="115" t="s">
        <v>4709</v>
      </c>
      <c r="C4893" s="117">
        <v>64.5</v>
      </c>
    </row>
    <row r="4894" spans="1:3" x14ac:dyDescent="0.25">
      <c r="A4894" s="115">
        <v>3543067</v>
      </c>
      <c r="B4894" s="115" t="s">
        <v>4710</v>
      </c>
      <c r="C4894" s="117">
        <v>64.5</v>
      </c>
    </row>
    <row r="4895" spans="1:3" x14ac:dyDescent="0.25">
      <c r="A4895" s="115">
        <v>3543062</v>
      </c>
      <c r="B4895" s="115" t="s">
        <v>4711</v>
      </c>
      <c r="C4895" s="117">
        <v>64.5</v>
      </c>
    </row>
    <row r="4896" spans="1:3" x14ac:dyDescent="0.25">
      <c r="A4896" s="115">
        <v>3543077</v>
      </c>
      <c r="B4896" s="115" t="s">
        <v>4712</v>
      </c>
      <c r="C4896" s="117">
        <v>64.5</v>
      </c>
    </row>
    <row r="4897" spans="1:3" x14ac:dyDescent="0.25">
      <c r="A4897" s="115">
        <v>3543083</v>
      </c>
      <c r="B4897" s="115" t="s">
        <v>4713</v>
      </c>
      <c r="C4897" s="117">
        <v>64.5</v>
      </c>
    </row>
    <row r="4898" spans="1:3" x14ac:dyDescent="0.25">
      <c r="A4898" s="115">
        <v>3543084</v>
      </c>
      <c r="B4898" s="115" t="s">
        <v>4714</v>
      </c>
      <c r="C4898" s="117">
        <v>64.5</v>
      </c>
    </row>
    <row r="4899" spans="1:3" x14ac:dyDescent="0.25">
      <c r="A4899" s="115">
        <v>3544003</v>
      </c>
      <c r="B4899" s="115" t="s">
        <v>4715</v>
      </c>
      <c r="C4899" s="117">
        <v>6034.98</v>
      </c>
    </row>
    <row r="4900" spans="1:3" x14ac:dyDescent="0.25">
      <c r="A4900" s="115">
        <v>3541129</v>
      </c>
      <c r="B4900" s="115" t="s">
        <v>4716</v>
      </c>
      <c r="C4900" s="117">
        <v>719.6</v>
      </c>
    </row>
    <row r="4901" spans="1:3" x14ac:dyDescent="0.25">
      <c r="A4901" s="115">
        <v>3541183</v>
      </c>
      <c r="B4901" s="115" t="s">
        <v>4717</v>
      </c>
      <c r="C4901" s="117">
        <v>100.43</v>
      </c>
    </row>
    <row r="4902" spans="1:3" x14ac:dyDescent="0.25">
      <c r="A4902" s="115">
        <v>3540563</v>
      </c>
      <c r="B4902" s="115" t="s">
        <v>4718</v>
      </c>
      <c r="C4902" s="117">
        <v>1532.68</v>
      </c>
    </row>
    <row r="4903" spans="1:3" x14ac:dyDescent="0.25">
      <c r="A4903" s="115">
        <v>3540529</v>
      </c>
      <c r="B4903" s="115" t="s">
        <v>4719</v>
      </c>
      <c r="C4903" s="117">
        <v>1532.68</v>
      </c>
    </row>
    <row r="4904" spans="1:3" x14ac:dyDescent="0.25">
      <c r="A4904" s="115">
        <v>3540573</v>
      </c>
      <c r="B4904" s="115" t="s">
        <v>4720</v>
      </c>
      <c r="C4904" s="117">
        <v>1532.68</v>
      </c>
    </row>
    <row r="4905" spans="1:3" x14ac:dyDescent="0.25">
      <c r="A4905" s="115">
        <v>3542129</v>
      </c>
      <c r="B4905" s="115" t="s">
        <v>4721</v>
      </c>
      <c r="C4905" s="117">
        <v>218.28</v>
      </c>
    </row>
    <row r="4906" spans="1:3" x14ac:dyDescent="0.25">
      <c r="A4906" s="115">
        <v>3542176</v>
      </c>
      <c r="B4906" s="115" t="s">
        <v>4722</v>
      </c>
      <c r="C4906" s="117">
        <v>218.28</v>
      </c>
    </row>
    <row r="4907" spans="1:3" x14ac:dyDescent="0.25">
      <c r="A4907" s="115">
        <v>3543416</v>
      </c>
      <c r="B4907" s="115" t="s">
        <v>4723</v>
      </c>
      <c r="C4907" s="117">
        <v>2553.19</v>
      </c>
    </row>
    <row r="4908" spans="1:3" x14ac:dyDescent="0.25">
      <c r="A4908" s="115">
        <v>3543371</v>
      </c>
      <c r="B4908" s="115" t="s">
        <v>4724</v>
      </c>
      <c r="C4908" s="117">
        <v>127.66</v>
      </c>
    </row>
    <row r="4909" spans="1:3" x14ac:dyDescent="0.25">
      <c r="A4909" s="115">
        <v>3543313</v>
      </c>
      <c r="B4909" s="115" t="s">
        <v>4725</v>
      </c>
      <c r="C4909" s="117">
        <v>136.6</v>
      </c>
    </row>
    <row r="4910" spans="1:3" x14ac:dyDescent="0.25">
      <c r="A4910" s="115">
        <v>3543374</v>
      </c>
      <c r="B4910" s="115" t="s">
        <v>4726</v>
      </c>
      <c r="C4910" s="117">
        <v>127.66</v>
      </c>
    </row>
    <row r="4911" spans="1:3" x14ac:dyDescent="0.25">
      <c r="A4911" s="115">
        <v>3543375</v>
      </c>
      <c r="B4911" s="115" t="s">
        <v>4727</v>
      </c>
      <c r="C4911" s="117">
        <v>127.66</v>
      </c>
    </row>
    <row r="4912" spans="1:3" x14ac:dyDescent="0.25">
      <c r="A4912" s="115">
        <v>3543370</v>
      </c>
      <c r="B4912" s="115" t="s">
        <v>4728</v>
      </c>
      <c r="C4912" s="117">
        <v>127.66</v>
      </c>
    </row>
    <row r="4913" spans="1:3" x14ac:dyDescent="0.25">
      <c r="A4913" s="115">
        <v>3543326</v>
      </c>
      <c r="B4913" s="115" t="s">
        <v>4729</v>
      </c>
      <c r="C4913" s="117">
        <v>136.6</v>
      </c>
    </row>
    <row r="4914" spans="1:3" x14ac:dyDescent="0.25">
      <c r="A4914" s="115">
        <v>3543373</v>
      </c>
      <c r="B4914" s="115" t="s">
        <v>4730</v>
      </c>
      <c r="C4914" s="117">
        <v>127.66</v>
      </c>
    </row>
    <row r="4915" spans="1:3" x14ac:dyDescent="0.25">
      <c r="A4915" s="115">
        <v>3543372</v>
      </c>
      <c r="B4915" s="115" t="s">
        <v>4731</v>
      </c>
      <c r="C4915" s="117">
        <v>127.66</v>
      </c>
    </row>
    <row r="4916" spans="1:3" x14ac:dyDescent="0.25">
      <c r="A4916" s="115">
        <v>3543332</v>
      </c>
      <c r="B4916" s="115" t="s">
        <v>4732</v>
      </c>
      <c r="C4916" s="117">
        <v>136.6</v>
      </c>
    </row>
    <row r="4917" spans="1:3" x14ac:dyDescent="0.25">
      <c r="A4917" s="115">
        <v>3543333</v>
      </c>
      <c r="B4917" s="115" t="s">
        <v>4733</v>
      </c>
      <c r="C4917" s="117">
        <v>136.6</v>
      </c>
    </row>
    <row r="4918" spans="1:3" x14ac:dyDescent="0.25">
      <c r="A4918" s="115">
        <v>3543336</v>
      </c>
      <c r="B4918" s="115" t="s">
        <v>4734</v>
      </c>
      <c r="C4918" s="117">
        <v>136.6</v>
      </c>
    </row>
    <row r="4919" spans="1:3" x14ac:dyDescent="0.25">
      <c r="A4919" s="115">
        <v>3543344</v>
      </c>
      <c r="B4919" s="115" t="s">
        <v>4735</v>
      </c>
      <c r="C4919" s="117">
        <v>136.6</v>
      </c>
    </row>
    <row r="4920" spans="1:3" x14ac:dyDescent="0.25">
      <c r="A4920" s="115">
        <v>3543345</v>
      </c>
      <c r="B4920" s="115" t="s">
        <v>4736</v>
      </c>
      <c r="C4920" s="117">
        <v>136.6</v>
      </c>
    </row>
    <row r="4921" spans="1:3" x14ac:dyDescent="0.25">
      <c r="A4921" s="115">
        <v>3543346</v>
      </c>
      <c r="B4921" s="115" t="s">
        <v>4737</v>
      </c>
      <c r="C4921" s="117">
        <v>136.6</v>
      </c>
    </row>
    <row r="4922" spans="1:3" x14ac:dyDescent="0.25">
      <c r="A4922" s="115">
        <v>3543351</v>
      </c>
      <c r="B4922" s="115" t="s">
        <v>4738</v>
      </c>
      <c r="C4922" s="117">
        <v>136.6</v>
      </c>
    </row>
    <row r="4923" spans="1:3" x14ac:dyDescent="0.25">
      <c r="A4923" s="115">
        <v>3543353</v>
      </c>
      <c r="B4923" s="115" t="s">
        <v>4739</v>
      </c>
      <c r="C4923" s="117">
        <v>136.6</v>
      </c>
    </row>
    <row r="4924" spans="1:3" x14ac:dyDescent="0.25">
      <c r="A4924" s="115">
        <v>3543354</v>
      </c>
      <c r="B4924" s="115" t="s">
        <v>4740</v>
      </c>
      <c r="C4924" s="117">
        <v>136.6</v>
      </c>
    </row>
    <row r="4925" spans="1:3" x14ac:dyDescent="0.25">
      <c r="A4925" s="115">
        <v>3543355</v>
      </c>
      <c r="B4925" s="115" t="s">
        <v>4741</v>
      </c>
      <c r="C4925" s="117">
        <v>136.6</v>
      </c>
    </row>
    <row r="4926" spans="1:3" x14ac:dyDescent="0.25">
      <c r="A4926" s="115">
        <v>3543358</v>
      </c>
      <c r="B4926" s="115" t="s">
        <v>4742</v>
      </c>
      <c r="C4926" s="117">
        <v>136.6</v>
      </c>
    </row>
    <row r="4927" spans="1:3" x14ac:dyDescent="0.25">
      <c r="A4927" s="115">
        <v>3540910</v>
      </c>
      <c r="B4927" s="115" t="s">
        <v>4743</v>
      </c>
      <c r="C4927" s="117">
        <v>3053.9</v>
      </c>
    </row>
    <row r="4928" spans="1:3" x14ac:dyDescent="0.25">
      <c r="A4928" s="115">
        <v>3540905</v>
      </c>
      <c r="B4928" s="115" t="s">
        <v>4744</v>
      </c>
      <c r="C4928" s="117">
        <v>1527.06</v>
      </c>
    </row>
    <row r="4929" spans="1:3" x14ac:dyDescent="0.25">
      <c r="A4929" s="115">
        <v>3121105</v>
      </c>
      <c r="B4929" s="115" t="s">
        <v>4745</v>
      </c>
      <c r="C4929" s="117">
        <v>819.16</v>
      </c>
    </row>
    <row r="4930" spans="1:3" x14ac:dyDescent="0.25">
      <c r="A4930" s="144" t="s">
        <v>4746</v>
      </c>
      <c r="B4930" s="145"/>
      <c r="C4930" s="145"/>
    </row>
    <row r="4931" spans="1:3" x14ac:dyDescent="0.25">
      <c r="A4931" s="115">
        <v>3682300</v>
      </c>
      <c r="B4931" s="115" t="s">
        <v>4747</v>
      </c>
      <c r="C4931" s="117">
        <v>4321.59</v>
      </c>
    </row>
    <row r="4932" spans="1:3" x14ac:dyDescent="0.25">
      <c r="A4932" s="115">
        <v>3689923</v>
      </c>
      <c r="B4932" s="115" t="s">
        <v>4748</v>
      </c>
      <c r="C4932" s="117">
        <v>209.82</v>
      </c>
    </row>
    <row r="4933" spans="1:3" x14ac:dyDescent="0.25">
      <c r="A4933" s="115">
        <v>3681226</v>
      </c>
      <c r="B4933" s="115" t="s">
        <v>4749</v>
      </c>
      <c r="C4933" s="117">
        <v>1176.97</v>
      </c>
    </row>
    <row r="4934" spans="1:3" x14ac:dyDescent="0.25">
      <c r="A4934" s="115">
        <v>3681223</v>
      </c>
      <c r="B4934" s="115" t="s">
        <v>4750</v>
      </c>
      <c r="C4934" s="117">
        <v>1176.97</v>
      </c>
    </row>
    <row r="4935" spans="1:3" x14ac:dyDescent="0.25">
      <c r="A4935" s="115">
        <v>3681262</v>
      </c>
      <c r="B4935" s="115" t="s">
        <v>4751</v>
      </c>
      <c r="C4935" s="117">
        <v>1176.97</v>
      </c>
    </row>
    <row r="4936" spans="1:3" x14ac:dyDescent="0.25">
      <c r="A4936" s="115">
        <v>3685029</v>
      </c>
      <c r="B4936" s="115" t="s">
        <v>4752</v>
      </c>
      <c r="C4936" s="117">
        <v>46.86</v>
      </c>
    </row>
    <row r="4937" spans="1:3" x14ac:dyDescent="0.25">
      <c r="A4937" s="115">
        <v>3685023</v>
      </c>
      <c r="B4937" s="115" t="s">
        <v>4753</v>
      </c>
      <c r="C4937" s="117">
        <v>70.03</v>
      </c>
    </row>
    <row r="4938" spans="1:3" x14ac:dyDescent="0.25">
      <c r="A4938" s="115">
        <v>3685039</v>
      </c>
      <c r="B4938" s="115" t="s">
        <v>4754</v>
      </c>
      <c r="C4938" s="117">
        <v>70.03</v>
      </c>
    </row>
    <row r="4939" spans="1:3" x14ac:dyDescent="0.25">
      <c r="A4939" s="115">
        <v>3685054</v>
      </c>
      <c r="B4939" s="115" t="s">
        <v>4755</v>
      </c>
      <c r="C4939" s="117">
        <v>70.03</v>
      </c>
    </row>
    <row r="4940" spans="1:3" x14ac:dyDescent="0.25">
      <c r="A4940" s="115">
        <v>3685077</v>
      </c>
      <c r="B4940" s="115" t="s">
        <v>4756</v>
      </c>
      <c r="C4940" s="117">
        <v>70.03</v>
      </c>
    </row>
    <row r="4941" spans="1:3" x14ac:dyDescent="0.25">
      <c r="A4941" s="115">
        <v>3685087</v>
      </c>
      <c r="B4941" s="115" t="s">
        <v>4757</v>
      </c>
      <c r="C4941" s="117">
        <v>70.03</v>
      </c>
    </row>
    <row r="4942" spans="1:3" x14ac:dyDescent="0.25">
      <c r="A4942" s="115">
        <v>3685064</v>
      </c>
      <c r="B4942" s="115" t="s">
        <v>4758</v>
      </c>
      <c r="C4942" s="117">
        <v>87.53</v>
      </c>
    </row>
    <row r="4943" spans="1:3" x14ac:dyDescent="0.25">
      <c r="A4943" s="115">
        <v>3685083</v>
      </c>
      <c r="B4943" s="115" t="s">
        <v>4759</v>
      </c>
      <c r="C4943" s="117">
        <v>70.03</v>
      </c>
    </row>
    <row r="4944" spans="1:3" x14ac:dyDescent="0.25">
      <c r="A4944" s="115">
        <v>3681277</v>
      </c>
      <c r="B4944" s="115" t="s">
        <v>4760</v>
      </c>
      <c r="C4944" s="117">
        <v>1176.97</v>
      </c>
    </row>
    <row r="4945" spans="1:3" x14ac:dyDescent="0.25">
      <c r="A4945" s="115">
        <v>3681283</v>
      </c>
      <c r="B4945" s="115" t="s">
        <v>4761</v>
      </c>
      <c r="C4945" s="117">
        <v>1176.97</v>
      </c>
    </row>
    <row r="4946" spans="1:3" x14ac:dyDescent="0.25">
      <c r="A4946" s="115">
        <v>3681126</v>
      </c>
      <c r="B4946" s="115" t="s">
        <v>4762</v>
      </c>
      <c r="C4946" s="117">
        <v>1041.1600000000001</v>
      </c>
    </row>
    <row r="4947" spans="1:3" x14ac:dyDescent="0.25">
      <c r="A4947" s="115">
        <v>3681123</v>
      </c>
      <c r="B4947" s="115" t="s">
        <v>4763</v>
      </c>
      <c r="C4947" s="117">
        <v>1041.1600000000001</v>
      </c>
    </row>
    <row r="4948" spans="1:3" x14ac:dyDescent="0.25">
      <c r="A4948" s="115">
        <v>3681162</v>
      </c>
      <c r="B4948" s="115" t="s">
        <v>4764</v>
      </c>
      <c r="C4948" s="117">
        <v>1041.1600000000001</v>
      </c>
    </row>
    <row r="4949" spans="1:3" x14ac:dyDescent="0.25">
      <c r="A4949" s="115">
        <v>3681177</v>
      </c>
      <c r="B4949" s="115" t="s">
        <v>4765</v>
      </c>
      <c r="C4949" s="117">
        <v>1041.1600000000001</v>
      </c>
    </row>
    <row r="4950" spans="1:3" x14ac:dyDescent="0.25">
      <c r="A4950" s="115">
        <v>3681183</v>
      </c>
      <c r="B4950" s="115" t="s">
        <v>4766</v>
      </c>
      <c r="C4950" s="117">
        <v>1041.1600000000001</v>
      </c>
    </row>
    <row r="4951" spans="1:3" x14ac:dyDescent="0.25">
      <c r="A4951" s="115">
        <v>3681394</v>
      </c>
      <c r="B4951" s="115" t="s">
        <v>4767</v>
      </c>
      <c r="C4951" s="117">
        <v>274.05</v>
      </c>
    </row>
    <row r="4952" spans="1:3" x14ac:dyDescent="0.25">
      <c r="A4952" s="115">
        <v>3681310</v>
      </c>
      <c r="B4952" s="115" t="s">
        <v>4768</v>
      </c>
      <c r="C4952" s="117">
        <v>274.05</v>
      </c>
    </row>
    <row r="4953" spans="1:3" x14ac:dyDescent="0.25">
      <c r="A4953" s="115">
        <v>3681307</v>
      </c>
      <c r="B4953" s="115" t="s">
        <v>4769</v>
      </c>
      <c r="C4953" s="117">
        <v>274.05</v>
      </c>
    </row>
    <row r="4954" spans="1:3" x14ac:dyDescent="0.25">
      <c r="A4954" s="115">
        <v>3681317</v>
      </c>
      <c r="B4954" s="115" t="s">
        <v>4770</v>
      </c>
      <c r="C4954" s="117">
        <v>304.5</v>
      </c>
    </row>
    <row r="4955" spans="1:3" x14ac:dyDescent="0.25">
      <c r="A4955" s="115">
        <v>3681390</v>
      </c>
      <c r="B4955" s="115" t="s">
        <v>4771</v>
      </c>
      <c r="C4955" s="117">
        <v>274.05</v>
      </c>
    </row>
    <row r="4956" spans="1:3" x14ac:dyDescent="0.25">
      <c r="A4956" s="115">
        <v>3681323</v>
      </c>
      <c r="B4956" s="115" t="s">
        <v>4772</v>
      </c>
      <c r="C4956" s="117">
        <v>274.05</v>
      </c>
    </row>
    <row r="4957" spans="1:3" x14ac:dyDescent="0.25">
      <c r="A4957" s="115">
        <v>3681312</v>
      </c>
      <c r="B4957" s="115" t="s">
        <v>4773</v>
      </c>
      <c r="C4957" s="117">
        <v>304.5</v>
      </c>
    </row>
    <row r="4958" spans="1:3" x14ac:dyDescent="0.25">
      <c r="A4958" s="115">
        <v>3682054</v>
      </c>
      <c r="B4958" s="115" t="s">
        <v>4774</v>
      </c>
      <c r="C4958" s="117">
        <v>274.05</v>
      </c>
    </row>
    <row r="4959" spans="1:3" x14ac:dyDescent="0.25">
      <c r="A4959" s="115">
        <v>3681311</v>
      </c>
      <c r="B4959" s="115" t="s">
        <v>4775</v>
      </c>
      <c r="C4959" s="117">
        <v>274.05</v>
      </c>
    </row>
    <row r="4960" spans="1:3" x14ac:dyDescent="0.25">
      <c r="A4960" s="115">
        <v>3682000</v>
      </c>
      <c r="B4960" s="115" t="s">
        <v>4776</v>
      </c>
      <c r="C4960" s="117">
        <v>274.05</v>
      </c>
    </row>
    <row r="4961" spans="1:3" x14ac:dyDescent="0.25">
      <c r="A4961" s="115">
        <v>3681393</v>
      </c>
      <c r="B4961" s="115" t="s">
        <v>4777</v>
      </c>
      <c r="C4961" s="117">
        <v>274.05</v>
      </c>
    </row>
    <row r="4962" spans="1:3" x14ac:dyDescent="0.25">
      <c r="A4962" s="115">
        <v>3681362</v>
      </c>
      <c r="B4962" s="115" t="s">
        <v>4778</v>
      </c>
      <c r="C4962" s="117">
        <v>274.05</v>
      </c>
    </row>
    <row r="4963" spans="1:3" x14ac:dyDescent="0.25">
      <c r="A4963" s="115">
        <v>3681391</v>
      </c>
      <c r="B4963" s="115" t="s">
        <v>4779</v>
      </c>
      <c r="C4963" s="117">
        <v>274.05</v>
      </c>
    </row>
    <row r="4964" spans="1:3" x14ac:dyDescent="0.25">
      <c r="A4964" s="115">
        <v>3681309</v>
      </c>
      <c r="B4964" s="115" t="s">
        <v>4780</v>
      </c>
      <c r="C4964" s="117">
        <v>274.05</v>
      </c>
    </row>
    <row r="4965" spans="1:3" x14ac:dyDescent="0.25">
      <c r="A4965" s="115">
        <v>3681306</v>
      </c>
      <c r="B4965" s="115" t="s">
        <v>4781</v>
      </c>
      <c r="C4965" s="117">
        <v>1891.84</v>
      </c>
    </row>
    <row r="4966" spans="1:3" x14ac:dyDescent="0.25">
      <c r="A4966" s="115">
        <v>3681395</v>
      </c>
      <c r="B4966" s="115" t="s">
        <v>4782</v>
      </c>
      <c r="C4966" s="117">
        <v>274.05</v>
      </c>
    </row>
    <row r="4967" spans="1:3" x14ac:dyDescent="0.25">
      <c r="A4967" s="115">
        <v>3681383</v>
      </c>
      <c r="B4967" s="115" t="s">
        <v>4783</v>
      </c>
      <c r="C4967" s="117">
        <v>274.05</v>
      </c>
    </row>
    <row r="4968" spans="1:3" x14ac:dyDescent="0.25">
      <c r="A4968" s="115">
        <v>3681397</v>
      </c>
      <c r="B4968" s="115" t="s">
        <v>4784</v>
      </c>
      <c r="C4968" s="117">
        <v>274.05</v>
      </c>
    </row>
    <row r="4969" spans="1:3" x14ac:dyDescent="0.25">
      <c r="A4969" s="115">
        <v>3681384</v>
      </c>
      <c r="B4969" s="115" t="s">
        <v>4785</v>
      </c>
      <c r="C4969" s="117">
        <v>274.05</v>
      </c>
    </row>
    <row r="4970" spans="1:3" x14ac:dyDescent="0.25">
      <c r="A4970" s="115">
        <v>3689226</v>
      </c>
      <c r="B4970" s="115" t="s">
        <v>4786</v>
      </c>
      <c r="C4970" s="117">
        <v>16.73</v>
      </c>
    </row>
    <row r="4971" spans="1:3" x14ac:dyDescent="0.25">
      <c r="A4971" s="115">
        <v>3682426</v>
      </c>
      <c r="B4971" s="115" t="s">
        <v>4787</v>
      </c>
      <c r="C4971" s="117">
        <v>1025.1300000000001</v>
      </c>
    </row>
    <row r="4972" spans="1:3" x14ac:dyDescent="0.25">
      <c r="A4972" s="115">
        <v>3682462</v>
      </c>
      <c r="B4972" s="115" t="s">
        <v>4788</v>
      </c>
      <c r="C4972" s="117">
        <v>1025.1300000000001</v>
      </c>
    </row>
    <row r="4973" spans="1:3" x14ac:dyDescent="0.25">
      <c r="A4973" s="115">
        <v>3682483</v>
      </c>
      <c r="B4973" s="115" t="s">
        <v>4789</v>
      </c>
      <c r="C4973" s="117">
        <v>1025.1300000000001</v>
      </c>
    </row>
    <row r="4974" spans="1:3" x14ac:dyDescent="0.25">
      <c r="A4974" s="115">
        <v>3681115</v>
      </c>
      <c r="B4974" s="115" t="s">
        <v>11595</v>
      </c>
      <c r="C4974" s="117">
        <v>3897.11</v>
      </c>
    </row>
    <row r="4975" spans="1:3" x14ac:dyDescent="0.25">
      <c r="A4975" s="115">
        <v>3681105</v>
      </c>
      <c r="B4975" s="115" t="s">
        <v>11596</v>
      </c>
      <c r="C4975" s="117">
        <v>779.42</v>
      </c>
    </row>
    <row r="4976" spans="1:3" x14ac:dyDescent="0.25">
      <c r="A4976" s="115">
        <v>3681207</v>
      </c>
      <c r="B4976" s="115" t="s">
        <v>11597</v>
      </c>
      <c r="C4976" s="117">
        <v>4046.14</v>
      </c>
    </row>
    <row r="4977" spans="1:3" x14ac:dyDescent="0.25">
      <c r="A4977" s="115">
        <v>3681110</v>
      </c>
      <c r="B4977" s="115" t="s">
        <v>11598</v>
      </c>
      <c r="C4977" s="117">
        <v>5426.83</v>
      </c>
    </row>
    <row r="4978" spans="1:3" x14ac:dyDescent="0.25">
      <c r="A4978" s="115">
        <v>3680402</v>
      </c>
      <c r="B4978" s="115" t="s">
        <v>4790</v>
      </c>
      <c r="C4978" s="117">
        <v>952.37</v>
      </c>
    </row>
    <row r="4979" spans="1:3" x14ac:dyDescent="0.25">
      <c r="A4979" s="115">
        <v>3680401</v>
      </c>
      <c r="B4979" s="115" t="s">
        <v>4791</v>
      </c>
      <c r="C4979" s="117">
        <v>2669.77</v>
      </c>
    </row>
    <row r="4980" spans="1:3" x14ac:dyDescent="0.25">
      <c r="A4980" s="115">
        <v>3680405</v>
      </c>
      <c r="B4980" s="115" t="s">
        <v>4792</v>
      </c>
      <c r="C4980" s="117">
        <v>13115.02</v>
      </c>
    </row>
    <row r="4981" spans="1:3" x14ac:dyDescent="0.25">
      <c r="A4981" s="115">
        <v>3680403</v>
      </c>
      <c r="B4981" s="115" t="s">
        <v>4793</v>
      </c>
      <c r="C4981" s="117">
        <v>952.37</v>
      </c>
    </row>
    <row r="4982" spans="1:3" x14ac:dyDescent="0.25">
      <c r="A4982" s="115">
        <v>3680406</v>
      </c>
      <c r="B4982" s="115" t="s">
        <v>4794</v>
      </c>
      <c r="C4982" s="117">
        <v>6327.86</v>
      </c>
    </row>
    <row r="4983" spans="1:3" x14ac:dyDescent="0.25">
      <c r="A4983" s="115">
        <v>3680436</v>
      </c>
      <c r="B4983" s="115" t="s">
        <v>4795</v>
      </c>
      <c r="C4983" s="117">
        <v>1080.25</v>
      </c>
    </row>
    <row r="4984" spans="1:3" x14ac:dyDescent="0.25">
      <c r="A4984" s="115">
        <v>3680404</v>
      </c>
      <c r="B4984" s="115" t="s">
        <v>4796</v>
      </c>
      <c r="C4984" s="117">
        <v>29187.69</v>
      </c>
    </row>
    <row r="4985" spans="1:3" x14ac:dyDescent="0.25">
      <c r="A4985" s="115">
        <v>3681587</v>
      </c>
      <c r="B4985" s="115" t="s">
        <v>4797</v>
      </c>
      <c r="C4985" s="117">
        <v>465.19</v>
      </c>
    </row>
    <row r="4986" spans="1:3" x14ac:dyDescent="0.25">
      <c r="A4986" s="115">
        <v>3681539</v>
      </c>
      <c r="B4986" s="115" t="s">
        <v>4798</v>
      </c>
      <c r="C4986" s="117">
        <v>465.19</v>
      </c>
    </row>
    <row r="4987" spans="1:3" x14ac:dyDescent="0.25">
      <c r="A4987" s="115">
        <v>3681543</v>
      </c>
      <c r="B4987" s="115" t="s">
        <v>4799</v>
      </c>
      <c r="C4987" s="117">
        <v>465.19</v>
      </c>
    </row>
    <row r="4988" spans="1:3" x14ac:dyDescent="0.25">
      <c r="A4988" s="115">
        <v>3681563</v>
      </c>
      <c r="B4988" s="115" t="s">
        <v>4800</v>
      </c>
      <c r="C4988" s="117">
        <v>465.19</v>
      </c>
    </row>
    <row r="4989" spans="1:3" x14ac:dyDescent="0.25">
      <c r="A4989" s="115">
        <v>3681577</v>
      </c>
      <c r="B4989" s="115" t="s">
        <v>4801</v>
      </c>
      <c r="C4989" s="117">
        <v>451.91</v>
      </c>
    </row>
    <row r="4990" spans="1:3" x14ac:dyDescent="0.25">
      <c r="A4990" s="115">
        <v>3682126</v>
      </c>
      <c r="B4990" s="115" t="s">
        <v>4802</v>
      </c>
      <c r="C4990" s="117">
        <v>302.76</v>
      </c>
    </row>
    <row r="4991" spans="1:3" x14ac:dyDescent="0.25">
      <c r="A4991" s="115">
        <v>3682162</v>
      </c>
      <c r="B4991" s="115" t="s">
        <v>4803</v>
      </c>
      <c r="C4991" s="117">
        <v>302.76</v>
      </c>
    </row>
    <row r="4992" spans="1:3" x14ac:dyDescent="0.25">
      <c r="A4992" s="115">
        <v>3682177</v>
      </c>
      <c r="B4992" s="115" t="s">
        <v>4804</v>
      </c>
      <c r="C4992" s="117">
        <v>302.76</v>
      </c>
    </row>
    <row r="4993" spans="1:3" x14ac:dyDescent="0.25">
      <c r="A4993" s="115">
        <v>3682183</v>
      </c>
      <c r="B4993" s="115" t="s">
        <v>4805</v>
      </c>
      <c r="C4993" s="117">
        <v>302.76</v>
      </c>
    </row>
    <row r="4994" spans="1:3" x14ac:dyDescent="0.25">
      <c r="A4994" s="115">
        <v>3681683</v>
      </c>
      <c r="B4994" s="115" t="s">
        <v>4806</v>
      </c>
      <c r="C4994" s="117">
        <v>32.89</v>
      </c>
    </row>
    <row r="4995" spans="1:3" x14ac:dyDescent="0.25">
      <c r="A4995" s="115">
        <v>3681626</v>
      </c>
      <c r="B4995" s="115" t="s">
        <v>4807</v>
      </c>
      <c r="C4995" s="117">
        <v>211.93</v>
      </c>
    </row>
    <row r="4996" spans="1:3" x14ac:dyDescent="0.25">
      <c r="A4996" s="115">
        <v>3681650</v>
      </c>
      <c r="B4996" s="115" t="s">
        <v>4808</v>
      </c>
      <c r="C4996" s="117">
        <v>302.76</v>
      </c>
    </row>
    <row r="4997" spans="1:3" x14ac:dyDescent="0.25">
      <c r="A4997" s="115">
        <v>3681677</v>
      </c>
      <c r="B4997" s="115" t="s">
        <v>4809</v>
      </c>
      <c r="C4997" s="117">
        <v>302.76</v>
      </c>
    </row>
    <row r="4998" spans="1:3" x14ac:dyDescent="0.25">
      <c r="A4998" s="115">
        <v>3681625</v>
      </c>
      <c r="B4998" s="115" t="s">
        <v>4810</v>
      </c>
      <c r="C4998" s="117">
        <v>302.76</v>
      </c>
    </row>
    <row r="4999" spans="1:3" x14ac:dyDescent="0.25">
      <c r="A4999" s="115">
        <v>4686025</v>
      </c>
      <c r="B4999" s="115" t="s">
        <v>4811</v>
      </c>
      <c r="C4999" s="117">
        <v>618.51</v>
      </c>
    </row>
    <row r="5000" spans="1:3" x14ac:dyDescent="0.25">
      <c r="A5000" s="115">
        <v>3681423</v>
      </c>
      <c r="B5000" s="115" t="s">
        <v>4812</v>
      </c>
      <c r="C5000" s="117">
        <v>352.02</v>
      </c>
    </row>
    <row r="5001" spans="1:3" x14ac:dyDescent="0.25">
      <c r="A5001" s="115">
        <v>3681444</v>
      </c>
      <c r="B5001" s="115" t="s">
        <v>4813</v>
      </c>
      <c r="C5001" s="117">
        <v>352.02</v>
      </c>
    </row>
    <row r="5002" spans="1:3" x14ac:dyDescent="0.25">
      <c r="A5002" s="115">
        <v>3681454</v>
      </c>
      <c r="B5002" s="115" t="s">
        <v>4814</v>
      </c>
      <c r="C5002" s="117">
        <v>352.02</v>
      </c>
    </row>
    <row r="5003" spans="1:3" x14ac:dyDescent="0.25">
      <c r="A5003" s="115">
        <v>3681477</v>
      </c>
      <c r="B5003" s="115" t="s">
        <v>4815</v>
      </c>
      <c r="C5003" s="117">
        <v>352.02</v>
      </c>
    </row>
    <row r="5004" spans="1:3" x14ac:dyDescent="0.25">
      <c r="A5004" s="115">
        <v>3681963</v>
      </c>
      <c r="B5004" s="115" t="s">
        <v>4816</v>
      </c>
      <c r="C5004" s="117">
        <v>138.15</v>
      </c>
    </row>
    <row r="5005" spans="1:3" x14ac:dyDescent="0.25">
      <c r="A5005" s="115">
        <v>3681919</v>
      </c>
      <c r="B5005" s="115" t="s">
        <v>4817</v>
      </c>
      <c r="C5005" s="117">
        <v>138.15</v>
      </c>
    </row>
    <row r="5006" spans="1:3" x14ac:dyDescent="0.25">
      <c r="A5006" s="115">
        <v>3689606</v>
      </c>
      <c r="B5006" s="115" t="s">
        <v>4818</v>
      </c>
      <c r="C5006" s="117">
        <v>2186.89</v>
      </c>
    </row>
    <row r="5007" spans="1:3" x14ac:dyDescent="0.25">
      <c r="A5007" s="115">
        <v>3689604</v>
      </c>
      <c r="B5007" s="115" t="s">
        <v>4819</v>
      </c>
      <c r="C5007" s="117">
        <v>1720.01</v>
      </c>
    </row>
    <row r="5008" spans="1:3" x14ac:dyDescent="0.25">
      <c r="A5008" s="115">
        <v>3689608</v>
      </c>
      <c r="B5008" s="115" t="s">
        <v>4820</v>
      </c>
      <c r="C5008" s="117">
        <v>3403.17</v>
      </c>
    </row>
    <row r="5009" spans="1:3" x14ac:dyDescent="0.25">
      <c r="A5009" s="115">
        <v>3688900</v>
      </c>
      <c r="B5009" s="115" t="s">
        <v>4821</v>
      </c>
      <c r="C5009" s="117">
        <v>404.71</v>
      </c>
    </row>
    <row r="5010" spans="1:3" x14ac:dyDescent="0.25">
      <c r="A5010" s="115">
        <v>3688926</v>
      </c>
      <c r="B5010" s="115" t="s">
        <v>4822</v>
      </c>
      <c r="C5010" s="117">
        <v>394.94</v>
      </c>
    </row>
    <row r="5011" spans="1:3" x14ac:dyDescent="0.25">
      <c r="A5011" s="115">
        <v>3688923</v>
      </c>
      <c r="B5011" s="115" t="s">
        <v>4823</v>
      </c>
      <c r="C5011" s="117">
        <v>276.45999999999998</v>
      </c>
    </row>
    <row r="5012" spans="1:3" x14ac:dyDescent="0.25">
      <c r="A5012" s="115">
        <v>3688924</v>
      </c>
      <c r="B5012" s="115" t="s">
        <v>4824</v>
      </c>
      <c r="C5012" s="117">
        <v>394.94</v>
      </c>
    </row>
    <row r="5013" spans="1:3" x14ac:dyDescent="0.25">
      <c r="A5013" s="115">
        <v>3688944</v>
      </c>
      <c r="B5013" s="115" t="s">
        <v>4825</v>
      </c>
      <c r="C5013" s="117">
        <v>394.94</v>
      </c>
    </row>
    <row r="5014" spans="1:3" x14ac:dyDescent="0.25">
      <c r="A5014" s="115">
        <v>3688962</v>
      </c>
      <c r="B5014" s="115" t="s">
        <v>4826</v>
      </c>
      <c r="C5014" s="117">
        <v>394.94</v>
      </c>
    </row>
    <row r="5015" spans="1:3" x14ac:dyDescent="0.25">
      <c r="A5015" s="115">
        <v>3688977</v>
      </c>
      <c r="B5015" s="115" t="s">
        <v>4827</v>
      </c>
      <c r="C5015" s="117">
        <v>276.45999999999998</v>
      </c>
    </row>
    <row r="5016" spans="1:3" x14ac:dyDescent="0.25">
      <c r="A5016" s="115">
        <v>3688955</v>
      </c>
      <c r="B5016" s="115" t="s">
        <v>4828</v>
      </c>
      <c r="C5016" s="117">
        <v>394.94</v>
      </c>
    </row>
    <row r="5017" spans="1:3" x14ac:dyDescent="0.25">
      <c r="A5017" s="115">
        <v>3688983</v>
      </c>
      <c r="B5017" s="115" t="s">
        <v>4829</v>
      </c>
      <c r="C5017" s="117">
        <v>394.94</v>
      </c>
    </row>
    <row r="5018" spans="1:3" x14ac:dyDescent="0.25">
      <c r="A5018" s="115">
        <v>3688883</v>
      </c>
      <c r="B5018" s="115" t="s">
        <v>4830</v>
      </c>
      <c r="C5018" s="117">
        <v>394.94</v>
      </c>
    </row>
    <row r="5019" spans="1:3" x14ac:dyDescent="0.25">
      <c r="A5019" s="115">
        <v>3688984</v>
      </c>
      <c r="B5019" s="115" t="s">
        <v>4831</v>
      </c>
      <c r="C5019" s="117">
        <v>394.94</v>
      </c>
    </row>
    <row r="5020" spans="1:3" x14ac:dyDescent="0.25">
      <c r="A5020" s="115">
        <v>3688928</v>
      </c>
      <c r="B5020" s="115" t="s">
        <v>4832</v>
      </c>
      <c r="C5020" s="117">
        <v>2613.85</v>
      </c>
    </row>
    <row r="5021" spans="1:3" x14ac:dyDescent="0.25">
      <c r="A5021" s="115">
        <v>3680778</v>
      </c>
      <c r="B5021" s="115" t="s">
        <v>4833</v>
      </c>
      <c r="C5021" s="117">
        <v>1584.43</v>
      </c>
    </row>
    <row r="5022" spans="1:3" x14ac:dyDescent="0.25">
      <c r="A5022" s="115">
        <v>3689123</v>
      </c>
      <c r="B5022" s="115" t="s">
        <v>4834</v>
      </c>
      <c r="C5022" s="117">
        <v>534.24</v>
      </c>
    </row>
    <row r="5023" spans="1:3" x14ac:dyDescent="0.25">
      <c r="A5023" s="115">
        <v>3689177</v>
      </c>
      <c r="B5023" s="115" t="s">
        <v>4835</v>
      </c>
      <c r="C5023" s="117">
        <v>534.24</v>
      </c>
    </row>
    <row r="5024" spans="1:3" x14ac:dyDescent="0.25">
      <c r="A5024" s="115">
        <v>3689026</v>
      </c>
      <c r="B5024" s="115" t="s">
        <v>4836</v>
      </c>
      <c r="C5024" s="117">
        <v>640.33000000000004</v>
      </c>
    </row>
    <row r="5025" spans="1:3" x14ac:dyDescent="0.25">
      <c r="A5025" s="115">
        <v>3689023</v>
      </c>
      <c r="B5025" s="115" t="s">
        <v>4837</v>
      </c>
      <c r="C5025" s="117">
        <v>914.76</v>
      </c>
    </row>
    <row r="5026" spans="1:3" x14ac:dyDescent="0.25">
      <c r="A5026" s="115">
        <v>3689054</v>
      </c>
      <c r="B5026" s="115" t="s">
        <v>4838</v>
      </c>
      <c r="C5026" s="117">
        <v>914.76</v>
      </c>
    </row>
    <row r="5027" spans="1:3" x14ac:dyDescent="0.25">
      <c r="A5027" s="115">
        <v>3689062</v>
      </c>
      <c r="B5027" s="115" t="s">
        <v>4839</v>
      </c>
      <c r="C5027" s="117">
        <v>640.33000000000004</v>
      </c>
    </row>
    <row r="5028" spans="1:3" x14ac:dyDescent="0.25">
      <c r="A5028" s="115">
        <v>3689010</v>
      </c>
      <c r="B5028" s="115" t="s">
        <v>4840</v>
      </c>
      <c r="C5028" s="117">
        <v>914.76</v>
      </c>
    </row>
    <row r="5029" spans="1:3" x14ac:dyDescent="0.25">
      <c r="A5029" s="115">
        <v>3689077</v>
      </c>
      <c r="B5029" s="115" t="s">
        <v>4841</v>
      </c>
      <c r="C5029" s="117">
        <v>914.76</v>
      </c>
    </row>
    <row r="5030" spans="1:3" x14ac:dyDescent="0.25">
      <c r="A5030" s="115">
        <v>3689083</v>
      </c>
      <c r="B5030" s="115" t="s">
        <v>4842</v>
      </c>
      <c r="C5030" s="117">
        <v>914.76</v>
      </c>
    </row>
    <row r="5031" spans="1:3" x14ac:dyDescent="0.25">
      <c r="A5031" s="115">
        <v>3688536</v>
      </c>
      <c r="B5031" s="115" t="s">
        <v>4843</v>
      </c>
      <c r="C5031" s="117">
        <v>2075.38</v>
      </c>
    </row>
    <row r="5032" spans="1:3" x14ac:dyDescent="0.25">
      <c r="A5032" s="115">
        <v>3688575</v>
      </c>
      <c r="B5032" s="115" t="s">
        <v>4844</v>
      </c>
      <c r="C5032" s="117">
        <v>2075.38</v>
      </c>
    </row>
    <row r="5033" spans="1:3" x14ac:dyDescent="0.25">
      <c r="A5033" s="115">
        <v>3688577</v>
      </c>
      <c r="B5033" s="115" t="s">
        <v>4845</v>
      </c>
      <c r="C5033" s="117">
        <v>2075.38</v>
      </c>
    </row>
    <row r="5034" spans="1:3" x14ac:dyDescent="0.25">
      <c r="A5034" s="115">
        <v>3688502</v>
      </c>
      <c r="B5034" s="115" t="s">
        <v>4846</v>
      </c>
      <c r="C5034" s="117">
        <v>2075.38</v>
      </c>
    </row>
    <row r="5035" spans="1:3" x14ac:dyDescent="0.25">
      <c r="A5035" s="115">
        <v>3681344</v>
      </c>
      <c r="B5035" s="115" t="s">
        <v>4847</v>
      </c>
      <c r="C5035" s="117">
        <v>9865.84</v>
      </c>
    </row>
    <row r="5036" spans="1:3" x14ac:dyDescent="0.25">
      <c r="A5036" s="115">
        <v>3682095</v>
      </c>
      <c r="B5036" s="115" t="s">
        <v>4848</v>
      </c>
      <c r="C5036" s="117">
        <v>1261.8</v>
      </c>
    </row>
    <row r="5037" spans="1:3" x14ac:dyDescent="0.25">
      <c r="A5037" s="115">
        <v>3682096</v>
      </c>
      <c r="B5037" s="115" t="s">
        <v>4849</v>
      </c>
      <c r="C5037" s="117">
        <v>1261.8</v>
      </c>
    </row>
    <row r="5038" spans="1:3" x14ac:dyDescent="0.25">
      <c r="A5038" s="115">
        <v>3680512</v>
      </c>
      <c r="B5038" s="115" t="s">
        <v>4850</v>
      </c>
      <c r="C5038" s="117">
        <v>2388.8000000000002</v>
      </c>
    </row>
    <row r="5039" spans="1:3" x14ac:dyDescent="0.25">
      <c r="A5039" s="115">
        <v>3680524</v>
      </c>
      <c r="B5039" s="115" t="s">
        <v>4851</v>
      </c>
      <c r="C5039" s="117">
        <v>10108.23</v>
      </c>
    </row>
    <row r="5040" spans="1:3" x14ac:dyDescent="0.25">
      <c r="A5040" s="115">
        <v>3682092</v>
      </c>
      <c r="B5040" s="115" t="s">
        <v>4852</v>
      </c>
      <c r="C5040" s="117">
        <v>1995.04</v>
      </c>
    </row>
    <row r="5041" spans="1:3" x14ac:dyDescent="0.25">
      <c r="A5041" s="115">
        <v>3682091</v>
      </c>
      <c r="B5041" s="115" t="s">
        <v>4853</v>
      </c>
      <c r="C5041" s="117">
        <v>1995.04</v>
      </c>
    </row>
    <row r="5042" spans="1:3" x14ac:dyDescent="0.25">
      <c r="A5042" s="115">
        <v>3682009</v>
      </c>
      <c r="B5042" s="115" t="s">
        <v>4854</v>
      </c>
      <c r="C5042" s="117">
        <v>434.5</v>
      </c>
    </row>
    <row r="5043" spans="1:3" x14ac:dyDescent="0.25">
      <c r="A5043" s="115">
        <v>3682007</v>
      </c>
      <c r="B5043" s="115" t="s">
        <v>4855</v>
      </c>
      <c r="C5043" s="117">
        <v>434.5</v>
      </c>
    </row>
    <row r="5044" spans="1:3" x14ac:dyDescent="0.25">
      <c r="A5044" s="115">
        <v>3682001</v>
      </c>
      <c r="B5044" s="115" t="s">
        <v>4856</v>
      </c>
      <c r="C5044" s="117">
        <v>434.5</v>
      </c>
    </row>
    <row r="5045" spans="1:3" x14ac:dyDescent="0.25">
      <c r="A5045" s="115">
        <v>3682004</v>
      </c>
      <c r="B5045" s="115" t="s">
        <v>4857</v>
      </c>
      <c r="C5045" s="117">
        <v>434.5</v>
      </c>
    </row>
    <row r="5046" spans="1:3" x14ac:dyDescent="0.25">
      <c r="A5046" s="115">
        <v>3682002</v>
      </c>
      <c r="B5046" s="115" t="s">
        <v>4858</v>
      </c>
      <c r="C5046" s="117">
        <v>434.5</v>
      </c>
    </row>
    <row r="5047" spans="1:3" x14ac:dyDescent="0.25">
      <c r="A5047" s="115">
        <v>3682003</v>
      </c>
      <c r="B5047" s="115" t="s">
        <v>4859</v>
      </c>
      <c r="C5047" s="117">
        <v>434.5</v>
      </c>
    </row>
    <row r="5048" spans="1:3" x14ac:dyDescent="0.25">
      <c r="A5048" s="115">
        <v>3682008</v>
      </c>
      <c r="B5048" s="115" t="s">
        <v>4860</v>
      </c>
      <c r="C5048" s="117">
        <v>434.5</v>
      </c>
    </row>
    <row r="5049" spans="1:3" x14ac:dyDescent="0.25">
      <c r="A5049" s="115">
        <v>3682005</v>
      </c>
      <c r="B5049" s="115" t="s">
        <v>4861</v>
      </c>
      <c r="C5049" s="117">
        <v>434.5</v>
      </c>
    </row>
    <row r="5050" spans="1:3" x14ac:dyDescent="0.25">
      <c r="A5050" s="115">
        <v>3682010</v>
      </c>
      <c r="B5050" s="115" t="s">
        <v>4862</v>
      </c>
      <c r="C5050" s="117">
        <v>434.5</v>
      </c>
    </row>
    <row r="5051" spans="1:3" x14ac:dyDescent="0.25">
      <c r="A5051" s="115">
        <v>3682006</v>
      </c>
      <c r="B5051" s="115" t="s">
        <v>4863</v>
      </c>
      <c r="C5051" s="117">
        <v>434.5</v>
      </c>
    </row>
    <row r="5052" spans="1:3" x14ac:dyDescent="0.25">
      <c r="A5052" s="115">
        <v>3689623</v>
      </c>
      <c r="B5052" s="115" t="s">
        <v>4864</v>
      </c>
      <c r="C5052" s="117">
        <v>3949.43</v>
      </c>
    </row>
    <row r="5053" spans="1:3" x14ac:dyDescent="0.25">
      <c r="A5053" s="115">
        <v>3689676</v>
      </c>
      <c r="B5053" s="115" t="s">
        <v>4865</v>
      </c>
      <c r="C5053" s="117">
        <v>3949.43</v>
      </c>
    </row>
    <row r="5054" spans="1:3" x14ac:dyDescent="0.25">
      <c r="A5054" s="115">
        <v>3680370</v>
      </c>
      <c r="B5054" s="115" t="s">
        <v>4866</v>
      </c>
      <c r="C5054" s="117">
        <v>212.84</v>
      </c>
    </row>
    <row r="5055" spans="1:3" x14ac:dyDescent="0.25">
      <c r="A5055" s="115">
        <v>3680360</v>
      </c>
      <c r="B5055" s="115" t="s">
        <v>4867</v>
      </c>
      <c r="C5055" s="117">
        <v>212.84</v>
      </c>
    </row>
    <row r="5056" spans="1:3" x14ac:dyDescent="0.25">
      <c r="A5056" s="115">
        <v>3681024</v>
      </c>
      <c r="B5056" s="115" t="s">
        <v>4868</v>
      </c>
      <c r="C5056" s="117">
        <v>28765.19</v>
      </c>
    </row>
    <row r="5057" spans="1:3" x14ac:dyDescent="0.25">
      <c r="A5057" s="144" t="s">
        <v>4869</v>
      </c>
      <c r="B5057" s="145"/>
      <c r="C5057" s="145"/>
    </row>
    <row r="5058" spans="1:3" x14ac:dyDescent="0.25">
      <c r="A5058" s="115">
        <v>3964600</v>
      </c>
      <c r="B5058" s="115" t="s">
        <v>4870</v>
      </c>
      <c r="C5058" s="117">
        <v>65.819999999999993</v>
      </c>
    </row>
    <row r="5059" spans="1:3" x14ac:dyDescent="0.25">
      <c r="A5059" s="115">
        <v>3964601</v>
      </c>
      <c r="B5059" s="115" t="s">
        <v>4871</v>
      </c>
      <c r="C5059" s="117">
        <v>4360.17</v>
      </c>
    </row>
    <row r="5060" spans="1:3" x14ac:dyDescent="0.25">
      <c r="A5060" s="115">
        <v>3964603</v>
      </c>
      <c r="B5060" s="115" t="s">
        <v>12352</v>
      </c>
      <c r="C5060" s="117">
        <v>18702.82</v>
      </c>
    </row>
    <row r="5061" spans="1:3" x14ac:dyDescent="0.25">
      <c r="A5061" s="115">
        <v>3964602</v>
      </c>
      <c r="B5061" s="115" t="s">
        <v>4872</v>
      </c>
      <c r="C5061" s="117">
        <v>9020.43</v>
      </c>
    </row>
    <row r="5062" spans="1:3" x14ac:dyDescent="0.25">
      <c r="A5062" s="115">
        <v>3692001</v>
      </c>
      <c r="B5062" s="115" t="s">
        <v>4873</v>
      </c>
      <c r="C5062" s="117">
        <v>6525.93</v>
      </c>
    </row>
    <row r="5063" spans="1:3" x14ac:dyDescent="0.25">
      <c r="A5063" s="115">
        <v>3690924</v>
      </c>
      <c r="B5063" s="115" t="s">
        <v>4874</v>
      </c>
      <c r="C5063" s="117">
        <v>1374.44</v>
      </c>
    </row>
    <row r="5064" spans="1:3" x14ac:dyDescent="0.25">
      <c r="A5064" s="115">
        <v>3690936</v>
      </c>
      <c r="B5064" s="115" t="s">
        <v>4875</v>
      </c>
      <c r="C5064" s="117">
        <v>1273.3599999999999</v>
      </c>
    </row>
    <row r="5065" spans="1:3" x14ac:dyDescent="0.25">
      <c r="A5065" s="115">
        <v>3699300</v>
      </c>
      <c r="B5065" s="115" t="s">
        <v>4876</v>
      </c>
      <c r="C5065" s="117">
        <v>3843.23</v>
      </c>
    </row>
    <row r="5066" spans="1:3" x14ac:dyDescent="0.25">
      <c r="A5066" s="115">
        <v>3690130</v>
      </c>
      <c r="B5066" s="115" t="s">
        <v>4877</v>
      </c>
      <c r="C5066" s="117">
        <v>934.12</v>
      </c>
    </row>
    <row r="5067" spans="1:3" x14ac:dyDescent="0.25">
      <c r="A5067" s="115">
        <v>3690140</v>
      </c>
      <c r="B5067" s="115" t="s">
        <v>4878</v>
      </c>
      <c r="C5067" s="117">
        <v>706.05</v>
      </c>
    </row>
    <row r="5068" spans="1:3" x14ac:dyDescent="0.25">
      <c r="A5068" s="115">
        <v>3693510</v>
      </c>
      <c r="B5068" s="115" t="s">
        <v>4879</v>
      </c>
      <c r="C5068" s="117">
        <v>1579.26</v>
      </c>
    </row>
    <row r="5069" spans="1:3" x14ac:dyDescent="0.25">
      <c r="A5069" s="115">
        <v>3693520</v>
      </c>
      <c r="B5069" s="115" t="s">
        <v>4880</v>
      </c>
      <c r="C5069" s="117">
        <v>1243.95</v>
      </c>
    </row>
    <row r="5070" spans="1:3" x14ac:dyDescent="0.25">
      <c r="A5070" s="115">
        <v>3690310</v>
      </c>
      <c r="B5070" s="115" t="s">
        <v>4881</v>
      </c>
      <c r="C5070" s="117">
        <v>6476.21</v>
      </c>
    </row>
    <row r="5071" spans="1:3" x14ac:dyDescent="0.25">
      <c r="A5071" s="115">
        <v>3699200</v>
      </c>
      <c r="B5071" s="115" t="s">
        <v>4882</v>
      </c>
      <c r="C5071" s="117">
        <v>254.99</v>
      </c>
    </row>
    <row r="5072" spans="1:3" x14ac:dyDescent="0.25">
      <c r="A5072" s="115">
        <v>3691843</v>
      </c>
      <c r="B5072" s="115" t="s">
        <v>4883</v>
      </c>
      <c r="C5072" s="117">
        <v>60.67</v>
      </c>
    </row>
    <row r="5073" spans="1:3" x14ac:dyDescent="0.25">
      <c r="A5073" s="115">
        <v>3982208</v>
      </c>
      <c r="B5073" s="115" t="s">
        <v>4884</v>
      </c>
      <c r="C5073" s="117">
        <v>109911.15</v>
      </c>
    </row>
    <row r="5074" spans="1:3" x14ac:dyDescent="0.25">
      <c r="A5074" s="115">
        <v>3671916</v>
      </c>
      <c r="B5074" s="115" t="s">
        <v>4885</v>
      </c>
      <c r="C5074" s="117">
        <v>862.03</v>
      </c>
    </row>
    <row r="5075" spans="1:3" x14ac:dyDescent="0.25">
      <c r="A5075" s="115">
        <v>3691943</v>
      </c>
      <c r="B5075" s="115" t="s">
        <v>4886</v>
      </c>
      <c r="C5075" s="117">
        <v>86.18</v>
      </c>
    </row>
    <row r="5076" spans="1:3" x14ac:dyDescent="0.25">
      <c r="A5076" s="115">
        <v>3691924</v>
      </c>
      <c r="B5076" s="115" t="s">
        <v>4887</v>
      </c>
      <c r="C5076" s="117">
        <v>11.29</v>
      </c>
    </row>
    <row r="5077" spans="1:3" x14ac:dyDescent="0.25">
      <c r="A5077" s="115">
        <v>3690500</v>
      </c>
      <c r="B5077" s="115" t="s">
        <v>4888</v>
      </c>
      <c r="C5077" s="117">
        <v>714.24</v>
      </c>
    </row>
    <row r="5078" spans="1:3" x14ac:dyDescent="0.25">
      <c r="A5078" s="115">
        <v>3699800</v>
      </c>
      <c r="B5078" s="115" t="s">
        <v>4889</v>
      </c>
      <c r="C5078" s="117">
        <v>708.57</v>
      </c>
    </row>
    <row r="5079" spans="1:3" x14ac:dyDescent="0.25">
      <c r="A5079" s="115">
        <v>3691075</v>
      </c>
      <c r="B5079" s="115" t="s">
        <v>4890</v>
      </c>
      <c r="C5079" s="117">
        <v>219.25</v>
      </c>
    </row>
    <row r="5080" spans="1:3" x14ac:dyDescent="0.25">
      <c r="A5080" s="115">
        <v>3691002</v>
      </c>
      <c r="B5080" s="115" t="s">
        <v>4891</v>
      </c>
      <c r="C5080" s="117">
        <v>1815.08</v>
      </c>
    </row>
    <row r="5081" spans="1:3" x14ac:dyDescent="0.25">
      <c r="A5081" s="115">
        <v>3691200</v>
      </c>
      <c r="B5081" s="115" t="s">
        <v>4892</v>
      </c>
      <c r="C5081" s="117">
        <v>714.24</v>
      </c>
    </row>
    <row r="5082" spans="1:3" x14ac:dyDescent="0.25">
      <c r="A5082" s="115">
        <v>3692400</v>
      </c>
      <c r="B5082" s="115" t="s">
        <v>4893</v>
      </c>
      <c r="C5082" s="117">
        <v>958.61</v>
      </c>
    </row>
    <row r="5083" spans="1:3" x14ac:dyDescent="0.25">
      <c r="A5083" s="115">
        <v>3692500</v>
      </c>
      <c r="B5083" s="115" t="s">
        <v>4894</v>
      </c>
      <c r="C5083" s="117">
        <v>1342.04</v>
      </c>
    </row>
    <row r="5084" spans="1:3" x14ac:dyDescent="0.25">
      <c r="A5084" s="115">
        <v>3693363</v>
      </c>
      <c r="B5084" s="115" t="s">
        <v>4895</v>
      </c>
      <c r="C5084" s="117">
        <v>2140.6999999999998</v>
      </c>
    </row>
    <row r="5085" spans="1:3" x14ac:dyDescent="0.25">
      <c r="A5085" s="115">
        <v>3693364</v>
      </c>
      <c r="B5085" s="115" t="s">
        <v>4896</v>
      </c>
      <c r="C5085" s="117">
        <v>1498.49</v>
      </c>
    </row>
    <row r="5086" spans="1:3" x14ac:dyDescent="0.25">
      <c r="A5086" s="115">
        <v>3691400</v>
      </c>
      <c r="B5086" s="115" t="s">
        <v>4897</v>
      </c>
      <c r="C5086" s="117">
        <v>513.03</v>
      </c>
    </row>
    <row r="5087" spans="1:3" x14ac:dyDescent="0.25">
      <c r="A5087" s="115">
        <v>3691102</v>
      </c>
      <c r="B5087" s="115" t="s">
        <v>4898</v>
      </c>
      <c r="C5087" s="117">
        <v>1633.58</v>
      </c>
    </row>
    <row r="5088" spans="1:3" x14ac:dyDescent="0.25">
      <c r="A5088" s="115">
        <v>3691101</v>
      </c>
      <c r="B5088" s="115" t="s">
        <v>4899</v>
      </c>
      <c r="C5088" s="117">
        <v>1088.0899999999999</v>
      </c>
    </row>
    <row r="5089" spans="1:3" x14ac:dyDescent="0.25">
      <c r="A5089" s="115">
        <v>3691100</v>
      </c>
      <c r="B5089" s="115" t="s">
        <v>4899</v>
      </c>
      <c r="C5089" s="117">
        <v>714.24</v>
      </c>
    </row>
    <row r="5090" spans="1:3" x14ac:dyDescent="0.25">
      <c r="A5090" s="115">
        <v>3691300</v>
      </c>
      <c r="B5090" s="115" t="s">
        <v>4900</v>
      </c>
      <c r="C5090" s="117">
        <v>586.07000000000005</v>
      </c>
    </row>
    <row r="5091" spans="1:3" x14ac:dyDescent="0.25">
      <c r="A5091" s="115">
        <v>3692310</v>
      </c>
      <c r="B5091" s="115" t="s">
        <v>4901</v>
      </c>
      <c r="C5091" s="117">
        <v>1251.8499999999999</v>
      </c>
    </row>
    <row r="5092" spans="1:3" x14ac:dyDescent="0.25">
      <c r="A5092" s="115">
        <v>3691003</v>
      </c>
      <c r="B5092" s="115" t="s">
        <v>4902</v>
      </c>
      <c r="C5092" s="117">
        <v>1069.8599999999999</v>
      </c>
    </row>
    <row r="5093" spans="1:3" x14ac:dyDescent="0.25">
      <c r="A5093" s="115">
        <v>3690803</v>
      </c>
      <c r="B5093" s="115" t="s">
        <v>4897</v>
      </c>
      <c r="C5093" s="117">
        <v>1636.93</v>
      </c>
    </row>
    <row r="5094" spans="1:3" x14ac:dyDescent="0.25">
      <c r="A5094" s="115">
        <v>3690201</v>
      </c>
      <c r="B5094" s="115" t="s">
        <v>4903</v>
      </c>
      <c r="C5094" s="117">
        <v>792.84</v>
      </c>
    </row>
    <row r="5095" spans="1:3" x14ac:dyDescent="0.25">
      <c r="A5095" s="115">
        <v>3690202</v>
      </c>
      <c r="B5095" s="115" t="s">
        <v>4904</v>
      </c>
      <c r="C5095" s="117">
        <v>1949.93</v>
      </c>
    </row>
    <row r="5096" spans="1:3" x14ac:dyDescent="0.25">
      <c r="A5096" s="115">
        <v>3692320</v>
      </c>
      <c r="B5096" s="115" t="s">
        <v>4905</v>
      </c>
      <c r="C5096" s="117">
        <v>820.78</v>
      </c>
    </row>
    <row r="5097" spans="1:3" x14ac:dyDescent="0.25">
      <c r="A5097" s="115">
        <v>3690802</v>
      </c>
      <c r="B5097" s="115" t="s">
        <v>4906</v>
      </c>
      <c r="C5097" s="117">
        <v>219.1</v>
      </c>
    </row>
    <row r="5098" spans="1:3" x14ac:dyDescent="0.25">
      <c r="A5098" s="115">
        <v>3690801</v>
      </c>
      <c r="B5098" s="115" t="s">
        <v>4907</v>
      </c>
      <c r="C5098" s="117">
        <v>219.25</v>
      </c>
    </row>
    <row r="5099" spans="1:3" x14ac:dyDescent="0.25">
      <c r="A5099" s="115">
        <v>3693270</v>
      </c>
      <c r="B5099" s="115" t="s">
        <v>11599</v>
      </c>
      <c r="C5099" s="117">
        <v>406.68</v>
      </c>
    </row>
    <row r="5100" spans="1:3" x14ac:dyDescent="0.25">
      <c r="A5100" s="115">
        <v>3751911</v>
      </c>
      <c r="B5100" s="115" t="s">
        <v>4908</v>
      </c>
      <c r="C5100" s="117">
        <v>1280.77</v>
      </c>
    </row>
    <row r="5101" spans="1:3" x14ac:dyDescent="0.25">
      <c r="A5101" s="115">
        <v>3751910</v>
      </c>
      <c r="B5101" s="115" t="s">
        <v>4909</v>
      </c>
      <c r="C5101" s="117">
        <v>357.74</v>
      </c>
    </row>
    <row r="5102" spans="1:3" x14ac:dyDescent="0.25">
      <c r="A5102" s="115">
        <v>3583108</v>
      </c>
      <c r="B5102" s="115" t="s">
        <v>4910</v>
      </c>
      <c r="C5102" s="117">
        <v>54.97</v>
      </c>
    </row>
    <row r="5103" spans="1:3" x14ac:dyDescent="0.25">
      <c r="A5103" s="115">
        <v>3583102</v>
      </c>
      <c r="B5103" s="115" t="s">
        <v>4911</v>
      </c>
      <c r="C5103" s="117">
        <v>54.97</v>
      </c>
    </row>
    <row r="5104" spans="1:3" x14ac:dyDescent="0.25">
      <c r="A5104" s="115">
        <v>3758000</v>
      </c>
      <c r="B5104" s="115" t="s">
        <v>4912</v>
      </c>
      <c r="C5104" s="117">
        <v>819.57</v>
      </c>
    </row>
    <row r="5105" spans="1:3" x14ac:dyDescent="0.25">
      <c r="A5105" s="115">
        <v>3582300</v>
      </c>
      <c r="B5105" s="115" t="s">
        <v>4913</v>
      </c>
      <c r="C5105" s="117">
        <v>1304.0999999999999</v>
      </c>
    </row>
    <row r="5106" spans="1:3" x14ac:dyDescent="0.25">
      <c r="A5106" s="115">
        <v>3751913</v>
      </c>
      <c r="B5106" s="115" t="s">
        <v>4914</v>
      </c>
      <c r="C5106" s="117">
        <v>1495.4</v>
      </c>
    </row>
    <row r="5107" spans="1:3" x14ac:dyDescent="0.25">
      <c r="A5107" s="115">
        <v>3753001</v>
      </c>
      <c r="B5107" s="115" t="s">
        <v>4915</v>
      </c>
      <c r="C5107" s="117">
        <v>4518.2700000000004</v>
      </c>
    </row>
    <row r="5108" spans="1:3" x14ac:dyDescent="0.25">
      <c r="A5108" s="115">
        <v>3751813</v>
      </c>
      <c r="B5108" s="115" t="s">
        <v>4916</v>
      </c>
      <c r="C5108" s="117">
        <v>1156.26</v>
      </c>
    </row>
    <row r="5109" spans="1:3" x14ac:dyDescent="0.25">
      <c r="A5109" s="115">
        <v>3750411</v>
      </c>
      <c r="B5109" s="115" t="s">
        <v>4917</v>
      </c>
      <c r="C5109" s="117">
        <v>3187.61</v>
      </c>
    </row>
    <row r="5110" spans="1:3" x14ac:dyDescent="0.25">
      <c r="A5110" s="115">
        <v>3752918</v>
      </c>
      <c r="B5110" s="115" t="s">
        <v>4918</v>
      </c>
      <c r="C5110" s="117">
        <v>2196.66</v>
      </c>
    </row>
    <row r="5111" spans="1:3" x14ac:dyDescent="0.25">
      <c r="A5111" s="115">
        <v>3751313</v>
      </c>
      <c r="B5111" s="115" t="s">
        <v>4919</v>
      </c>
      <c r="C5111" s="117">
        <v>1627.87</v>
      </c>
    </row>
    <row r="5112" spans="1:3" x14ac:dyDescent="0.25">
      <c r="A5112" s="115">
        <v>3752000</v>
      </c>
      <c r="B5112" s="115" t="s">
        <v>4920</v>
      </c>
      <c r="C5112" s="117">
        <v>1604.09</v>
      </c>
    </row>
    <row r="5113" spans="1:3" x14ac:dyDescent="0.25">
      <c r="A5113" s="115">
        <v>3752917</v>
      </c>
      <c r="B5113" s="115" t="s">
        <v>4921</v>
      </c>
      <c r="C5113" s="117">
        <v>2196.66</v>
      </c>
    </row>
    <row r="5114" spans="1:3" x14ac:dyDescent="0.25">
      <c r="A5114" s="115">
        <v>3752921</v>
      </c>
      <c r="B5114" s="115" t="s">
        <v>4922</v>
      </c>
      <c r="C5114" s="117">
        <v>3187.61</v>
      </c>
    </row>
    <row r="5115" spans="1:3" x14ac:dyDescent="0.25">
      <c r="A5115" s="115">
        <v>3756000</v>
      </c>
      <c r="B5115" s="115" t="s">
        <v>4923</v>
      </c>
      <c r="C5115" s="117">
        <v>2487.2600000000002</v>
      </c>
    </row>
    <row r="5116" spans="1:3" x14ac:dyDescent="0.25">
      <c r="A5116" s="115">
        <v>3752213</v>
      </c>
      <c r="B5116" s="115" t="s">
        <v>4924</v>
      </c>
      <c r="C5116" s="117">
        <v>2100.0300000000002</v>
      </c>
    </row>
    <row r="5117" spans="1:3" x14ac:dyDescent="0.25">
      <c r="A5117" s="115">
        <v>3750510</v>
      </c>
      <c r="B5117" s="115" t="s">
        <v>4925</v>
      </c>
      <c r="C5117" s="117">
        <v>3911.66</v>
      </c>
    </row>
    <row r="5118" spans="1:3" x14ac:dyDescent="0.25">
      <c r="A5118" s="115">
        <v>3750511</v>
      </c>
      <c r="B5118" s="115" t="s">
        <v>4926</v>
      </c>
      <c r="C5118" s="117">
        <v>5887.48</v>
      </c>
    </row>
    <row r="5119" spans="1:3" x14ac:dyDescent="0.25">
      <c r="A5119" s="115">
        <v>3752818</v>
      </c>
      <c r="B5119" s="115" t="s">
        <v>4927</v>
      </c>
      <c r="C5119" s="117">
        <v>2935.95</v>
      </c>
    </row>
    <row r="5120" spans="1:3" x14ac:dyDescent="0.25">
      <c r="A5120" s="115">
        <v>3753221</v>
      </c>
      <c r="B5120" s="115" t="s">
        <v>4928</v>
      </c>
      <c r="C5120" s="117">
        <v>4304.58</v>
      </c>
    </row>
    <row r="5121" spans="1:3" x14ac:dyDescent="0.25">
      <c r="A5121" s="115">
        <v>3755100</v>
      </c>
      <c r="B5121" s="115" t="s">
        <v>4929</v>
      </c>
      <c r="C5121" s="117">
        <v>1439.24</v>
      </c>
    </row>
    <row r="5122" spans="1:3" x14ac:dyDescent="0.25">
      <c r="A5122" s="115">
        <v>3755200</v>
      </c>
      <c r="B5122" s="115" t="s">
        <v>4930</v>
      </c>
      <c r="C5122" s="117">
        <v>1830.58</v>
      </c>
    </row>
    <row r="5123" spans="1:3" x14ac:dyDescent="0.25">
      <c r="A5123" s="115">
        <v>3751915</v>
      </c>
      <c r="B5123" s="115" t="s">
        <v>4931</v>
      </c>
      <c r="C5123" s="117">
        <v>2160.85</v>
      </c>
    </row>
    <row r="5124" spans="1:3" x14ac:dyDescent="0.25">
      <c r="A5124" s="115">
        <v>3754018</v>
      </c>
      <c r="B5124" s="115" t="s">
        <v>4932</v>
      </c>
      <c r="C5124" s="117">
        <v>218.87</v>
      </c>
    </row>
    <row r="5125" spans="1:3" x14ac:dyDescent="0.25">
      <c r="A5125" s="144" t="s">
        <v>4933</v>
      </c>
      <c r="B5125" s="145"/>
      <c r="C5125" s="145"/>
    </row>
    <row r="5126" spans="1:3" x14ac:dyDescent="0.25">
      <c r="A5126" s="115">
        <v>3721200</v>
      </c>
      <c r="B5126" s="115" t="s">
        <v>4934</v>
      </c>
      <c r="C5126" s="117">
        <v>131.18</v>
      </c>
    </row>
    <row r="5127" spans="1:3" x14ac:dyDescent="0.25">
      <c r="A5127" s="144" t="s">
        <v>4935</v>
      </c>
      <c r="B5127" s="145"/>
      <c r="C5127" s="145"/>
    </row>
    <row r="5128" spans="1:3" x14ac:dyDescent="0.25">
      <c r="A5128" s="115">
        <v>4242000</v>
      </c>
      <c r="B5128" s="115" t="s">
        <v>4936</v>
      </c>
      <c r="C5128" s="117">
        <v>36247.64</v>
      </c>
    </row>
    <row r="5129" spans="1:3" x14ac:dyDescent="0.25">
      <c r="A5129" s="115">
        <v>4241100</v>
      </c>
      <c r="B5129" s="115" t="s">
        <v>4937</v>
      </c>
      <c r="C5129" s="117">
        <v>8545.0300000000007</v>
      </c>
    </row>
    <row r="5130" spans="1:3" x14ac:dyDescent="0.25">
      <c r="A5130" s="115">
        <v>4241106</v>
      </c>
      <c r="B5130" s="115" t="s">
        <v>4938</v>
      </c>
      <c r="C5130" s="117">
        <v>30372.06</v>
      </c>
    </row>
    <row r="5131" spans="1:3" x14ac:dyDescent="0.25">
      <c r="A5131" s="115">
        <v>4625875</v>
      </c>
      <c r="B5131" s="115" t="s">
        <v>4939</v>
      </c>
      <c r="C5131" s="117">
        <v>5466.7</v>
      </c>
    </row>
    <row r="5132" spans="1:3" x14ac:dyDescent="0.25">
      <c r="A5132" s="115">
        <v>4621680</v>
      </c>
      <c r="B5132" s="115" t="s">
        <v>4940</v>
      </c>
      <c r="C5132" s="117">
        <v>15550.53</v>
      </c>
    </row>
    <row r="5133" spans="1:3" x14ac:dyDescent="0.25">
      <c r="A5133" s="115">
        <v>4621875</v>
      </c>
      <c r="B5133" s="115" t="s">
        <v>4941</v>
      </c>
      <c r="C5133" s="117">
        <v>7027.11</v>
      </c>
    </row>
    <row r="5134" spans="1:3" x14ac:dyDescent="0.25">
      <c r="A5134" s="115">
        <v>4621270</v>
      </c>
      <c r="B5134" s="115" t="s">
        <v>4942</v>
      </c>
      <c r="C5134" s="117">
        <v>6430.75</v>
      </c>
    </row>
    <row r="5135" spans="1:3" x14ac:dyDescent="0.25">
      <c r="A5135" s="115">
        <v>4621275</v>
      </c>
      <c r="B5135" s="115" t="s">
        <v>4943</v>
      </c>
      <c r="C5135" s="117">
        <v>7027.11</v>
      </c>
    </row>
    <row r="5136" spans="1:3" x14ac:dyDescent="0.25">
      <c r="A5136" s="115">
        <v>4621280</v>
      </c>
      <c r="B5136" s="115" t="s">
        <v>4944</v>
      </c>
      <c r="C5136" s="117">
        <v>7495.58</v>
      </c>
    </row>
    <row r="5137" spans="1:3" x14ac:dyDescent="0.25">
      <c r="A5137" s="115">
        <v>4628023</v>
      </c>
      <c r="B5137" s="115" t="s">
        <v>4945</v>
      </c>
      <c r="C5137" s="117">
        <v>1403.25</v>
      </c>
    </row>
    <row r="5138" spans="1:3" x14ac:dyDescent="0.25">
      <c r="A5138" s="115">
        <v>4628077</v>
      </c>
      <c r="B5138" s="115" t="s">
        <v>4946</v>
      </c>
      <c r="C5138" s="117">
        <v>1403.25</v>
      </c>
    </row>
    <row r="5139" spans="1:3" x14ac:dyDescent="0.25">
      <c r="A5139" s="115">
        <v>4628083</v>
      </c>
      <c r="B5139" s="115" t="s">
        <v>4947</v>
      </c>
      <c r="C5139" s="117">
        <v>1403.25</v>
      </c>
    </row>
    <row r="5140" spans="1:3" x14ac:dyDescent="0.25">
      <c r="A5140" s="115">
        <v>4621075</v>
      </c>
      <c r="B5140" s="115" t="s">
        <v>4948</v>
      </c>
      <c r="C5140" s="117">
        <v>6796.41</v>
      </c>
    </row>
    <row r="5141" spans="1:3" x14ac:dyDescent="0.25">
      <c r="A5141" s="115">
        <v>4621375</v>
      </c>
      <c r="B5141" s="115" t="s">
        <v>4949</v>
      </c>
      <c r="C5141" s="117">
        <v>6796.41</v>
      </c>
    </row>
    <row r="5142" spans="1:3" x14ac:dyDescent="0.25">
      <c r="A5142" s="115">
        <v>4621380</v>
      </c>
      <c r="B5142" s="115" t="s">
        <v>4950</v>
      </c>
      <c r="C5142" s="117">
        <v>7249.51</v>
      </c>
    </row>
    <row r="5143" spans="1:3" x14ac:dyDescent="0.25">
      <c r="A5143" s="115">
        <v>4621175</v>
      </c>
      <c r="B5143" s="115" t="s">
        <v>4951</v>
      </c>
      <c r="C5143" s="117">
        <v>8649.98</v>
      </c>
    </row>
    <row r="5144" spans="1:3" x14ac:dyDescent="0.25">
      <c r="A5144" s="115">
        <v>4621180</v>
      </c>
      <c r="B5144" s="115" t="s">
        <v>4952</v>
      </c>
      <c r="C5144" s="117">
        <v>9226.65</v>
      </c>
    </row>
    <row r="5145" spans="1:3" x14ac:dyDescent="0.25">
      <c r="A5145" s="115">
        <v>4621975</v>
      </c>
      <c r="B5145" s="115" t="s">
        <v>4953</v>
      </c>
      <c r="C5145" s="117">
        <v>6817.34</v>
      </c>
    </row>
    <row r="5146" spans="1:3" x14ac:dyDescent="0.25">
      <c r="A5146" s="115">
        <v>4625968</v>
      </c>
      <c r="B5146" s="115" t="s">
        <v>4954</v>
      </c>
      <c r="C5146" s="117">
        <v>5485.16</v>
      </c>
    </row>
    <row r="5147" spans="1:3" x14ac:dyDescent="0.25">
      <c r="A5147" s="115">
        <v>4626000</v>
      </c>
      <c r="B5147" s="115" t="s">
        <v>4955</v>
      </c>
      <c r="C5147" s="117">
        <v>6201.01</v>
      </c>
    </row>
    <row r="5148" spans="1:3" x14ac:dyDescent="0.25">
      <c r="A5148" s="115">
        <v>4625994</v>
      </c>
      <c r="B5148" s="115" t="s">
        <v>4956</v>
      </c>
      <c r="C5148" s="117">
        <v>121.62</v>
      </c>
    </row>
    <row r="5149" spans="1:3" x14ac:dyDescent="0.25">
      <c r="A5149" s="115">
        <v>4625932</v>
      </c>
      <c r="B5149" s="115" t="s">
        <v>4957</v>
      </c>
      <c r="C5149" s="117">
        <v>121.62</v>
      </c>
    </row>
    <row r="5150" spans="1:3" x14ac:dyDescent="0.25">
      <c r="A5150" s="115">
        <v>4625984</v>
      </c>
      <c r="B5150" s="115" t="s">
        <v>4958</v>
      </c>
      <c r="C5150" s="117">
        <v>121.62</v>
      </c>
    </row>
    <row r="5151" spans="1:3" x14ac:dyDescent="0.25">
      <c r="A5151" s="115">
        <v>4625954</v>
      </c>
      <c r="B5151" s="115" t="s">
        <v>4959</v>
      </c>
      <c r="C5151" s="117">
        <v>121.62</v>
      </c>
    </row>
    <row r="5152" spans="1:3" x14ac:dyDescent="0.25">
      <c r="A5152" s="115">
        <v>4625812</v>
      </c>
      <c r="B5152" s="115" t="s">
        <v>4960</v>
      </c>
      <c r="C5152" s="117">
        <v>76.540000000000006</v>
      </c>
    </row>
    <row r="5153" spans="1:3" x14ac:dyDescent="0.25">
      <c r="A5153" s="115">
        <v>4621575</v>
      </c>
      <c r="B5153" s="115" t="s">
        <v>4961</v>
      </c>
      <c r="C5153" s="117">
        <v>6555.05</v>
      </c>
    </row>
    <row r="5154" spans="1:3" x14ac:dyDescent="0.25">
      <c r="A5154" s="115">
        <v>4625500</v>
      </c>
      <c r="B5154" s="115" t="s">
        <v>4962</v>
      </c>
      <c r="C5154" s="117">
        <v>3265.11</v>
      </c>
    </row>
    <row r="5155" spans="1:3" x14ac:dyDescent="0.25">
      <c r="A5155" s="115">
        <v>4625600</v>
      </c>
      <c r="B5155" s="115" t="s">
        <v>4963</v>
      </c>
      <c r="C5155" s="117">
        <v>4058.5</v>
      </c>
    </row>
    <row r="5156" spans="1:3" x14ac:dyDescent="0.25">
      <c r="A5156" s="115">
        <v>4625700</v>
      </c>
      <c r="B5156" s="115" t="s">
        <v>4964</v>
      </c>
      <c r="C5156" s="117">
        <v>3095.03</v>
      </c>
    </row>
    <row r="5157" spans="1:3" x14ac:dyDescent="0.25">
      <c r="A5157" s="115">
        <v>4621470</v>
      </c>
      <c r="B5157" s="115" t="s">
        <v>4965</v>
      </c>
      <c r="C5157" s="117">
        <v>2883.44</v>
      </c>
    </row>
    <row r="5158" spans="1:3" x14ac:dyDescent="0.25">
      <c r="A5158" s="144" t="s">
        <v>4966</v>
      </c>
      <c r="B5158" s="145"/>
      <c r="C5158" s="145"/>
    </row>
    <row r="5159" spans="1:3" x14ac:dyDescent="0.25">
      <c r="A5159" s="115">
        <v>4158913</v>
      </c>
      <c r="B5159" s="115" t="s">
        <v>4967</v>
      </c>
      <c r="C5159" s="117">
        <v>5664.49</v>
      </c>
    </row>
    <row r="5160" spans="1:3" x14ac:dyDescent="0.25">
      <c r="A5160" s="115">
        <v>4158811</v>
      </c>
      <c r="B5160" s="115" t="s">
        <v>4968</v>
      </c>
      <c r="C5160" s="117">
        <v>5664.49</v>
      </c>
    </row>
    <row r="5161" spans="1:3" x14ac:dyDescent="0.25">
      <c r="A5161" s="115">
        <v>4163728</v>
      </c>
      <c r="B5161" s="115" t="s">
        <v>4969</v>
      </c>
      <c r="C5161" s="117">
        <v>5903.23</v>
      </c>
    </row>
    <row r="5162" spans="1:3" x14ac:dyDescent="0.25">
      <c r="A5162" s="115">
        <v>4163772</v>
      </c>
      <c r="B5162" s="115" t="s">
        <v>4970</v>
      </c>
      <c r="C5162" s="117">
        <v>5903.23</v>
      </c>
    </row>
    <row r="5163" spans="1:3" x14ac:dyDescent="0.25">
      <c r="A5163" s="115">
        <v>4123300</v>
      </c>
      <c r="B5163" s="115" t="s">
        <v>4971</v>
      </c>
      <c r="C5163" s="117">
        <v>7981.98</v>
      </c>
    </row>
    <row r="5164" spans="1:3" x14ac:dyDescent="0.25">
      <c r="A5164" s="115">
        <v>4123301</v>
      </c>
      <c r="B5164" s="115" t="s">
        <v>4972</v>
      </c>
      <c r="C5164" s="117">
        <v>3719.19</v>
      </c>
    </row>
    <row r="5165" spans="1:3" x14ac:dyDescent="0.25">
      <c r="A5165" s="115">
        <v>4123302</v>
      </c>
      <c r="B5165" s="115" t="s">
        <v>4973</v>
      </c>
      <c r="C5165" s="117">
        <v>3421.26</v>
      </c>
    </row>
    <row r="5166" spans="1:3" x14ac:dyDescent="0.25">
      <c r="A5166" s="115">
        <v>4123140</v>
      </c>
      <c r="B5166" s="115" t="s">
        <v>4974</v>
      </c>
      <c r="C5166" s="117">
        <v>1170.3399999999999</v>
      </c>
    </row>
    <row r="5167" spans="1:3" x14ac:dyDescent="0.25">
      <c r="A5167" s="115">
        <v>4123040</v>
      </c>
      <c r="B5167" s="115" t="s">
        <v>4975</v>
      </c>
      <c r="C5167" s="117">
        <v>1170.3399999999999</v>
      </c>
    </row>
    <row r="5168" spans="1:3" x14ac:dyDescent="0.25">
      <c r="A5168" s="115">
        <v>4123180</v>
      </c>
      <c r="B5168" s="115" t="s">
        <v>4976</v>
      </c>
      <c r="C5168" s="117">
        <v>1932.06</v>
      </c>
    </row>
    <row r="5169" spans="1:3" x14ac:dyDescent="0.25">
      <c r="A5169" s="115">
        <v>4123080</v>
      </c>
      <c r="B5169" s="115" t="s">
        <v>4977</v>
      </c>
      <c r="C5169" s="117">
        <v>1932.06</v>
      </c>
    </row>
    <row r="5170" spans="1:3" x14ac:dyDescent="0.25">
      <c r="A5170" s="115">
        <v>4140501</v>
      </c>
      <c r="B5170" s="115" t="s">
        <v>4978</v>
      </c>
      <c r="C5170" s="117">
        <v>1117.98</v>
      </c>
    </row>
    <row r="5171" spans="1:3" x14ac:dyDescent="0.25">
      <c r="A5171" s="115">
        <v>4140503</v>
      </c>
      <c r="B5171" s="115" t="s">
        <v>4979</v>
      </c>
      <c r="C5171" s="117">
        <v>2091.1799999999998</v>
      </c>
    </row>
    <row r="5172" spans="1:3" x14ac:dyDescent="0.25">
      <c r="A5172" s="115">
        <v>4140502</v>
      </c>
      <c r="B5172" s="115" t="s">
        <v>4980</v>
      </c>
      <c r="C5172" s="117">
        <v>2235.96</v>
      </c>
    </row>
    <row r="5173" spans="1:3" x14ac:dyDescent="0.25">
      <c r="A5173" s="115">
        <v>4161502</v>
      </c>
      <c r="B5173" s="115" t="s">
        <v>4981</v>
      </c>
      <c r="C5173" s="117">
        <v>395.28</v>
      </c>
    </row>
    <row r="5174" spans="1:3" x14ac:dyDescent="0.25">
      <c r="A5174" s="115">
        <v>4161499</v>
      </c>
      <c r="B5174" s="115" t="s">
        <v>4982</v>
      </c>
      <c r="C5174" s="117">
        <v>4935.7299999999996</v>
      </c>
    </row>
    <row r="5175" spans="1:3" x14ac:dyDescent="0.25">
      <c r="A5175" s="115">
        <v>4121311</v>
      </c>
      <c r="B5175" s="115" t="s">
        <v>4983</v>
      </c>
      <c r="C5175" s="117">
        <v>4895.53</v>
      </c>
    </row>
    <row r="5176" spans="1:3" x14ac:dyDescent="0.25">
      <c r="A5176" s="115">
        <v>4121310</v>
      </c>
      <c r="B5176" s="115" t="s">
        <v>4984</v>
      </c>
      <c r="C5176" s="117">
        <v>4895.53</v>
      </c>
    </row>
    <row r="5177" spans="1:3" x14ac:dyDescent="0.25">
      <c r="A5177" s="115">
        <v>4166899</v>
      </c>
      <c r="B5177" s="115" t="s">
        <v>4985</v>
      </c>
      <c r="C5177" s="117">
        <v>5688.61</v>
      </c>
    </row>
    <row r="5178" spans="1:3" x14ac:dyDescent="0.25">
      <c r="A5178" s="115">
        <v>4166872</v>
      </c>
      <c r="B5178" s="115" t="s">
        <v>4986</v>
      </c>
      <c r="C5178" s="117">
        <v>2844.3</v>
      </c>
    </row>
    <row r="5179" spans="1:3" x14ac:dyDescent="0.25">
      <c r="A5179" s="115">
        <v>4163472</v>
      </c>
      <c r="B5179" s="115" t="s">
        <v>4987</v>
      </c>
      <c r="C5179" s="117">
        <v>4748.22</v>
      </c>
    </row>
    <row r="5180" spans="1:3" x14ac:dyDescent="0.25">
      <c r="A5180" s="115">
        <v>4163428</v>
      </c>
      <c r="B5180" s="115" t="s">
        <v>4988</v>
      </c>
      <c r="C5180" s="117">
        <v>4748.22</v>
      </c>
    </row>
    <row r="5181" spans="1:3" x14ac:dyDescent="0.25">
      <c r="A5181" s="115">
        <v>4160241</v>
      </c>
      <c r="B5181" s="115" t="s">
        <v>4989</v>
      </c>
      <c r="C5181" s="117">
        <v>5208.78</v>
      </c>
    </row>
    <row r="5182" spans="1:3" x14ac:dyDescent="0.25">
      <c r="A5182" s="115">
        <v>4160321</v>
      </c>
      <c r="B5182" s="115" t="s">
        <v>4990</v>
      </c>
      <c r="C5182" s="117">
        <v>11196.3</v>
      </c>
    </row>
    <row r="5183" spans="1:3" x14ac:dyDescent="0.25">
      <c r="A5183" s="115">
        <v>4160323</v>
      </c>
      <c r="B5183" s="115" t="s">
        <v>4991</v>
      </c>
      <c r="C5183" s="117">
        <v>11196.3</v>
      </c>
    </row>
    <row r="5184" spans="1:3" x14ac:dyDescent="0.25">
      <c r="A5184" s="115">
        <v>4168829</v>
      </c>
      <c r="B5184" s="115" t="s">
        <v>4992</v>
      </c>
      <c r="C5184" s="117">
        <v>5688.61</v>
      </c>
    </row>
    <row r="5185" spans="1:3" x14ac:dyDescent="0.25">
      <c r="A5185" s="115">
        <v>4168876</v>
      </c>
      <c r="B5185" s="115" t="s">
        <v>4992</v>
      </c>
      <c r="C5185" s="117">
        <v>5688.61</v>
      </c>
    </row>
    <row r="5186" spans="1:3" x14ac:dyDescent="0.25">
      <c r="A5186" s="115">
        <v>4168884</v>
      </c>
      <c r="B5186" s="115" t="s">
        <v>4992</v>
      </c>
      <c r="C5186" s="117">
        <v>5688.61</v>
      </c>
    </row>
    <row r="5187" spans="1:3" x14ac:dyDescent="0.25">
      <c r="A5187" s="115">
        <v>4168776</v>
      </c>
      <c r="B5187" s="115" t="s">
        <v>4993</v>
      </c>
      <c r="C5187" s="117">
        <v>2844.3</v>
      </c>
    </row>
    <row r="5188" spans="1:3" x14ac:dyDescent="0.25">
      <c r="A5188" s="115">
        <v>4169006</v>
      </c>
      <c r="B5188" s="115" t="s">
        <v>4994</v>
      </c>
      <c r="C5188" s="117">
        <v>2494.39</v>
      </c>
    </row>
    <row r="5189" spans="1:3" x14ac:dyDescent="0.25">
      <c r="A5189" s="115">
        <v>4169012</v>
      </c>
      <c r="B5189" s="115" t="s">
        <v>4995</v>
      </c>
      <c r="C5189" s="117">
        <v>2494.39</v>
      </c>
    </row>
    <row r="5190" spans="1:3" x14ac:dyDescent="0.25">
      <c r="A5190" s="115">
        <v>4169005</v>
      </c>
      <c r="B5190" s="115" t="s">
        <v>4996</v>
      </c>
      <c r="C5190" s="117">
        <v>2494.39</v>
      </c>
    </row>
    <row r="5191" spans="1:3" x14ac:dyDescent="0.25">
      <c r="A5191" s="115">
        <v>4169011</v>
      </c>
      <c r="B5191" s="115" t="s">
        <v>4997</v>
      </c>
      <c r="C5191" s="117">
        <v>2494.39</v>
      </c>
    </row>
    <row r="5192" spans="1:3" x14ac:dyDescent="0.25">
      <c r="A5192" s="115">
        <v>4168221</v>
      </c>
      <c r="B5192" s="115" t="s">
        <v>4998</v>
      </c>
      <c r="C5192" s="117">
        <v>4917.21</v>
      </c>
    </row>
    <row r="5193" spans="1:3" x14ac:dyDescent="0.25">
      <c r="A5193" s="115">
        <v>4168213</v>
      </c>
      <c r="B5193" s="115" t="s">
        <v>4999</v>
      </c>
      <c r="C5193" s="117">
        <v>2494.39</v>
      </c>
    </row>
    <row r="5194" spans="1:3" x14ac:dyDescent="0.25">
      <c r="A5194" s="115">
        <v>4168222</v>
      </c>
      <c r="B5194" s="115" t="s">
        <v>5000</v>
      </c>
      <c r="C5194" s="117">
        <v>4917.21</v>
      </c>
    </row>
    <row r="5195" spans="1:3" x14ac:dyDescent="0.25">
      <c r="A5195" s="115">
        <v>4168210</v>
      </c>
      <c r="B5195" s="115" t="s">
        <v>5001</v>
      </c>
      <c r="C5195" s="117">
        <v>2494.39</v>
      </c>
    </row>
    <row r="5196" spans="1:3" x14ac:dyDescent="0.25">
      <c r="A5196" s="115">
        <v>4168215</v>
      </c>
      <c r="B5196" s="115" t="s">
        <v>5002</v>
      </c>
      <c r="C5196" s="117">
        <v>2494.39</v>
      </c>
    </row>
    <row r="5197" spans="1:3" x14ac:dyDescent="0.25">
      <c r="A5197" s="115">
        <v>4161928</v>
      </c>
      <c r="B5197" s="115" t="s">
        <v>5003</v>
      </c>
      <c r="C5197" s="117">
        <v>2270.7399999999998</v>
      </c>
    </row>
    <row r="5198" spans="1:3" x14ac:dyDescent="0.25">
      <c r="A5198" s="115">
        <v>4161972</v>
      </c>
      <c r="B5198" s="115" t="s">
        <v>5004</v>
      </c>
      <c r="C5198" s="117">
        <v>2270.7399999999998</v>
      </c>
    </row>
    <row r="5199" spans="1:3" x14ac:dyDescent="0.25">
      <c r="A5199" s="115">
        <v>4127440</v>
      </c>
      <c r="B5199" s="115" t="s">
        <v>5005</v>
      </c>
      <c r="C5199" s="117">
        <v>1190.27</v>
      </c>
    </row>
    <row r="5200" spans="1:3" x14ac:dyDescent="0.25">
      <c r="A5200" s="115">
        <v>4127340</v>
      </c>
      <c r="B5200" s="115" t="s">
        <v>5006</v>
      </c>
      <c r="C5200" s="117">
        <v>1190.27</v>
      </c>
    </row>
    <row r="5201" spans="1:3" x14ac:dyDescent="0.25">
      <c r="A5201" s="115">
        <v>4122084</v>
      </c>
      <c r="B5201" s="115" t="s">
        <v>5007</v>
      </c>
      <c r="C5201" s="117">
        <v>2108.75</v>
      </c>
    </row>
    <row r="5202" spans="1:3" x14ac:dyDescent="0.25">
      <c r="A5202" s="115">
        <v>4122184</v>
      </c>
      <c r="B5202" s="115" t="s">
        <v>5008</v>
      </c>
      <c r="C5202" s="117">
        <v>2108.75</v>
      </c>
    </row>
    <row r="5203" spans="1:3" x14ac:dyDescent="0.25">
      <c r="A5203" s="115">
        <v>4123601</v>
      </c>
      <c r="B5203" s="115" t="s">
        <v>5009</v>
      </c>
      <c r="C5203" s="117">
        <v>8542.06</v>
      </c>
    </row>
    <row r="5204" spans="1:3" x14ac:dyDescent="0.25">
      <c r="A5204" s="115">
        <v>4163900</v>
      </c>
      <c r="B5204" s="115" t="s">
        <v>5010</v>
      </c>
      <c r="C5204" s="117">
        <v>396.99</v>
      </c>
    </row>
    <row r="5205" spans="1:3" x14ac:dyDescent="0.25">
      <c r="A5205" s="115">
        <v>4123200</v>
      </c>
      <c r="B5205" s="115" t="s">
        <v>5011</v>
      </c>
      <c r="C5205" s="117">
        <v>8542.06</v>
      </c>
    </row>
    <row r="5206" spans="1:3" x14ac:dyDescent="0.25">
      <c r="A5206" s="115">
        <v>4162028</v>
      </c>
      <c r="B5206" s="115" t="s">
        <v>5012</v>
      </c>
      <c r="C5206" s="117">
        <v>6723.08</v>
      </c>
    </row>
    <row r="5207" spans="1:3" x14ac:dyDescent="0.25">
      <c r="A5207" s="115">
        <v>4162000</v>
      </c>
      <c r="B5207" s="115" t="s">
        <v>5013</v>
      </c>
      <c r="C5207" s="117">
        <v>6723.08</v>
      </c>
    </row>
    <row r="5208" spans="1:3" x14ac:dyDescent="0.25">
      <c r="A5208" s="115">
        <v>4162072</v>
      </c>
      <c r="B5208" s="115" t="s">
        <v>5014</v>
      </c>
      <c r="C5208" s="117">
        <v>6723.08</v>
      </c>
    </row>
    <row r="5209" spans="1:3" x14ac:dyDescent="0.25">
      <c r="A5209" s="115">
        <v>4161623</v>
      </c>
      <c r="B5209" s="115" t="s">
        <v>5015</v>
      </c>
      <c r="C5209" s="117">
        <v>25498.23</v>
      </c>
    </row>
    <row r="5210" spans="1:3" x14ac:dyDescent="0.25">
      <c r="A5210" s="115">
        <v>4161622</v>
      </c>
      <c r="B5210" s="115" t="s">
        <v>5016</v>
      </c>
      <c r="C5210" s="117">
        <v>28778.65</v>
      </c>
    </row>
    <row r="5211" spans="1:3" x14ac:dyDescent="0.25">
      <c r="A5211" s="115">
        <v>4161624</v>
      </c>
      <c r="B5211" s="115" t="s">
        <v>5017</v>
      </c>
      <c r="C5211" s="117">
        <v>28778.65</v>
      </c>
    </row>
    <row r="5212" spans="1:3" x14ac:dyDescent="0.25">
      <c r="A5212" s="115">
        <v>4161627</v>
      </c>
      <c r="B5212" s="115" t="s">
        <v>5018</v>
      </c>
      <c r="C5212" s="117">
        <v>28778.65</v>
      </c>
    </row>
    <row r="5213" spans="1:3" x14ac:dyDescent="0.25">
      <c r="A5213" s="115">
        <v>4160480</v>
      </c>
      <c r="B5213" s="115" t="s">
        <v>5019</v>
      </c>
      <c r="C5213" s="117">
        <v>3697.6</v>
      </c>
    </row>
    <row r="5214" spans="1:3" x14ac:dyDescent="0.25">
      <c r="A5214" s="115">
        <v>4160449</v>
      </c>
      <c r="B5214" s="115" t="s">
        <v>5020</v>
      </c>
      <c r="C5214" s="117">
        <v>3697.6</v>
      </c>
    </row>
    <row r="5215" spans="1:3" x14ac:dyDescent="0.25">
      <c r="A5215" s="115">
        <v>4129563</v>
      </c>
      <c r="B5215" s="115" t="s">
        <v>5021</v>
      </c>
      <c r="C5215" s="117">
        <v>7817.88</v>
      </c>
    </row>
    <row r="5216" spans="1:3" x14ac:dyDescent="0.25">
      <c r="A5216" s="115">
        <v>4129594</v>
      </c>
      <c r="B5216" s="115" t="s">
        <v>5022</v>
      </c>
      <c r="C5216" s="117">
        <v>5791.02</v>
      </c>
    </row>
    <row r="5217" spans="1:3" x14ac:dyDescent="0.25">
      <c r="A5217" s="115">
        <v>4129516</v>
      </c>
      <c r="B5217" s="115" t="s">
        <v>5023</v>
      </c>
      <c r="C5217" s="117">
        <v>7817.88</v>
      </c>
    </row>
    <row r="5218" spans="1:3" x14ac:dyDescent="0.25">
      <c r="A5218" s="115">
        <v>4162487</v>
      </c>
      <c r="B5218" s="115" t="s">
        <v>5024</v>
      </c>
      <c r="C5218" s="117">
        <v>4918.93</v>
      </c>
    </row>
    <row r="5219" spans="1:3" x14ac:dyDescent="0.25">
      <c r="A5219" s="115">
        <v>4162387</v>
      </c>
      <c r="B5219" s="115" t="s">
        <v>5025</v>
      </c>
      <c r="C5219" s="117">
        <v>4918.93</v>
      </c>
    </row>
    <row r="5220" spans="1:3" x14ac:dyDescent="0.25">
      <c r="A5220" s="115">
        <v>4162426</v>
      </c>
      <c r="B5220" s="115" t="s">
        <v>5026</v>
      </c>
      <c r="C5220" s="117">
        <v>4918.93</v>
      </c>
    </row>
    <row r="5221" spans="1:3" x14ac:dyDescent="0.25">
      <c r="A5221" s="115">
        <v>4162326</v>
      </c>
      <c r="B5221" s="115" t="s">
        <v>5027</v>
      </c>
      <c r="C5221" s="117">
        <v>4918.93</v>
      </c>
    </row>
    <row r="5222" spans="1:3" x14ac:dyDescent="0.25">
      <c r="A5222" s="115">
        <v>4162300</v>
      </c>
      <c r="B5222" s="115" t="s">
        <v>5028</v>
      </c>
      <c r="C5222" s="117">
        <v>4918.93</v>
      </c>
    </row>
    <row r="5223" spans="1:3" x14ac:dyDescent="0.25">
      <c r="A5223" s="115">
        <v>4162476</v>
      </c>
      <c r="B5223" s="115" t="s">
        <v>5029</v>
      </c>
      <c r="C5223" s="117">
        <v>4918.93</v>
      </c>
    </row>
    <row r="5224" spans="1:3" x14ac:dyDescent="0.25">
      <c r="A5224" s="115">
        <v>4162376</v>
      </c>
      <c r="B5224" s="115" t="s">
        <v>5030</v>
      </c>
      <c r="C5224" s="117">
        <v>4918.93</v>
      </c>
    </row>
    <row r="5225" spans="1:3" x14ac:dyDescent="0.25">
      <c r="A5225" s="115">
        <v>4162483</v>
      </c>
      <c r="B5225" s="115" t="s">
        <v>5031</v>
      </c>
      <c r="C5225" s="117">
        <v>4918.93</v>
      </c>
    </row>
    <row r="5226" spans="1:3" x14ac:dyDescent="0.25">
      <c r="A5226" s="115">
        <v>4162383</v>
      </c>
      <c r="B5226" s="115" t="s">
        <v>5032</v>
      </c>
      <c r="C5226" s="117">
        <v>4918.93</v>
      </c>
    </row>
    <row r="5227" spans="1:3" x14ac:dyDescent="0.25">
      <c r="A5227" s="115">
        <v>4162484</v>
      </c>
      <c r="B5227" s="115" t="s">
        <v>5033</v>
      </c>
      <c r="C5227" s="117">
        <v>4918.93</v>
      </c>
    </row>
    <row r="5228" spans="1:3" x14ac:dyDescent="0.25">
      <c r="A5228" s="115">
        <v>4162384</v>
      </c>
      <c r="B5228" s="115" t="s">
        <v>5034</v>
      </c>
      <c r="C5228" s="117">
        <v>4918.93</v>
      </c>
    </row>
    <row r="5229" spans="1:3" x14ac:dyDescent="0.25">
      <c r="A5229" s="115">
        <v>4162430</v>
      </c>
      <c r="B5229" s="115" t="s">
        <v>5035</v>
      </c>
      <c r="C5229" s="117">
        <v>4918.93</v>
      </c>
    </row>
    <row r="5230" spans="1:3" x14ac:dyDescent="0.25">
      <c r="A5230" s="115">
        <v>4162330</v>
      </c>
      <c r="B5230" s="115" t="s">
        <v>5036</v>
      </c>
      <c r="C5230" s="117">
        <v>4918.93</v>
      </c>
    </row>
    <row r="5231" spans="1:3" x14ac:dyDescent="0.25">
      <c r="A5231" s="115">
        <v>4162490</v>
      </c>
      <c r="B5231" s="115" t="s">
        <v>5037</v>
      </c>
      <c r="C5231" s="117">
        <v>4918.93</v>
      </c>
    </row>
    <row r="5232" spans="1:3" x14ac:dyDescent="0.25">
      <c r="A5232" s="115">
        <v>4162390</v>
      </c>
      <c r="B5232" s="115" t="s">
        <v>5038</v>
      </c>
      <c r="C5232" s="117">
        <v>4918.93</v>
      </c>
    </row>
    <row r="5233" spans="1:3" x14ac:dyDescent="0.25">
      <c r="A5233" s="115">
        <v>4123500</v>
      </c>
      <c r="B5233" s="115" t="s">
        <v>5039</v>
      </c>
      <c r="C5233" s="117">
        <v>7971.85</v>
      </c>
    </row>
    <row r="5234" spans="1:3" x14ac:dyDescent="0.25">
      <c r="A5234" s="115">
        <v>4161329</v>
      </c>
      <c r="B5234" s="115" t="s">
        <v>5040</v>
      </c>
      <c r="C5234" s="117">
        <v>5903.23</v>
      </c>
    </row>
    <row r="5235" spans="1:3" x14ac:dyDescent="0.25">
      <c r="A5235" s="115">
        <v>4161828</v>
      </c>
      <c r="B5235" s="115" t="s">
        <v>5041</v>
      </c>
      <c r="C5235" s="117">
        <v>5903.23</v>
      </c>
    </row>
    <row r="5236" spans="1:3" x14ac:dyDescent="0.25">
      <c r="A5236" s="115">
        <v>4161323</v>
      </c>
      <c r="B5236" s="115" t="s">
        <v>5042</v>
      </c>
      <c r="C5236" s="117">
        <v>5903.23</v>
      </c>
    </row>
    <row r="5237" spans="1:3" x14ac:dyDescent="0.25">
      <c r="A5237" s="115">
        <v>4161872</v>
      </c>
      <c r="B5237" s="115" t="s">
        <v>5043</v>
      </c>
      <c r="C5237" s="117">
        <v>5903.23</v>
      </c>
    </row>
    <row r="5238" spans="1:3" x14ac:dyDescent="0.25">
      <c r="A5238" s="115">
        <v>4161327</v>
      </c>
      <c r="B5238" s="115" t="s">
        <v>5044</v>
      </c>
      <c r="C5238" s="117">
        <v>5903.23</v>
      </c>
    </row>
    <row r="5239" spans="1:3" x14ac:dyDescent="0.25">
      <c r="A5239" s="115">
        <v>4123401</v>
      </c>
      <c r="B5239" s="115" t="s">
        <v>5045</v>
      </c>
      <c r="C5239" s="117">
        <v>8852.65</v>
      </c>
    </row>
    <row r="5240" spans="1:3" x14ac:dyDescent="0.25">
      <c r="A5240" s="115">
        <v>4123400</v>
      </c>
      <c r="B5240" s="115" t="s">
        <v>5046</v>
      </c>
      <c r="C5240" s="117">
        <v>8852.65</v>
      </c>
    </row>
    <row r="5241" spans="1:3" x14ac:dyDescent="0.25">
      <c r="A5241" s="115">
        <v>4125072</v>
      </c>
      <c r="B5241" s="115" t="s">
        <v>5047</v>
      </c>
      <c r="C5241" s="117">
        <v>5282.41</v>
      </c>
    </row>
    <row r="5242" spans="1:3" x14ac:dyDescent="0.25">
      <c r="A5242" s="115">
        <v>4125000</v>
      </c>
      <c r="B5242" s="115" t="s">
        <v>5048</v>
      </c>
      <c r="C5242" s="117">
        <v>5282.41</v>
      </c>
    </row>
    <row r="5243" spans="1:3" x14ac:dyDescent="0.25">
      <c r="A5243" s="115">
        <v>4168500</v>
      </c>
      <c r="B5243" s="115" t="s">
        <v>5049</v>
      </c>
      <c r="C5243" s="117">
        <v>279.07</v>
      </c>
    </row>
    <row r="5244" spans="1:3" x14ac:dyDescent="0.25">
      <c r="A5244" s="115">
        <v>4151529</v>
      </c>
      <c r="B5244" s="115" t="s">
        <v>5050</v>
      </c>
      <c r="C5244" s="117">
        <v>8310.7099999999991</v>
      </c>
    </row>
    <row r="5245" spans="1:3" x14ac:dyDescent="0.25">
      <c r="A5245" s="115">
        <v>4151576</v>
      </c>
      <c r="B5245" s="115" t="s">
        <v>5051</v>
      </c>
      <c r="C5245" s="117">
        <v>8310.7099999999991</v>
      </c>
    </row>
    <row r="5246" spans="1:3" x14ac:dyDescent="0.25">
      <c r="A5246" s="115">
        <v>4151583</v>
      </c>
      <c r="B5246" s="115" t="s">
        <v>5052</v>
      </c>
      <c r="C5246" s="117">
        <v>8310.7099999999991</v>
      </c>
    </row>
    <row r="5247" spans="1:3" x14ac:dyDescent="0.25">
      <c r="A5247" s="115">
        <v>4151249</v>
      </c>
      <c r="B5247" s="115" t="s">
        <v>5053</v>
      </c>
      <c r="C5247" s="117">
        <v>6167.85</v>
      </c>
    </row>
    <row r="5248" spans="1:3" x14ac:dyDescent="0.25">
      <c r="A5248" s="115">
        <v>4151248</v>
      </c>
      <c r="B5248" s="115" t="s">
        <v>5054</v>
      </c>
      <c r="C5248" s="117">
        <v>6167.85</v>
      </c>
    </row>
    <row r="5249" spans="1:3" x14ac:dyDescent="0.25">
      <c r="A5249" s="115">
        <v>4151247</v>
      </c>
      <c r="B5249" s="115" t="s">
        <v>5055</v>
      </c>
      <c r="C5249" s="117">
        <v>6167.85</v>
      </c>
    </row>
    <row r="5250" spans="1:3" x14ac:dyDescent="0.25">
      <c r="A5250" s="115">
        <v>4151226</v>
      </c>
      <c r="B5250" s="115" t="s">
        <v>5056</v>
      </c>
      <c r="C5250" s="117">
        <v>6167.85</v>
      </c>
    </row>
    <row r="5251" spans="1:3" x14ac:dyDescent="0.25">
      <c r="A5251" s="115">
        <v>4151229</v>
      </c>
      <c r="B5251" s="115" t="s">
        <v>5057</v>
      </c>
      <c r="C5251" s="117">
        <v>6167.85</v>
      </c>
    </row>
    <row r="5252" spans="1:3" x14ac:dyDescent="0.25">
      <c r="A5252" s="115">
        <v>4151240</v>
      </c>
      <c r="B5252" s="115" t="s">
        <v>5058</v>
      </c>
      <c r="C5252" s="117">
        <v>6167.85</v>
      </c>
    </row>
    <row r="5253" spans="1:3" x14ac:dyDescent="0.25">
      <c r="A5253" s="115">
        <v>4151262</v>
      </c>
      <c r="B5253" s="115" t="s">
        <v>5059</v>
      </c>
      <c r="C5253" s="117">
        <v>6167.85</v>
      </c>
    </row>
    <row r="5254" spans="1:3" x14ac:dyDescent="0.25">
      <c r="A5254" s="115">
        <v>4151276</v>
      </c>
      <c r="B5254" s="115" t="s">
        <v>5060</v>
      </c>
      <c r="C5254" s="117">
        <v>6167.85</v>
      </c>
    </row>
    <row r="5255" spans="1:3" x14ac:dyDescent="0.25">
      <c r="A5255" s="115">
        <v>4151277</v>
      </c>
      <c r="B5255" s="115" t="s">
        <v>5061</v>
      </c>
      <c r="C5255" s="117">
        <v>6167.85</v>
      </c>
    </row>
    <row r="5256" spans="1:3" x14ac:dyDescent="0.25">
      <c r="A5256" s="115">
        <v>4151255</v>
      </c>
      <c r="B5256" s="115" t="s">
        <v>5062</v>
      </c>
      <c r="C5256" s="117">
        <v>6167.85</v>
      </c>
    </row>
    <row r="5257" spans="1:3" x14ac:dyDescent="0.25">
      <c r="A5257" s="115">
        <v>4151283</v>
      </c>
      <c r="B5257" s="115" t="s">
        <v>5063</v>
      </c>
      <c r="C5257" s="117">
        <v>6167.85</v>
      </c>
    </row>
    <row r="5258" spans="1:3" x14ac:dyDescent="0.25">
      <c r="A5258" s="115">
        <v>4151268</v>
      </c>
      <c r="B5258" s="115" t="s">
        <v>5064</v>
      </c>
      <c r="C5258" s="117">
        <v>6167.85</v>
      </c>
    </row>
    <row r="5259" spans="1:3" x14ac:dyDescent="0.25">
      <c r="A5259" s="115">
        <v>4152100</v>
      </c>
      <c r="B5259" s="115" t="s">
        <v>5065</v>
      </c>
      <c r="C5259" s="117">
        <v>5988.2</v>
      </c>
    </row>
    <row r="5260" spans="1:3" x14ac:dyDescent="0.25">
      <c r="A5260" s="115">
        <v>4152000</v>
      </c>
      <c r="B5260" s="115" t="s">
        <v>5066</v>
      </c>
      <c r="C5260" s="117">
        <v>5988.2</v>
      </c>
    </row>
    <row r="5261" spans="1:3" x14ac:dyDescent="0.25">
      <c r="A5261" s="115">
        <v>4152560</v>
      </c>
      <c r="B5261" s="115" t="s">
        <v>5067</v>
      </c>
      <c r="C5261" s="117">
        <v>7146.72</v>
      </c>
    </row>
    <row r="5262" spans="1:3" x14ac:dyDescent="0.25">
      <c r="A5262" s="115">
        <v>4166928</v>
      </c>
      <c r="B5262" s="115" t="s">
        <v>5068</v>
      </c>
      <c r="C5262" s="117">
        <v>5895.06</v>
      </c>
    </row>
    <row r="5263" spans="1:3" x14ac:dyDescent="0.25">
      <c r="A5263" s="115">
        <v>4163172</v>
      </c>
      <c r="B5263" s="115" t="s">
        <v>5069</v>
      </c>
      <c r="C5263" s="117">
        <v>8852.65</v>
      </c>
    </row>
    <row r="5264" spans="1:3" x14ac:dyDescent="0.25">
      <c r="A5264" s="115">
        <v>4150419</v>
      </c>
      <c r="B5264" s="115" t="s">
        <v>5070</v>
      </c>
      <c r="C5264" s="117">
        <v>4083.35</v>
      </c>
    </row>
    <row r="5265" spans="1:3" x14ac:dyDescent="0.25">
      <c r="A5265" s="115">
        <v>4150418</v>
      </c>
      <c r="B5265" s="115" t="s">
        <v>5071</v>
      </c>
      <c r="C5265" s="117">
        <v>4083.35</v>
      </c>
    </row>
    <row r="5266" spans="1:3" x14ac:dyDescent="0.25">
      <c r="A5266" s="115">
        <v>4163928</v>
      </c>
      <c r="B5266" s="115" t="s">
        <v>5072</v>
      </c>
      <c r="C5266" s="117">
        <v>2500.61</v>
      </c>
    </row>
    <row r="5267" spans="1:3" x14ac:dyDescent="0.25">
      <c r="A5267" s="115">
        <v>4163972</v>
      </c>
      <c r="B5267" s="115" t="s">
        <v>5073</v>
      </c>
      <c r="C5267" s="117">
        <v>2500.61</v>
      </c>
    </row>
    <row r="5268" spans="1:3" x14ac:dyDescent="0.25">
      <c r="A5268" s="115">
        <v>4165062</v>
      </c>
      <c r="B5268" s="115" t="s">
        <v>5074</v>
      </c>
      <c r="C5268" s="117">
        <v>3414.7</v>
      </c>
    </row>
    <row r="5269" spans="1:3" x14ac:dyDescent="0.25">
      <c r="A5269" s="115">
        <v>4165373</v>
      </c>
      <c r="B5269" s="115" t="s">
        <v>5075</v>
      </c>
      <c r="C5269" s="117">
        <v>2500.61</v>
      </c>
    </row>
    <row r="5270" spans="1:3" x14ac:dyDescent="0.25">
      <c r="A5270" s="115">
        <v>4165372</v>
      </c>
      <c r="B5270" s="115" t="s">
        <v>5076</v>
      </c>
      <c r="C5270" s="117">
        <v>2500.61</v>
      </c>
    </row>
    <row r="5271" spans="1:3" x14ac:dyDescent="0.25">
      <c r="A5271" s="115">
        <v>4123800</v>
      </c>
      <c r="B5271" s="115" t="s">
        <v>5077</v>
      </c>
      <c r="C5271" s="117">
        <v>2466.31</v>
      </c>
    </row>
    <row r="5272" spans="1:3" x14ac:dyDescent="0.25">
      <c r="A5272" s="115">
        <v>4123900</v>
      </c>
      <c r="B5272" s="115" t="s">
        <v>5078</v>
      </c>
      <c r="C5272" s="117">
        <v>3514.09</v>
      </c>
    </row>
    <row r="5273" spans="1:3" x14ac:dyDescent="0.25">
      <c r="A5273" s="115">
        <v>4122520</v>
      </c>
      <c r="B5273" s="115" t="s">
        <v>5079</v>
      </c>
      <c r="C5273" s="117">
        <v>511.36</v>
      </c>
    </row>
    <row r="5274" spans="1:3" x14ac:dyDescent="0.25">
      <c r="A5274" s="115">
        <v>4122525</v>
      </c>
      <c r="B5274" s="115" t="s">
        <v>5080</v>
      </c>
      <c r="C5274" s="117">
        <v>1278.25</v>
      </c>
    </row>
    <row r="5275" spans="1:3" x14ac:dyDescent="0.25">
      <c r="A5275" s="115">
        <v>4122521</v>
      </c>
      <c r="B5275" s="115" t="s">
        <v>5081</v>
      </c>
      <c r="C5275" s="117">
        <v>1278.25</v>
      </c>
    </row>
    <row r="5276" spans="1:3" x14ac:dyDescent="0.25">
      <c r="A5276" s="115">
        <v>4122523</v>
      </c>
      <c r="B5276" s="115" t="s">
        <v>5082</v>
      </c>
      <c r="C5276" s="117">
        <v>1278.25</v>
      </c>
    </row>
    <row r="5277" spans="1:3" x14ac:dyDescent="0.25">
      <c r="A5277" s="115">
        <v>4122526</v>
      </c>
      <c r="B5277" s="115" t="s">
        <v>5083</v>
      </c>
      <c r="C5277" s="117">
        <v>1278.25</v>
      </c>
    </row>
    <row r="5278" spans="1:3" x14ac:dyDescent="0.25">
      <c r="A5278" s="115">
        <v>4122524</v>
      </c>
      <c r="B5278" s="115" t="s">
        <v>5084</v>
      </c>
      <c r="C5278" s="117">
        <v>1278.25</v>
      </c>
    </row>
    <row r="5279" spans="1:3" x14ac:dyDescent="0.25">
      <c r="A5279" s="115">
        <v>4122522</v>
      </c>
      <c r="B5279" s="115" t="s">
        <v>5085</v>
      </c>
      <c r="C5279" s="117">
        <v>1278.25</v>
      </c>
    </row>
    <row r="5280" spans="1:3" x14ac:dyDescent="0.25">
      <c r="A5280" s="115">
        <v>4157429</v>
      </c>
      <c r="B5280" s="115" t="s">
        <v>5086</v>
      </c>
      <c r="C5280" s="117">
        <v>7186.09</v>
      </c>
    </row>
    <row r="5281" spans="1:3" x14ac:dyDescent="0.25">
      <c r="A5281" s="115">
        <v>4157329</v>
      </c>
      <c r="B5281" s="115" t="s">
        <v>5087</v>
      </c>
      <c r="C5281" s="117">
        <v>7186.09</v>
      </c>
    </row>
    <row r="5282" spans="1:3" x14ac:dyDescent="0.25">
      <c r="A5282" s="115">
        <v>4157476</v>
      </c>
      <c r="B5282" s="115" t="s">
        <v>5088</v>
      </c>
      <c r="C5282" s="117">
        <v>3593.04</v>
      </c>
    </row>
    <row r="5283" spans="1:3" x14ac:dyDescent="0.25">
      <c r="A5283" s="115">
        <v>4157376</v>
      </c>
      <c r="B5283" s="115" t="s">
        <v>5089</v>
      </c>
      <c r="C5283" s="117">
        <v>7186.09</v>
      </c>
    </row>
    <row r="5284" spans="1:3" x14ac:dyDescent="0.25">
      <c r="A5284" s="115">
        <v>4157483</v>
      </c>
      <c r="B5284" s="115" t="s">
        <v>5090</v>
      </c>
      <c r="C5284" s="117">
        <v>3593.04</v>
      </c>
    </row>
    <row r="5285" spans="1:3" x14ac:dyDescent="0.25">
      <c r="A5285" s="115">
        <v>4157383</v>
      </c>
      <c r="B5285" s="115" t="s">
        <v>5091</v>
      </c>
      <c r="C5285" s="117">
        <v>7186.09</v>
      </c>
    </row>
    <row r="5286" spans="1:3" x14ac:dyDescent="0.25">
      <c r="A5286" s="115">
        <v>4165828</v>
      </c>
      <c r="B5286" s="115" t="s">
        <v>5092</v>
      </c>
      <c r="C5286" s="117">
        <v>4655.93</v>
      </c>
    </row>
    <row r="5287" spans="1:3" x14ac:dyDescent="0.25">
      <c r="A5287" s="115">
        <v>4165800</v>
      </c>
      <c r="B5287" s="115" t="s">
        <v>5093</v>
      </c>
      <c r="C5287" s="117">
        <v>4655.93</v>
      </c>
    </row>
    <row r="5288" spans="1:3" x14ac:dyDescent="0.25">
      <c r="A5288" s="115">
        <v>4162528</v>
      </c>
      <c r="B5288" s="115" t="s">
        <v>5094</v>
      </c>
      <c r="C5288" s="117">
        <v>3593.04</v>
      </c>
    </row>
    <row r="5289" spans="1:3" x14ac:dyDescent="0.25">
      <c r="A5289" s="115">
        <v>4162572</v>
      </c>
      <c r="B5289" s="115" t="s">
        <v>5095</v>
      </c>
      <c r="C5289" s="117">
        <v>7186.09</v>
      </c>
    </row>
    <row r="5290" spans="1:3" x14ac:dyDescent="0.25">
      <c r="A5290" s="115">
        <v>4161428</v>
      </c>
      <c r="B5290" s="115" t="s">
        <v>5096</v>
      </c>
      <c r="C5290" s="117">
        <v>8069.85</v>
      </c>
    </row>
    <row r="5291" spans="1:3" x14ac:dyDescent="0.25">
      <c r="A5291" s="115">
        <v>4161472</v>
      </c>
      <c r="B5291" s="115" t="s">
        <v>5097</v>
      </c>
      <c r="C5291" s="117">
        <v>8069.85</v>
      </c>
    </row>
    <row r="5292" spans="1:3" x14ac:dyDescent="0.25">
      <c r="A5292" s="115">
        <v>4167006</v>
      </c>
      <c r="B5292" s="115" t="s">
        <v>5098</v>
      </c>
      <c r="C5292" s="117">
        <v>10003.69</v>
      </c>
    </row>
    <row r="5293" spans="1:3" x14ac:dyDescent="0.25">
      <c r="A5293" s="115">
        <v>4167003</v>
      </c>
      <c r="B5293" s="115" t="s">
        <v>5099</v>
      </c>
      <c r="C5293" s="117">
        <v>10003.69</v>
      </c>
    </row>
    <row r="5294" spans="1:3" x14ac:dyDescent="0.25">
      <c r="A5294" s="115">
        <v>4167001</v>
      </c>
      <c r="B5294" s="115" t="s">
        <v>5100</v>
      </c>
      <c r="C5294" s="117">
        <v>10003.69</v>
      </c>
    </row>
    <row r="5295" spans="1:3" x14ac:dyDescent="0.25">
      <c r="A5295" s="115">
        <v>4167000</v>
      </c>
      <c r="B5295" s="115" t="s">
        <v>5101</v>
      </c>
      <c r="C5295" s="117">
        <v>10003.69</v>
      </c>
    </row>
    <row r="5296" spans="1:3" x14ac:dyDescent="0.25">
      <c r="A5296" s="115">
        <v>4167004</v>
      </c>
      <c r="B5296" s="115" t="s">
        <v>5102</v>
      </c>
      <c r="C5296" s="117">
        <v>10003.69</v>
      </c>
    </row>
    <row r="5297" spans="1:3" x14ac:dyDescent="0.25">
      <c r="A5297" s="115">
        <v>4167101</v>
      </c>
      <c r="B5297" s="115" t="s">
        <v>5103</v>
      </c>
      <c r="C5297" s="117">
        <v>750.29</v>
      </c>
    </row>
    <row r="5298" spans="1:3" x14ac:dyDescent="0.25">
      <c r="A5298" s="115">
        <v>4167110</v>
      </c>
      <c r="B5298" s="115" t="s">
        <v>5104</v>
      </c>
      <c r="C5298" s="117">
        <v>7594.59</v>
      </c>
    </row>
    <row r="5299" spans="1:3" x14ac:dyDescent="0.25">
      <c r="A5299" s="115">
        <v>4167111</v>
      </c>
      <c r="B5299" s="115" t="s">
        <v>5105</v>
      </c>
      <c r="C5299" s="117">
        <v>7594.59</v>
      </c>
    </row>
    <row r="5300" spans="1:3" x14ac:dyDescent="0.25">
      <c r="A5300" s="115">
        <v>4126006</v>
      </c>
      <c r="B5300" s="115" t="s">
        <v>5106</v>
      </c>
      <c r="C5300" s="117">
        <v>4480.79</v>
      </c>
    </row>
    <row r="5301" spans="1:3" x14ac:dyDescent="0.25">
      <c r="A5301" s="115">
        <v>4126000</v>
      </c>
      <c r="B5301" s="115" t="s">
        <v>5107</v>
      </c>
      <c r="C5301" s="117">
        <v>3488.22</v>
      </c>
    </row>
    <row r="5302" spans="1:3" x14ac:dyDescent="0.25">
      <c r="A5302" s="115">
        <v>4126003</v>
      </c>
      <c r="B5302" s="115" t="s">
        <v>5108</v>
      </c>
      <c r="C5302" s="117">
        <v>3488.22</v>
      </c>
    </row>
    <row r="5303" spans="1:3" x14ac:dyDescent="0.25">
      <c r="A5303" s="115">
        <v>4126004</v>
      </c>
      <c r="B5303" s="115" t="s">
        <v>5109</v>
      </c>
      <c r="C5303" s="117">
        <v>3488.22</v>
      </c>
    </row>
    <row r="5304" spans="1:3" x14ac:dyDescent="0.25">
      <c r="A5304" s="115">
        <v>4126001</v>
      </c>
      <c r="B5304" s="115" t="s">
        <v>5110</v>
      </c>
      <c r="C5304" s="117">
        <v>3488.22</v>
      </c>
    </row>
    <row r="5305" spans="1:3" x14ac:dyDescent="0.25">
      <c r="A5305" s="115">
        <v>4126005</v>
      </c>
      <c r="B5305" s="115" t="s">
        <v>5111</v>
      </c>
      <c r="C5305" s="117">
        <v>3488.22</v>
      </c>
    </row>
    <row r="5306" spans="1:3" x14ac:dyDescent="0.25">
      <c r="A5306" s="115">
        <v>4126065</v>
      </c>
      <c r="B5306" s="115" t="s">
        <v>5112</v>
      </c>
      <c r="C5306" s="117">
        <v>5059.26</v>
      </c>
    </row>
    <row r="5307" spans="1:3" x14ac:dyDescent="0.25">
      <c r="A5307" s="115">
        <v>4160564</v>
      </c>
      <c r="B5307" s="115" t="s">
        <v>5113</v>
      </c>
      <c r="C5307" s="117">
        <v>5242.68</v>
      </c>
    </row>
    <row r="5308" spans="1:3" x14ac:dyDescent="0.25">
      <c r="A5308" s="115">
        <v>4169114</v>
      </c>
      <c r="B5308" s="115" t="s">
        <v>5114</v>
      </c>
      <c r="C5308" s="117">
        <v>5849.76</v>
      </c>
    </row>
    <row r="5309" spans="1:3" x14ac:dyDescent="0.25">
      <c r="A5309" s="115">
        <v>4169107</v>
      </c>
      <c r="B5309" s="115" t="s">
        <v>5115</v>
      </c>
      <c r="C5309" s="117">
        <v>5849.76</v>
      </c>
    </row>
    <row r="5310" spans="1:3" x14ac:dyDescent="0.25">
      <c r="A5310" s="115">
        <v>4169184</v>
      </c>
      <c r="B5310" s="115" t="s">
        <v>5116</v>
      </c>
      <c r="C5310" s="117">
        <v>5849.76</v>
      </c>
    </row>
    <row r="5311" spans="1:3" x14ac:dyDescent="0.25">
      <c r="A5311" s="115">
        <v>4169177</v>
      </c>
      <c r="B5311" s="115" t="s">
        <v>5117</v>
      </c>
      <c r="C5311" s="117">
        <v>5849.76</v>
      </c>
    </row>
    <row r="5312" spans="1:3" x14ac:dyDescent="0.25">
      <c r="A5312" s="115">
        <v>4160557</v>
      </c>
      <c r="B5312" s="115" t="s">
        <v>5118</v>
      </c>
      <c r="C5312" s="117">
        <v>5242.68</v>
      </c>
    </row>
    <row r="5313" spans="1:3" x14ac:dyDescent="0.25">
      <c r="A5313" s="115">
        <v>4169172</v>
      </c>
      <c r="B5313" s="115" t="s">
        <v>5119</v>
      </c>
      <c r="C5313" s="117">
        <v>9766.5400000000009</v>
      </c>
    </row>
    <row r="5314" spans="1:3" x14ac:dyDescent="0.25">
      <c r="A5314" s="115">
        <v>4169138</v>
      </c>
      <c r="B5314" s="115" t="s">
        <v>5120</v>
      </c>
      <c r="C5314" s="117">
        <v>9766.5400000000009</v>
      </c>
    </row>
    <row r="5315" spans="1:3" x14ac:dyDescent="0.25">
      <c r="A5315" s="115">
        <v>4169190</v>
      </c>
      <c r="B5315" s="115" t="s">
        <v>5121</v>
      </c>
      <c r="C5315" s="117">
        <v>5849.76</v>
      </c>
    </row>
    <row r="5316" spans="1:3" x14ac:dyDescent="0.25">
      <c r="A5316" s="115">
        <v>4169176</v>
      </c>
      <c r="B5316" s="115" t="s">
        <v>5122</v>
      </c>
      <c r="C5316" s="117">
        <v>5849.76</v>
      </c>
    </row>
    <row r="5317" spans="1:3" x14ac:dyDescent="0.25">
      <c r="A5317" s="115">
        <v>4169112</v>
      </c>
      <c r="B5317" s="115" t="s">
        <v>5123</v>
      </c>
      <c r="C5317" s="117">
        <v>7655.14</v>
      </c>
    </row>
    <row r="5318" spans="1:3" x14ac:dyDescent="0.25">
      <c r="A5318" s="115">
        <v>4160515</v>
      </c>
      <c r="B5318" s="115" t="s">
        <v>5124</v>
      </c>
      <c r="C5318" s="117">
        <v>5855.55</v>
      </c>
    </row>
    <row r="5319" spans="1:3" x14ac:dyDescent="0.25">
      <c r="A5319" s="115">
        <v>4160505</v>
      </c>
      <c r="B5319" s="115" t="s">
        <v>5125</v>
      </c>
      <c r="C5319" s="117">
        <v>5242.68</v>
      </c>
    </row>
    <row r="5320" spans="1:3" x14ac:dyDescent="0.25">
      <c r="A5320" s="115">
        <v>4169121</v>
      </c>
      <c r="B5320" s="115" t="s">
        <v>5126</v>
      </c>
      <c r="C5320" s="117">
        <v>5849.76</v>
      </c>
    </row>
    <row r="5321" spans="1:3" x14ac:dyDescent="0.25">
      <c r="A5321" s="115">
        <v>4169191</v>
      </c>
      <c r="B5321" s="115" t="s">
        <v>5127</v>
      </c>
      <c r="C5321" s="117">
        <v>5849.76</v>
      </c>
    </row>
    <row r="5322" spans="1:3" x14ac:dyDescent="0.25">
      <c r="A5322" s="115">
        <v>4169157</v>
      </c>
      <c r="B5322" s="115" t="s">
        <v>5128</v>
      </c>
      <c r="C5322" s="117">
        <v>6681.27</v>
      </c>
    </row>
    <row r="5323" spans="1:3" x14ac:dyDescent="0.25">
      <c r="A5323" s="115">
        <v>4160533</v>
      </c>
      <c r="B5323" s="115" t="s">
        <v>5129</v>
      </c>
      <c r="C5323" s="117">
        <v>5242.68</v>
      </c>
    </row>
    <row r="5324" spans="1:3" x14ac:dyDescent="0.25">
      <c r="A5324" s="115">
        <v>4169183</v>
      </c>
      <c r="B5324" s="115" t="s">
        <v>5130</v>
      </c>
      <c r="C5324" s="117">
        <v>5849.76</v>
      </c>
    </row>
    <row r="5325" spans="1:3" x14ac:dyDescent="0.25">
      <c r="A5325" s="115">
        <v>4161609</v>
      </c>
      <c r="B5325" s="115" t="s">
        <v>5131</v>
      </c>
      <c r="C5325" s="117">
        <v>7194.66</v>
      </c>
    </row>
    <row r="5326" spans="1:3" x14ac:dyDescent="0.25">
      <c r="A5326" s="115">
        <v>4161637</v>
      </c>
      <c r="B5326" s="115" t="s">
        <v>5132</v>
      </c>
      <c r="C5326" s="117">
        <v>1621.65</v>
      </c>
    </row>
    <row r="5327" spans="1:3" x14ac:dyDescent="0.25">
      <c r="A5327" s="115">
        <v>4161636</v>
      </c>
      <c r="B5327" s="115" t="s">
        <v>5133</v>
      </c>
      <c r="C5327" s="117">
        <v>1713.02</v>
      </c>
    </row>
    <row r="5328" spans="1:3" x14ac:dyDescent="0.25">
      <c r="A5328" s="115">
        <v>4161652</v>
      </c>
      <c r="B5328" s="115" t="s">
        <v>5134</v>
      </c>
      <c r="C5328" s="117">
        <v>2918.98</v>
      </c>
    </row>
    <row r="5329" spans="1:3" x14ac:dyDescent="0.25">
      <c r="A5329" s="115">
        <v>4163802</v>
      </c>
      <c r="B5329" s="115" t="s">
        <v>5135</v>
      </c>
      <c r="C5329" s="117">
        <v>1258.52</v>
      </c>
    </row>
    <row r="5330" spans="1:3" x14ac:dyDescent="0.25">
      <c r="A5330" s="115">
        <v>4163803</v>
      </c>
      <c r="B5330" s="115" t="s">
        <v>5136</v>
      </c>
      <c r="C5330" s="117">
        <v>1258.52</v>
      </c>
    </row>
    <row r="5331" spans="1:3" x14ac:dyDescent="0.25">
      <c r="A5331" s="115">
        <v>4163805</v>
      </c>
      <c r="B5331" s="115" t="s">
        <v>5137</v>
      </c>
      <c r="C5331" s="117">
        <v>3786.57</v>
      </c>
    </row>
    <row r="5332" spans="1:3" x14ac:dyDescent="0.25">
      <c r="A5332" s="115">
        <v>4163804</v>
      </c>
      <c r="B5332" s="115" t="s">
        <v>5138</v>
      </c>
      <c r="C5332" s="117">
        <v>3786.57</v>
      </c>
    </row>
    <row r="5333" spans="1:3" x14ac:dyDescent="0.25">
      <c r="A5333" s="115">
        <v>4163801</v>
      </c>
      <c r="B5333" s="115" t="s">
        <v>5139</v>
      </c>
      <c r="C5333" s="117">
        <v>1258.52</v>
      </c>
    </row>
    <row r="5334" spans="1:3" x14ac:dyDescent="0.25">
      <c r="A5334" s="144" t="s">
        <v>5140</v>
      </c>
      <c r="B5334" s="145"/>
      <c r="C5334" s="145"/>
    </row>
    <row r="5335" spans="1:3" x14ac:dyDescent="0.25">
      <c r="A5335" s="115">
        <v>4606810</v>
      </c>
      <c r="B5335" s="115" t="s">
        <v>5141</v>
      </c>
      <c r="C5335" s="117">
        <v>1007.7</v>
      </c>
    </row>
    <row r="5336" spans="1:3" x14ac:dyDescent="0.25">
      <c r="A5336" s="115">
        <v>4606812</v>
      </c>
      <c r="B5336" s="115" t="s">
        <v>5142</v>
      </c>
      <c r="C5336" s="117">
        <v>688.68</v>
      </c>
    </row>
    <row r="5337" spans="1:3" x14ac:dyDescent="0.25">
      <c r="A5337" s="115">
        <v>4606702</v>
      </c>
      <c r="B5337" s="115" t="s">
        <v>5143</v>
      </c>
      <c r="C5337" s="117">
        <v>615.96</v>
      </c>
    </row>
    <row r="5338" spans="1:3" x14ac:dyDescent="0.25">
      <c r="A5338" s="115">
        <v>4606704</v>
      </c>
      <c r="B5338" s="115" t="s">
        <v>5144</v>
      </c>
      <c r="C5338" s="117">
        <v>615.96</v>
      </c>
    </row>
    <row r="5339" spans="1:3" x14ac:dyDescent="0.25">
      <c r="A5339" s="115">
        <v>4605605</v>
      </c>
      <c r="B5339" s="115" t="s">
        <v>5145</v>
      </c>
      <c r="C5339" s="117">
        <v>1379.31</v>
      </c>
    </row>
    <row r="5340" spans="1:3" x14ac:dyDescent="0.25">
      <c r="A5340" s="115">
        <v>4600603</v>
      </c>
      <c r="B5340" s="115" t="s">
        <v>5146</v>
      </c>
      <c r="C5340" s="117">
        <v>1019.78</v>
      </c>
    </row>
    <row r="5341" spans="1:3" x14ac:dyDescent="0.25">
      <c r="A5341" s="115">
        <v>4600605</v>
      </c>
      <c r="B5341" s="115" t="s">
        <v>5147</v>
      </c>
      <c r="C5341" s="117">
        <v>1396.47</v>
      </c>
    </row>
    <row r="5342" spans="1:3" x14ac:dyDescent="0.25">
      <c r="A5342" s="115">
        <v>4607425</v>
      </c>
      <c r="B5342" s="115" t="s">
        <v>5148</v>
      </c>
      <c r="C5342" s="117">
        <v>423.38</v>
      </c>
    </row>
    <row r="5343" spans="1:3" x14ac:dyDescent="0.25">
      <c r="A5343" s="115">
        <v>4607525</v>
      </c>
      <c r="B5343" s="115" t="s">
        <v>5149</v>
      </c>
      <c r="C5343" s="117">
        <v>591.80999999999995</v>
      </c>
    </row>
    <row r="5344" spans="1:3" x14ac:dyDescent="0.25">
      <c r="A5344" s="115">
        <v>4607625</v>
      </c>
      <c r="B5344" s="115" t="s">
        <v>5150</v>
      </c>
      <c r="C5344" s="117">
        <v>1141.43</v>
      </c>
    </row>
    <row r="5345" spans="1:3" x14ac:dyDescent="0.25">
      <c r="A5345" s="115">
        <v>4607426</v>
      </c>
      <c r="B5345" s="115" t="s">
        <v>5151</v>
      </c>
      <c r="C5345" s="117">
        <v>506.39</v>
      </c>
    </row>
    <row r="5346" spans="1:3" x14ac:dyDescent="0.25">
      <c r="A5346" s="115">
        <v>4607526</v>
      </c>
      <c r="B5346" s="115" t="s">
        <v>5152</v>
      </c>
      <c r="C5346" s="117">
        <v>763.32</v>
      </c>
    </row>
    <row r="5347" spans="1:3" x14ac:dyDescent="0.25">
      <c r="A5347" s="115">
        <v>4607626</v>
      </c>
      <c r="B5347" s="115" t="s">
        <v>5153</v>
      </c>
      <c r="C5347" s="117">
        <v>1358.09</v>
      </c>
    </row>
    <row r="5348" spans="1:3" x14ac:dyDescent="0.25">
      <c r="A5348" s="115">
        <v>4607463</v>
      </c>
      <c r="B5348" s="115" t="s">
        <v>5154</v>
      </c>
      <c r="C5348" s="117">
        <v>275.02999999999997</v>
      </c>
    </row>
    <row r="5349" spans="1:3" x14ac:dyDescent="0.25">
      <c r="A5349" s="115">
        <v>4607563</v>
      </c>
      <c r="B5349" s="115" t="s">
        <v>5155</v>
      </c>
      <c r="C5349" s="117">
        <v>578.92999999999995</v>
      </c>
    </row>
    <row r="5350" spans="1:3" x14ac:dyDescent="0.25">
      <c r="A5350" s="115">
        <v>4607663</v>
      </c>
      <c r="B5350" s="115" t="s">
        <v>5156</v>
      </c>
      <c r="C5350" s="117">
        <v>1185.6199999999999</v>
      </c>
    </row>
    <row r="5351" spans="1:3" x14ac:dyDescent="0.25">
      <c r="A5351" s="115">
        <v>4607028</v>
      </c>
      <c r="B5351" s="115" t="s">
        <v>5157</v>
      </c>
      <c r="C5351" s="117">
        <v>10758.37</v>
      </c>
    </row>
    <row r="5352" spans="1:3" x14ac:dyDescent="0.25">
      <c r="A5352" s="115">
        <v>4607000</v>
      </c>
      <c r="B5352" s="115" t="s">
        <v>5158</v>
      </c>
      <c r="C5352" s="117">
        <v>10758.37</v>
      </c>
    </row>
    <row r="5353" spans="1:3" x14ac:dyDescent="0.25">
      <c r="A5353" s="115">
        <v>4606928</v>
      </c>
      <c r="B5353" s="115" t="s">
        <v>5159</v>
      </c>
      <c r="C5353" s="117">
        <v>4016.95</v>
      </c>
    </row>
    <row r="5354" spans="1:3" x14ac:dyDescent="0.25">
      <c r="A5354" s="115">
        <v>4606972</v>
      </c>
      <c r="B5354" s="115" t="s">
        <v>5160</v>
      </c>
      <c r="C5354" s="117">
        <v>4016.95</v>
      </c>
    </row>
    <row r="5355" spans="1:3" x14ac:dyDescent="0.25">
      <c r="A5355" s="115">
        <v>4600520</v>
      </c>
      <c r="B5355" s="115" t="s">
        <v>5161</v>
      </c>
      <c r="C5355" s="117">
        <v>4930.67</v>
      </c>
    </row>
    <row r="5356" spans="1:3" x14ac:dyDescent="0.25">
      <c r="A5356" s="115">
        <v>4602624</v>
      </c>
      <c r="B5356" s="115" t="s">
        <v>5162</v>
      </c>
      <c r="C5356" s="117">
        <v>969.3</v>
      </c>
    </row>
    <row r="5357" spans="1:3" x14ac:dyDescent="0.25">
      <c r="A5357" s="115">
        <v>4602524</v>
      </c>
      <c r="B5357" s="115" t="s">
        <v>5163</v>
      </c>
      <c r="C5357" s="117">
        <v>969.3</v>
      </c>
    </row>
    <row r="5358" spans="1:3" x14ac:dyDescent="0.25">
      <c r="A5358" s="115">
        <v>4602688</v>
      </c>
      <c r="B5358" s="115" t="s">
        <v>5164</v>
      </c>
      <c r="C5358" s="117">
        <v>12912.69</v>
      </c>
    </row>
    <row r="5359" spans="1:3" x14ac:dyDescent="0.25">
      <c r="A5359" s="115">
        <v>4602648</v>
      </c>
      <c r="B5359" s="115" t="s">
        <v>5165</v>
      </c>
      <c r="C5359" s="117">
        <v>2329.4299999999998</v>
      </c>
    </row>
    <row r="5360" spans="1:3" x14ac:dyDescent="0.25">
      <c r="A5360" s="115">
        <v>4602548</v>
      </c>
      <c r="B5360" s="115" t="s">
        <v>5166</v>
      </c>
      <c r="C5360" s="117">
        <v>2329.4299999999998</v>
      </c>
    </row>
    <row r="5361" spans="1:3" x14ac:dyDescent="0.25">
      <c r="A5361" s="115">
        <v>4602680</v>
      </c>
      <c r="B5361" s="115" t="s">
        <v>5167</v>
      </c>
      <c r="C5361" s="117">
        <v>21091.38</v>
      </c>
    </row>
    <row r="5362" spans="1:3" x14ac:dyDescent="0.25">
      <c r="A5362" s="115">
        <v>4602580</v>
      </c>
      <c r="B5362" s="115" t="s">
        <v>5168</v>
      </c>
      <c r="C5362" s="117">
        <v>20036.810000000001</v>
      </c>
    </row>
    <row r="5363" spans="1:3" x14ac:dyDescent="0.25">
      <c r="A5363" s="115">
        <v>4602696</v>
      </c>
      <c r="B5363" s="115" t="s">
        <v>5169</v>
      </c>
      <c r="C5363" s="117">
        <v>4388.72</v>
      </c>
    </row>
    <row r="5364" spans="1:3" x14ac:dyDescent="0.25">
      <c r="A5364" s="115">
        <v>4602596</v>
      </c>
      <c r="B5364" s="115" t="s">
        <v>5170</v>
      </c>
      <c r="C5364" s="117">
        <v>4388.72</v>
      </c>
    </row>
    <row r="5365" spans="1:3" x14ac:dyDescent="0.25">
      <c r="A5365" s="115">
        <v>4600549</v>
      </c>
      <c r="B5365" s="115" t="s">
        <v>5171</v>
      </c>
      <c r="C5365" s="117">
        <v>12912.69</v>
      </c>
    </row>
    <row r="5366" spans="1:3" x14ac:dyDescent="0.25">
      <c r="A5366" s="115">
        <v>4600548</v>
      </c>
      <c r="B5366" s="115" t="s">
        <v>5172</v>
      </c>
      <c r="C5366" s="117">
        <v>12912.69</v>
      </c>
    </row>
    <row r="5367" spans="1:3" x14ac:dyDescent="0.25">
      <c r="A5367" s="115">
        <v>4600547</v>
      </c>
      <c r="B5367" s="115" t="s">
        <v>5173</v>
      </c>
      <c r="C5367" s="117">
        <v>2329.4299999999998</v>
      </c>
    </row>
    <row r="5368" spans="1:3" x14ac:dyDescent="0.25">
      <c r="A5368" s="115">
        <v>4600545</v>
      </c>
      <c r="B5368" s="115" t="s">
        <v>5174</v>
      </c>
      <c r="C5368" s="117">
        <v>2329.4299999999998</v>
      </c>
    </row>
    <row r="5369" spans="1:3" x14ac:dyDescent="0.25">
      <c r="A5369" s="115">
        <v>4602124</v>
      </c>
      <c r="B5369" s="115" t="s">
        <v>5175</v>
      </c>
      <c r="C5369" s="117">
        <v>764.27</v>
      </c>
    </row>
    <row r="5370" spans="1:3" x14ac:dyDescent="0.25">
      <c r="A5370" s="115">
        <v>4602100</v>
      </c>
      <c r="B5370" s="115" t="s">
        <v>5176</v>
      </c>
      <c r="C5370" s="117">
        <v>10180.959999999999</v>
      </c>
    </row>
    <row r="5371" spans="1:3" x14ac:dyDescent="0.25">
      <c r="A5371" s="115">
        <v>4602000</v>
      </c>
      <c r="B5371" s="115" t="s">
        <v>5177</v>
      </c>
      <c r="C5371" s="117">
        <v>10180.959999999999</v>
      </c>
    </row>
    <row r="5372" spans="1:3" x14ac:dyDescent="0.25">
      <c r="A5372" s="115">
        <v>4602148</v>
      </c>
      <c r="B5372" s="115" t="s">
        <v>5178</v>
      </c>
      <c r="C5372" s="117">
        <v>1836.59</v>
      </c>
    </row>
    <row r="5373" spans="1:3" x14ac:dyDescent="0.25">
      <c r="A5373" s="115">
        <v>4602048</v>
      </c>
      <c r="B5373" s="115" t="s">
        <v>5179</v>
      </c>
      <c r="C5373" s="117">
        <v>1836.59</v>
      </c>
    </row>
    <row r="5374" spans="1:3" x14ac:dyDescent="0.25">
      <c r="A5374" s="115">
        <v>4602180</v>
      </c>
      <c r="B5374" s="115" t="s">
        <v>5180</v>
      </c>
      <c r="C5374" s="117">
        <v>15798.04</v>
      </c>
    </row>
    <row r="5375" spans="1:3" x14ac:dyDescent="0.25">
      <c r="A5375" s="115">
        <v>4602080</v>
      </c>
      <c r="B5375" s="115" t="s">
        <v>5181</v>
      </c>
      <c r="C5375" s="117">
        <v>15798.04</v>
      </c>
    </row>
    <row r="5376" spans="1:3" x14ac:dyDescent="0.25">
      <c r="A5376" s="115">
        <v>4602196</v>
      </c>
      <c r="B5376" s="115" t="s">
        <v>5182</v>
      </c>
      <c r="C5376" s="117">
        <v>3460.19</v>
      </c>
    </row>
    <row r="5377" spans="1:3" x14ac:dyDescent="0.25">
      <c r="A5377" s="115">
        <v>4602096</v>
      </c>
      <c r="B5377" s="115" t="s">
        <v>5183</v>
      </c>
      <c r="C5377" s="117">
        <v>3460.19</v>
      </c>
    </row>
    <row r="5378" spans="1:3" x14ac:dyDescent="0.25">
      <c r="A5378" s="115">
        <v>4604042</v>
      </c>
      <c r="B5378" s="115" t="s">
        <v>5184</v>
      </c>
      <c r="C5378" s="117">
        <v>798.17</v>
      </c>
    </row>
    <row r="5379" spans="1:3" x14ac:dyDescent="0.25">
      <c r="A5379" s="115">
        <v>4603148</v>
      </c>
      <c r="B5379" s="115" t="s">
        <v>5185</v>
      </c>
      <c r="C5379" s="117">
        <v>884.36</v>
      </c>
    </row>
    <row r="5380" spans="1:3" x14ac:dyDescent="0.25">
      <c r="A5380" s="115">
        <v>4603048</v>
      </c>
      <c r="B5380" s="115" t="s">
        <v>5186</v>
      </c>
      <c r="C5380" s="117">
        <v>884.36</v>
      </c>
    </row>
    <row r="5381" spans="1:3" x14ac:dyDescent="0.25">
      <c r="A5381" s="115">
        <v>4603180</v>
      </c>
      <c r="B5381" s="115" t="s">
        <v>5187</v>
      </c>
      <c r="C5381" s="117">
        <v>8301.9500000000007</v>
      </c>
    </row>
    <row r="5382" spans="1:3" x14ac:dyDescent="0.25">
      <c r="A5382" s="115">
        <v>4603080</v>
      </c>
      <c r="B5382" s="115" t="s">
        <v>5188</v>
      </c>
      <c r="C5382" s="117">
        <v>8301.9500000000007</v>
      </c>
    </row>
    <row r="5383" spans="1:3" x14ac:dyDescent="0.25">
      <c r="A5383" s="115">
        <v>4603196</v>
      </c>
      <c r="B5383" s="115" t="s">
        <v>5189</v>
      </c>
      <c r="C5383" s="117">
        <v>1684.89</v>
      </c>
    </row>
    <row r="5384" spans="1:3" x14ac:dyDescent="0.25">
      <c r="A5384" s="115">
        <v>4603096</v>
      </c>
      <c r="B5384" s="115" t="s">
        <v>5190</v>
      </c>
      <c r="C5384" s="117">
        <v>1684.89</v>
      </c>
    </row>
    <row r="5385" spans="1:3" x14ac:dyDescent="0.25">
      <c r="A5385" s="115">
        <v>4608100</v>
      </c>
      <c r="B5385" s="115" t="s">
        <v>5191</v>
      </c>
      <c r="C5385" s="117">
        <v>600.41999999999996</v>
      </c>
    </row>
    <row r="5386" spans="1:3" x14ac:dyDescent="0.25">
      <c r="A5386" s="115">
        <v>4607800</v>
      </c>
      <c r="B5386" s="115" t="s">
        <v>5192</v>
      </c>
      <c r="C5386" s="117">
        <v>240.48</v>
      </c>
    </row>
    <row r="5387" spans="1:3" x14ac:dyDescent="0.25">
      <c r="A5387" s="115">
        <v>4608000</v>
      </c>
      <c r="B5387" s="115" t="s">
        <v>5193</v>
      </c>
      <c r="C5387" s="117">
        <v>410.63</v>
      </c>
    </row>
    <row r="5388" spans="1:3" x14ac:dyDescent="0.25">
      <c r="A5388" s="115">
        <v>4608200</v>
      </c>
      <c r="B5388" s="115" t="s">
        <v>5194</v>
      </c>
      <c r="C5388" s="117">
        <v>607.87</v>
      </c>
    </row>
    <row r="5389" spans="1:3" x14ac:dyDescent="0.25">
      <c r="A5389" s="115">
        <v>4609300</v>
      </c>
      <c r="B5389" s="115" t="s">
        <v>5195</v>
      </c>
      <c r="C5389" s="117">
        <v>2978.78</v>
      </c>
    </row>
    <row r="5390" spans="1:3" x14ac:dyDescent="0.25">
      <c r="A5390" s="115">
        <v>4609900</v>
      </c>
      <c r="B5390" s="115" t="s">
        <v>5196</v>
      </c>
      <c r="C5390" s="117">
        <v>149.52000000000001</v>
      </c>
    </row>
    <row r="5391" spans="1:3" x14ac:dyDescent="0.25">
      <c r="A5391" s="115">
        <v>4600341</v>
      </c>
      <c r="B5391" s="115" t="s">
        <v>5197</v>
      </c>
      <c r="C5391" s="117">
        <v>13509.61</v>
      </c>
    </row>
    <row r="5392" spans="1:3" x14ac:dyDescent="0.25">
      <c r="A5392" s="115">
        <v>4600317</v>
      </c>
      <c r="B5392" s="115" t="s">
        <v>5198</v>
      </c>
      <c r="C5392" s="117">
        <v>1492.02</v>
      </c>
    </row>
    <row r="5393" spans="1:3" x14ac:dyDescent="0.25">
      <c r="A5393" s="115">
        <v>4606600</v>
      </c>
      <c r="B5393" s="115" t="s">
        <v>5199</v>
      </c>
      <c r="C5393" s="117">
        <v>615.96</v>
      </c>
    </row>
    <row r="5394" spans="1:3" x14ac:dyDescent="0.25">
      <c r="A5394" s="115">
        <v>4606500</v>
      </c>
      <c r="B5394" s="115" t="s">
        <v>5200</v>
      </c>
      <c r="C5394" s="117">
        <v>1007.7</v>
      </c>
    </row>
    <row r="5395" spans="1:3" x14ac:dyDescent="0.25">
      <c r="A5395" s="115">
        <v>4607700</v>
      </c>
      <c r="B5395" s="115" t="s">
        <v>5201</v>
      </c>
      <c r="C5395" s="117">
        <v>615.96</v>
      </c>
    </row>
    <row r="5396" spans="1:3" x14ac:dyDescent="0.25">
      <c r="A5396" s="115">
        <v>4605428</v>
      </c>
      <c r="B5396" s="115" t="s">
        <v>5202</v>
      </c>
      <c r="C5396" s="117">
        <v>11052.22</v>
      </c>
    </row>
    <row r="5397" spans="1:3" x14ac:dyDescent="0.25">
      <c r="A5397" s="115">
        <v>4605472</v>
      </c>
      <c r="B5397" s="115" t="s">
        <v>5203</v>
      </c>
      <c r="C5397" s="117">
        <v>11052.22</v>
      </c>
    </row>
    <row r="5398" spans="1:3" x14ac:dyDescent="0.25">
      <c r="A5398" s="115">
        <v>4605328</v>
      </c>
      <c r="B5398" s="115" t="s">
        <v>5204</v>
      </c>
      <c r="C5398" s="117">
        <v>2426.39</v>
      </c>
    </row>
    <row r="5399" spans="1:3" x14ac:dyDescent="0.25">
      <c r="A5399" s="115">
        <v>4605372</v>
      </c>
      <c r="B5399" s="115" t="s">
        <v>5205</v>
      </c>
      <c r="C5399" s="117">
        <v>2426.39</v>
      </c>
    </row>
    <row r="5400" spans="1:3" x14ac:dyDescent="0.25">
      <c r="A5400" s="115">
        <v>4600403</v>
      </c>
      <c r="B5400" s="115" t="s">
        <v>5206</v>
      </c>
      <c r="C5400" s="117">
        <v>7763.77</v>
      </c>
    </row>
    <row r="5401" spans="1:3" x14ac:dyDescent="0.25">
      <c r="A5401" s="115">
        <v>4600401</v>
      </c>
      <c r="B5401" s="115" t="s">
        <v>5207</v>
      </c>
      <c r="C5401" s="117">
        <v>7763.77</v>
      </c>
    </row>
    <row r="5402" spans="1:3" x14ac:dyDescent="0.25">
      <c r="A5402" s="115">
        <v>4600433</v>
      </c>
      <c r="B5402" s="115" t="s">
        <v>5208</v>
      </c>
      <c r="C5402" s="117">
        <v>3904.69</v>
      </c>
    </row>
    <row r="5403" spans="1:3" x14ac:dyDescent="0.25">
      <c r="A5403" s="115">
        <v>4600431</v>
      </c>
      <c r="B5403" s="115" t="s">
        <v>5209</v>
      </c>
      <c r="C5403" s="117">
        <v>2789.07</v>
      </c>
    </row>
    <row r="5404" spans="1:3" x14ac:dyDescent="0.25">
      <c r="A5404" s="115">
        <v>4605374</v>
      </c>
      <c r="B5404" s="115" t="s">
        <v>5210</v>
      </c>
      <c r="C5404" s="117">
        <v>5578.13</v>
      </c>
    </row>
    <row r="5405" spans="1:3" x14ac:dyDescent="0.25">
      <c r="A5405" s="115">
        <v>4605148</v>
      </c>
      <c r="B5405" s="115" t="s">
        <v>5211</v>
      </c>
      <c r="C5405" s="117">
        <v>2693.59</v>
      </c>
    </row>
    <row r="5406" spans="1:3" x14ac:dyDescent="0.25">
      <c r="A5406" s="115">
        <v>4605248</v>
      </c>
      <c r="B5406" s="115" t="s">
        <v>5212</v>
      </c>
      <c r="C5406" s="117">
        <v>2693.59</v>
      </c>
    </row>
    <row r="5407" spans="1:3" x14ac:dyDescent="0.25">
      <c r="A5407" s="115">
        <v>4601124</v>
      </c>
      <c r="B5407" s="115" t="s">
        <v>5213</v>
      </c>
      <c r="C5407" s="117">
        <v>1511.56</v>
      </c>
    </row>
    <row r="5408" spans="1:3" x14ac:dyDescent="0.25">
      <c r="A5408" s="115">
        <v>4601024</v>
      </c>
      <c r="B5408" s="115" t="s">
        <v>5214</v>
      </c>
      <c r="C5408" s="117">
        <v>755.78</v>
      </c>
    </row>
    <row r="5409" spans="1:3" x14ac:dyDescent="0.25">
      <c r="A5409" s="115">
        <v>4601025</v>
      </c>
      <c r="B5409" s="115" t="s">
        <v>5215</v>
      </c>
      <c r="C5409" s="117">
        <v>755.78</v>
      </c>
    </row>
    <row r="5410" spans="1:3" x14ac:dyDescent="0.25">
      <c r="A5410" s="115">
        <v>4601100</v>
      </c>
      <c r="B5410" s="115" t="s">
        <v>5216</v>
      </c>
      <c r="C5410" s="117">
        <v>15527.54</v>
      </c>
    </row>
    <row r="5411" spans="1:3" x14ac:dyDescent="0.25">
      <c r="A5411" s="115">
        <v>4601000</v>
      </c>
      <c r="B5411" s="115" t="s">
        <v>5217</v>
      </c>
      <c r="C5411" s="117">
        <v>15527.54</v>
      </c>
    </row>
    <row r="5412" spans="1:3" x14ac:dyDescent="0.25">
      <c r="A5412" s="115">
        <v>4601180</v>
      </c>
      <c r="B5412" s="115" t="s">
        <v>5218</v>
      </c>
      <c r="C5412" s="117">
        <v>25703.599999999999</v>
      </c>
    </row>
    <row r="5413" spans="1:3" x14ac:dyDescent="0.25">
      <c r="A5413" s="115">
        <v>4601080</v>
      </c>
      <c r="B5413" s="115" t="s">
        <v>5219</v>
      </c>
      <c r="C5413" s="117">
        <v>25703.599999999999</v>
      </c>
    </row>
    <row r="5414" spans="1:3" x14ac:dyDescent="0.25">
      <c r="A5414" s="115">
        <v>4601148</v>
      </c>
      <c r="B5414" s="115" t="s">
        <v>5220</v>
      </c>
      <c r="C5414" s="117">
        <v>2723.19</v>
      </c>
    </row>
    <row r="5415" spans="1:3" x14ac:dyDescent="0.25">
      <c r="A5415" s="115">
        <v>4601048</v>
      </c>
      <c r="B5415" s="115" t="s">
        <v>5221</v>
      </c>
      <c r="C5415" s="117">
        <v>2723.19</v>
      </c>
    </row>
    <row r="5416" spans="1:3" x14ac:dyDescent="0.25">
      <c r="A5416" s="115">
        <v>4601196</v>
      </c>
      <c r="B5416" s="115" t="s">
        <v>5222</v>
      </c>
      <c r="C5416" s="117">
        <v>5578.33</v>
      </c>
    </row>
    <row r="5417" spans="1:3" x14ac:dyDescent="0.25">
      <c r="A5417" s="115">
        <v>4605108</v>
      </c>
      <c r="B5417" s="115" t="s">
        <v>5223</v>
      </c>
      <c r="C5417" s="117">
        <v>757.4</v>
      </c>
    </row>
    <row r="5418" spans="1:3" x14ac:dyDescent="0.25">
      <c r="A5418" s="144" t="s">
        <v>5224</v>
      </c>
      <c r="B5418" s="145"/>
      <c r="C5418" s="145"/>
    </row>
    <row r="5419" spans="1:3" x14ac:dyDescent="0.25">
      <c r="A5419" s="115">
        <v>4169750</v>
      </c>
      <c r="B5419" s="115" t="s">
        <v>5225</v>
      </c>
      <c r="C5419" s="117">
        <v>3860.26</v>
      </c>
    </row>
    <row r="5420" spans="1:3" x14ac:dyDescent="0.25">
      <c r="A5420" s="115">
        <v>4169760</v>
      </c>
      <c r="B5420" s="115" t="s">
        <v>5226</v>
      </c>
      <c r="C5420" s="117">
        <v>3860.26</v>
      </c>
    </row>
    <row r="5421" spans="1:3" x14ac:dyDescent="0.25">
      <c r="A5421" s="115">
        <v>4169751</v>
      </c>
      <c r="B5421" s="115" t="s">
        <v>5227</v>
      </c>
      <c r="C5421" s="117">
        <v>3860.26</v>
      </c>
    </row>
    <row r="5422" spans="1:3" x14ac:dyDescent="0.25">
      <c r="A5422" s="115">
        <v>4169752</v>
      </c>
      <c r="B5422" s="115" t="s">
        <v>5228</v>
      </c>
      <c r="C5422" s="117">
        <v>3860.26</v>
      </c>
    </row>
    <row r="5423" spans="1:3" x14ac:dyDescent="0.25">
      <c r="A5423" s="115">
        <v>4169753</v>
      </c>
      <c r="B5423" s="115" t="s">
        <v>5229</v>
      </c>
      <c r="C5423" s="117">
        <v>3860.26</v>
      </c>
    </row>
    <row r="5424" spans="1:3" x14ac:dyDescent="0.25">
      <c r="A5424" s="115">
        <v>4169761</v>
      </c>
      <c r="B5424" s="115" t="s">
        <v>5230</v>
      </c>
      <c r="C5424" s="117">
        <v>3860.26</v>
      </c>
    </row>
    <row r="5425" spans="1:3" x14ac:dyDescent="0.25">
      <c r="A5425" s="115">
        <v>4169754</v>
      </c>
      <c r="B5425" s="115" t="s">
        <v>5231</v>
      </c>
      <c r="C5425" s="117">
        <v>3860.26</v>
      </c>
    </row>
    <row r="5426" spans="1:3" x14ac:dyDescent="0.25">
      <c r="A5426" s="115">
        <v>4169756</v>
      </c>
      <c r="B5426" s="115" t="s">
        <v>5232</v>
      </c>
      <c r="C5426" s="117">
        <v>3860.26</v>
      </c>
    </row>
    <row r="5427" spans="1:3" x14ac:dyDescent="0.25">
      <c r="A5427" s="115">
        <v>4169755</v>
      </c>
      <c r="B5427" s="115" t="s">
        <v>5233</v>
      </c>
      <c r="C5427" s="117">
        <v>3860.26</v>
      </c>
    </row>
    <row r="5428" spans="1:3" x14ac:dyDescent="0.25">
      <c r="A5428" s="115">
        <v>4159201</v>
      </c>
      <c r="B5428" s="115" t="s">
        <v>5234</v>
      </c>
      <c r="C5428" s="117">
        <v>3920.14</v>
      </c>
    </row>
    <row r="5429" spans="1:3" x14ac:dyDescent="0.25">
      <c r="A5429" s="115">
        <v>4130515</v>
      </c>
      <c r="B5429" s="115" t="s">
        <v>5235</v>
      </c>
      <c r="C5429" s="117">
        <v>3109.98</v>
      </c>
    </row>
    <row r="5430" spans="1:3" x14ac:dyDescent="0.25">
      <c r="A5430" s="115">
        <v>4130520</v>
      </c>
      <c r="B5430" s="115" t="s">
        <v>5236</v>
      </c>
      <c r="C5430" s="117">
        <v>3109.98</v>
      </c>
    </row>
    <row r="5431" spans="1:3" x14ac:dyDescent="0.25">
      <c r="A5431" s="115">
        <v>4138226</v>
      </c>
      <c r="B5431" s="115" t="s">
        <v>5237</v>
      </c>
      <c r="C5431" s="117">
        <v>7210.23</v>
      </c>
    </row>
    <row r="5432" spans="1:3" x14ac:dyDescent="0.25">
      <c r="A5432" s="115">
        <v>4138254</v>
      </c>
      <c r="B5432" s="115" t="s">
        <v>5238</v>
      </c>
      <c r="C5432" s="117">
        <v>7210.23</v>
      </c>
    </row>
    <row r="5433" spans="1:3" x14ac:dyDescent="0.25">
      <c r="A5433" s="115">
        <v>4138262</v>
      </c>
      <c r="B5433" s="115" t="s">
        <v>5239</v>
      </c>
      <c r="C5433" s="117">
        <v>7210.23</v>
      </c>
    </row>
    <row r="5434" spans="1:3" x14ac:dyDescent="0.25">
      <c r="A5434" s="115">
        <v>4138276</v>
      </c>
      <c r="B5434" s="115" t="s">
        <v>5240</v>
      </c>
      <c r="C5434" s="117">
        <v>7210.23</v>
      </c>
    </row>
    <row r="5435" spans="1:3" x14ac:dyDescent="0.25">
      <c r="A5435" s="115">
        <v>4138277</v>
      </c>
      <c r="B5435" s="115" t="s">
        <v>5241</v>
      </c>
      <c r="C5435" s="117">
        <v>7210.23</v>
      </c>
    </row>
    <row r="5436" spans="1:3" x14ac:dyDescent="0.25">
      <c r="A5436" s="115">
        <v>4138287</v>
      </c>
      <c r="B5436" s="115" t="s">
        <v>5242</v>
      </c>
      <c r="C5436" s="117">
        <v>7210.23</v>
      </c>
    </row>
    <row r="5437" spans="1:3" x14ac:dyDescent="0.25">
      <c r="A5437" s="115">
        <v>4138289</v>
      </c>
      <c r="B5437" s="115" t="s">
        <v>5243</v>
      </c>
      <c r="C5437" s="117">
        <v>7210.23</v>
      </c>
    </row>
    <row r="5438" spans="1:3" x14ac:dyDescent="0.25">
      <c r="A5438" s="115">
        <v>4138283</v>
      </c>
      <c r="B5438" s="115" t="s">
        <v>5244</v>
      </c>
      <c r="C5438" s="117">
        <v>7210.23</v>
      </c>
    </row>
    <row r="5439" spans="1:3" x14ac:dyDescent="0.25">
      <c r="A5439" s="115">
        <v>4138229</v>
      </c>
      <c r="B5439" s="115" t="s">
        <v>5245</v>
      </c>
      <c r="C5439" s="117">
        <v>7210.23</v>
      </c>
    </row>
    <row r="5440" spans="1:3" x14ac:dyDescent="0.25">
      <c r="A5440" s="115">
        <v>4138429</v>
      </c>
      <c r="B5440" s="115" t="s">
        <v>5246</v>
      </c>
      <c r="C5440" s="117">
        <v>4644.01</v>
      </c>
    </row>
    <row r="5441" spans="1:3" x14ac:dyDescent="0.25">
      <c r="A5441" s="115">
        <v>4138529</v>
      </c>
      <c r="B5441" s="115" t="s">
        <v>5247</v>
      </c>
      <c r="C5441" s="117">
        <v>4644.01</v>
      </c>
    </row>
    <row r="5442" spans="1:3" x14ac:dyDescent="0.25">
      <c r="A5442" s="115">
        <v>4138576</v>
      </c>
      <c r="B5442" s="115" t="s">
        <v>5248</v>
      </c>
      <c r="C5442" s="117">
        <v>4644.01</v>
      </c>
    </row>
    <row r="5443" spans="1:3" x14ac:dyDescent="0.25">
      <c r="A5443" s="115">
        <v>4138583</v>
      </c>
      <c r="B5443" s="115" t="s">
        <v>5249</v>
      </c>
      <c r="C5443" s="117">
        <v>4644.01</v>
      </c>
    </row>
    <row r="5444" spans="1:3" x14ac:dyDescent="0.25">
      <c r="A5444" s="115">
        <v>4138083</v>
      </c>
      <c r="B5444" s="115" t="s">
        <v>5250</v>
      </c>
      <c r="C5444" s="117">
        <v>4644.01</v>
      </c>
    </row>
    <row r="5445" spans="1:3" x14ac:dyDescent="0.25">
      <c r="A5445" s="115">
        <v>4138026</v>
      </c>
      <c r="B5445" s="115" t="s">
        <v>5251</v>
      </c>
      <c r="C5445" s="117">
        <v>4644.01</v>
      </c>
    </row>
    <row r="5446" spans="1:3" x14ac:dyDescent="0.25">
      <c r="A5446" s="115">
        <v>4138023</v>
      </c>
      <c r="B5446" s="115" t="s">
        <v>5252</v>
      </c>
      <c r="C5446" s="117">
        <v>4644.01</v>
      </c>
    </row>
    <row r="5447" spans="1:3" x14ac:dyDescent="0.25">
      <c r="A5447" s="115">
        <v>4138054</v>
      </c>
      <c r="B5447" s="115" t="s">
        <v>5253</v>
      </c>
      <c r="C5447" s="117">
        <v>4644.01</v>
      </c>
    </row>
    <row r="5448" spans="1:3" x14ac:dyDescent="0.25">
      <c r="A5448" s="115">
        <v>4138062</v>
      </c>
      <c r="B5448" s="115" t="s">
        <v>5254</v>
      </c>
      <c r="C5448" s="117">
        <v>4644.01</v>
      </c>
    </row>
    <row r="5449" spans="1:3" x14ac:dyDescent="0.25">
      <c r="A5449" s="115">
        <v>4138077</v>
      </c>
      <c r="B5449" s="115" t="s">
        <v>5255</v>
      </c>
      <c r="C5449" s="117">
        <v>4644.01</v>
      </c>
    </row>
    <row r="5450" spans="1:3" x14ac:dyDescent="0.25">
      <c r="A5450" s="115">
        <v>4138089</v>
      </c>
      <c r="B5450" s="115" t="s">
        <v>5256</v>
      </c>
      <c r="C5450" s="117">
        <v>4644.01</v>
      </c>
    </row>
    <row r="5451" spans="1:3" x14ac:dyDescent="0.25">
      <c r="A5451" s="115">
        <v>4138029</v>
      </c>
      <c r="B5451" s="115" t="s">
        <v>5257</v>
      </c>
      <c r="C5451" s="117">
        <v>4644.01</v>
      </c>
    </row>
    <row r="5452" spans="1:3" x14ac:dyDescent="0.25">
      <c r="A5452" s="115">
        <v>4138476</v>
      </c>
      <c r="B5452" s="115" t="s">
        <v>5258</v>
      </c>
      <c r="C5452" s="117">
        <v>4644.01</v>
      </c>
    </row>
    <row r="5453" spans="1:3" x14ac:dyDescent="0.25">
      <c r="A5453" s="115">
        <v>4138076</v>
      </c>
      <c r="B5453" s="115" t="s">
        <v>5259</v>
      </c>
      <c r="C5453" s="117">
        <v>4644.01</v>
      </c>
    </row>
    <row r="5454" spans="1:3" x14ac:dyDescent="0.25">
      <c r="A5454" s="115">
        <v>4138483</v>
      </c>
      <c r="B5454" s="115" t="s">
        <v>5258</v>
      </c>
      <c r="C5454" s="117">
        <v>4644.01</v>
      </c>
    </row>
    <row r="5455" spans="1:3" x14ac:dyDescent="0.25">
      <c r="A5455" s="115">
        <v>4138199</v>
      </c>
      <c r="B5455" s="115" t="s">
        <v>5260</v>
      </c>
      <c r="C5455" s="117">
        <v>4644.01</v>
      </c>
    </row>
    <row r="5456" spans="1:3" x14ac:dyDescent="0.25">
      <c r="A5456" s="115">
        <v>4130510</v>
      </c>
      <c r="B5456" s="115" t="s">
        <v>5261</v>
      </c>
      <c r="C5456" s="117">
        <v>3109.98</v>
      </c>
    </row>
    <row r="5457" spans="1:3" x14ac:dyDescent="0.25">
      <c r="A5457" s="115">
        <v>4138125</v>
      </c>
      <c r="B5457" s="115" t="s">
        <v>5262</v>
      </c>
      <c r="C5457" s="117">
        <v>4644.01</v>
      </c>
    </row>
    <row r="5458" spans="1:3" x14ac:dyDescent="0.25">
      <c r="A5458" s="115">
        <v>4138163</v>
      </c>
      <c r="B5458" s="115" t="s">
        <v>5263</v>
      </c>
      <c r="C5458" s="117">
        <v>4644.01</v>
      </c>
    </row>
    <row r="5459" spans="1:3" x14ac:dyDescent="0.25">
      <c r="A5459" s="115">
        <v>4138126</v>
      </c>
      <c r="B5459" s="115" t="s">
        <v>5264</v>
      </c>
      <c r="C5459" s="117">
        <v>4644.01</v>
      </c>
    </row>
    <row r="5460" spans="1:3" x14ac:dyDescent="0.25">
      <c r="A5460" s="115">
        <v>4138129</v>
      </c>
      <c r="B5460" s="115" t="s">
        <v>5265</v>
      </c>
      <c r="C5460" s="117">
        <v>4644.01</v>
      </c>
    </row>
    <row r="5461" spans="1:3" x14ac:dyDescent="0.25">
      <c r="A5461" s="115">
        <v>4138154</v>
      </c>
      <c r="B5461" s="115" t="s">
        <v>5266</v>
      </c>
      <c r="C5461" s="117">
        <v>4644.01</v>
      </c>
    </row>
    <row r="5462" spans="1:3" x14ac:dyDescent="0.25">
      <c r="A5462" s="115">
        <v>4138162</v>
      </c>
      <c r="B5462" s="115" t="s">
        <v>5267</v>
      </c>
      <c r="C5462" s="117">
        <v>4644.01</v>
      </c>
    </row>
    <row r="5463" spans="1:3" x14ac:dyDescent="0.25">
      <c r="A5463" s="115">
        <v>4138176</v>
      </c>
      <c r="B5463" s="115" t="s">
        <v>5268</v>
      </c>
      <c r="C5463" s="117">
        <v>4644.01</v>
      </c>
    </row>
    <row r="5464" spans="1:3" x14ac:dyDescent="0.25">
      <c r="A5464" s="115">
        <v>4138177</v>
      </c>
      <c r="B5464" s="115" t="s">
        <v>5269</v>
      </c>
      <c r="C5464" s="117">
        <v>4644.01</v>
      </c>
    </row>
    <row r="5465" spans="1:3" x14ac:dyDescent="0.25">
      <c r="A5465" s="115">
        <v>4138187</v>
      </c>
      <c r="B5465" s="115" t="s">
        <v>5270</v>
      </c>
      <c r="C5465" s="117">
        <v>4644.01</v>
      </c>
    </row>
    <row r="5466" spans="1:3" x14ac:dyDescent="0.25">
      <c r="A5466" s="115">
        <v>4138183</v>
      </c>
      <c r="B5466" s="115" t="s">
        <v>5271</v>
      </c>
      <c r="C5466" s="117">
        <v>4644.01</v>
      </c>
    </row>
    <row r="5467" spans="1:3" x14ac:dyDescent="0.25">
      <c r="A5467" s="115">
        <v>4138189</v>
      </c>
      <c r="B5467" s="115" t="s">
        <v>5272</v>
      </c>
      <c r="C5467" s="117">
        <v>4644.01</v>
      </c>
    </row>
    <row r="5468" spans="1:3" x14ac:dyDescent="0.25">
      <c r="A5468" s="115">
        <v>4159200</v>
      </c>
      <c r="B5468" s="115" t="s">
        <v>5273</v>
      </c>
      <c r="C5468" s="117">
        <v>4644.01</v>
      </c>
    </row>
    <row r="5469" spans="1:3" x14ac:dyDescent="0.25">
      <c r="A5469" s="115">
        <v>4144200</v>
      </c>
      <c r="B5469" s="115" t="s">
        <v>5274</v>
      </c>
      <c r="C5469" s="117">
        <v>6187.45</v>
      </c>
    </row>
    <row r="5470" spans="1:3" x14ac:dyDescent="0.25">
      <c r="A5470" s="115">
        <v>4159825</v>
      </c>
      <c r="B5470" s="115" t="s">
        <v>5275</v>
      </c>
      <c r="C5470" s="117">
        <v>4694.82</v>
      </c>
    </row>
    <row r="5471" spans="1:3" x14ac:dyDescent="0.25">
      <c r="A5471" s="115">
        <v>4159851</v>
      </c>
      <c r="B5471" s="115" t="s">
        <v>5276</v>
      </c>
      <c r="C5471" s="117">
        <v>2347.41</v>
      </c>
    </row>
    <row r="5472" spans="1:3" x14ac:dyDescent="0.25">
      <c r="A5472" s="115">
        <v>4159829</v>
      </c>
      <c r="B5472" s="115" t="s">
        <v>5277</v>
      </c>
      <c r="C5472" s="117">
        <v>4694.82</v>
      </c>
    </row>
    <row r="5473" spans="1:3" x14ac:dyDescent="0.25">
      <c r="A5473" s="115">
        <v>4159823</v>
      </c>
      <c r="B5473" s="115" t="s">
        <v>5278</v>
      </c>
      <c r="C5473" s="117">
        <v>2347.41</v>
      </c>
    </row>
    <row r="5474" spans="1:3" x14ac:dyDescent="0.25">
      <c r="A5474" s="115">
        <v>4159862</v>
      </c>
      <c r="B5474" s="115" t="s">
        <v>5279</v>
      </c>
      <c r="C5474" s="117">
        <v>2347.41</v>
      </c>
    </row>
    <row r="5475" spans="1:3" x14ac:dyDescent="0.25">
      <c r="A5475" s="115">
        <v>4159876</v>
      </c>
      <c r="B5475" s="115" t="s">
        <v>5280</v>
      </c>
      <c r="C5475" s="117">
        <v>4694.82</v>
      </c>
    </row>
    <row r="5476" spans="1:3" x14ac:dyDescent="0.25">
      <c r="A5476" s="115">
        <v>4159898</v>
      </c>
      <c r="B5476" s="115" t="s">
        <v>5281</v>
      </c>
      <c r="C5476" s="117">
        <v>4694.82</v>
      </c>
    </row>
    <row r="5477" spans="1:3" x14ac:dyDescent="0.25">
      <c r="A5477" s="115">
        <v>4159883</v>
      </c>
      <c r="B5477" s="115" t="s">
        <v>5282</v>
      </c>
      <c r="C5477" s="117">
        <v>4694.82</v>
      </c>
    </row>
    <row r="5478" spans="1:3" x14ac:dyDescent="0.25">
      <c r="A5478" s="115">
        <v>4159884</v>
      </c>
      <c r="B5478" s="115" t="s">
        <v>5283</v>
      </c>
      <c r="C5478" s="117">
        <v>2347.41</v>
      </c>
    </row>
    <row r="5479" spans="1:3" x14ac:dyDescent="0.25">
      <c r="A5479" s="115">
        <v>4159863</v>
      </c>
      <c r="B5479" s="115" t="s">
        <v>5284</v>
      </c>
      <c r="C5479" s="117">
        <v>4694.82</v>
      </c>
    </row>
    <row r="5480" spans="1:3" x14ac:dyDescent="0.25">
      <c r="A5480" s="115">
        <v>4159551</v>
      </c>
      <c r="B5480" s="115" t="s">
        <v>5285</v>
      </c>
      <c r="C5480" s="117">
        <v>3755.86</v>
      </c>
    </row>
    <row r="5481" spans="1:3" x14ac:dyDescent="0.25">
      <c r="A5481" s="115">
        <v>4159554</v>
      </c>
      <c r="B5481" s="115" t="s">
        <v>5286</v>
      </c>
      <c r="C5481" s="117">
        <v>4694.82</v>
      </c>
    </row>
    <row r="5482" spans="1:3" x14ac:dyDescent="0.25">
      <c r="A5482" s="115">
        <v>4159576</v>
      </c>
      <c r="B5482" s="115" t="s">
        <v>5287</v>
      </c>
      <c r="C5482" s="117">
        <v>2347.41</v>
      </c>
    </row>
    <row r="5483" spans="1:3" x14ac:dyDescent="0.25">
      <c r="A5483" s="115">
        <v>4159568</v>
      </c>
      <c r="B5483" s="115" t="s">
        <v>5288</v>
      </c>
      <c r="C5483" s="117">
        <v>4694.82</v>
      </c>
    </row>
    <row r="5484" spans="1:3" x14ac:dyDescent="0.25">
      <c r="A5484" s="115">
        <v>4159527</v>
      </c>
      <c r="B5484" s="115" t="s">
        <v>5289</v>
      </c>
      <c r="C5484" s="117">
        <v>4694.82</v>
      </c>
    </row>
    <row r="5485" spans="1:3" x14ac:dyDescent="0.25">
      <c r="A5485" s="115">
        <v>4159976</v>
      </c>
      <c r="B5485" s="115" t="s">
        <v>5290</v>
      </c>
      <c r="C5485" s="117">
        <v>4694.82</v>
      </c>
    </row>
    <row r="5486" spans="1:3" x14ac:dyDescent="0.25">
      <c r="A5486" s="115">
        <v>4159523</v>
      </c>
      <c r="B5486" s="115" t="s">
        <v>5291</v>
      </c>
      <c r="C5486" s="117">
        <v>2347.41</v>
      </c>
    </row>
    <row r="5487" spans="1:3" x14ac:dyDescent="0.25">
      <c r="A5487" s="115">
        <v>4159567</v>
      </c>
      <c r="B5487" s="115" t="s">
        <v>5292</v>
      </c>
      <c r="C5487" s="117">
        <v>4694.82</v>
      </c>
    </row>
    <row r="5488" spans="1:3" x14ac:dyDescent="0.25">
      <c r="A5488" s="115">
        <v>4144155</v>
      </c>
      <c r="B5488" s="115" t="s">
        <v>5293</v>
      </c>
      <c r="C5488" s="117">
        <v>388.28</v>
      </c>
    </row>
    <row r="5489" spans="1:3" x14ac:dyDescent="0.25">
      <c r="A5489" s="115">
        <v>4157529</v>
      </c>
      <c r="B5489" s="115" t="s">
        <v>5294</v>
      </c>
      <c r="C5489" s="117">
        <v>2993.67</v>
      </c>
    </row>
    <row r="5490" spans="1:3" x14ac:dyDescent="0.25">
      <c r="A5490" s="115">
        <v>4157676</v>
      </c>
      <c r="B5490" s="115" t="s">
        <v>5295</v>
      </c>
      <c r="C5490" s="117">
        <v>2993.67</v>
      </c>
    </row>
    <row r="5491" spans="1:3" x14ac:dyDescent="0.25">
      <c r="A5491" s="115">
        <v>4157629</v>
      </c>
      <c r="B5491" s="115" t="s">
        <v>5296</v>
      </c>
      <c r="C5491" s="117">
        <v>2993.67</v>
      </c>
    </row>
    <row r="5492" spans="1:3" x14ac:dyDescent="0.25">
      <c r="A5492" s="115">
        <v>4157683</v>
      </c>
      <c r="B5492" s="115" t="s">
        <v>5297</v>
      </c>
      <c r="C5492" s="117">
        <v>2993.67</v>
      </c>
    </row>
    <row r="5493" spans="1:3" x14ac:dyDescent="0.25">
      <c r="A5493" s="115">
        <v>4157526</v>
      </c>
      <c r="B5493" s="115" t="s">
        <v>5298</v>
      </c>
      <c r="C5493" s="117">
        <v>2993.67</v>
      </c>
    </row>
    <row r="5494" spans="1:3" x14ac:dyDescent="0.25">
      <c r="A5494" s="115">
        <v>4157600</v>
      </c>
      <c r="B5494" s="115" t="s">
        <v>5299</v>
      </c>
      <c r="C5494" s="117">
        <v>2907.39</v>
      </c>
    </row>
    <row r="5495" spans="1:3" x14ac:dyDescent="0.25">
      <c r="A5495" s="115">
        <v>4157576</v>
      </c>
      <c r="B5495" s="115" t="s">
        <v>5300</v>
      </c>
      <c r="C5495" s="117">
        <v>5987.34</v>
      </c>
    </row>
    <row r="5496" spans="1:3" x14ac:dyDescent="0.25">
      <c r="A5496" s="115">
        <v>4157751</v>
      </c>
      <c r="B5496" s="115" t="s">
        <v>5301</v>
      </c>
      <c r="C5496" s="117">
        <v>2993.94</v>
      </c>
    </row>
    <row r="5497" spans="1:3" x14ac:dyDescent="0.25">
      <c r="A5497" s="115">
        <v>4157727</v>
      </c>
      <c r="B5497" s="115" t="s">
        <v>5302</v>
      </c>
      <c r="C5497" s="117">
        <v>2993.94</v>
      </c>
    </row>
    <row r="5498" spans="1:3" x14ac:dyDescent="0.25">
      <c r="A5498" s="115">
        <v>4157771</v>
      </c>
      <c r="B5498" s="115" t="s">
        <v>5303</v>
      </c>
      <c r="C5498" s="117">
        <v>2993.94</v>
      </c>
    </row>
    <row r="5499" spans="1:3" x14ac:dyDescent="0.25">
      <c r="A5499" s="115">
        <v>4157741</v>
      </c>
      <c r="B5499" s="115" t="s">
        <v>5304</v>
      </c>
      <c r="C5499" s="117">
        <v>2993.94</v>
      </c>
    </row>
    <row r="5500" spans="1:3" x14ac:dyDescent="0.25">
      <c r="A5500" s="115">
        <v>4157776</v>
      </c>
      <c r="B5500" s="115" t="s">
        <v>5305</v>
      </c>
      <c r="C5500" s="117">
        <v>2993.94</v>
      </c>
    </row>
    <row r="5501" spans="1:3" x14ac:dyDescent="0.25">
      <c r="A5501" s="115">
        <v>4157761</v>
      </c>
      <c r="B5501" s="115" t="s">
        <v>5306</v>
      </c>
      <c r="C5501" s="117">
        <v>2993.94</v>
      </c>
    </row>
    <row r="5502" spans="1:3" x14ac:dyDescent="0.25">
      <c r="A5502" s="115">
        <v>4157784</v>
      </c>
      <c r="B5502" s="115" t="s">
        <v>5307</v>
      </c>
      <c r="C5502" s="117">
        <v>2993.94</v>
      </c>
    </row>
    <row r="5503" spans="1:3" x14ac:dyDescent="0.25">
      <c r="A5503" s="115">
        <v>4157523</v>
      </c>
      <c r="B5503" s="115" t="s">
        <v>5308</v>
      </c>
      <c r="C5503" s="117">
        <v>2993.67</v>
      </c>
    </row>
    <row r="5504" spans="1:3" x14ac:dyDescent="0.25">
      <c r="A5504" s="115">
        <v>4157554</v>
      </c>
      <c r="B5504" s="115" t="s">
        <v>5309</v>
      </c>
      <c r="C5504" s="117">
        <v>4789.87</v>
      </c>
    </row>
    <row r="5505" spans="1:3" x14ac:dyDescent="0.25">
      <c r="A5505" s="115">
        <v>4157562</v>
      </c>
      <c r="B5505" s="115" t="s">
        <v>5310</v>
      </c>
      <c r="C5505" s="117">
        <v>2993.67</v>
      </c>
    </row>
    <row r="5506" spans="1:3" x14ac:dyDescent="0.25">
      <c r="A5506" s="115">
        <v>4157577</v>
      </c>
      <c r="B5506" s="115" t="s">
        <v>5311</v>
      </c>
      <c r="C5506" s="117">
        <v>2993.67</v>
      </c>
    </row>
    <row r="5507" spans="1:3" x14ac:dyDescent="0.25">
      <c r="A5507" s="115">
        <v>4157583</v>
      </c>
      <c r="B5507" s="115" t="s">
        <v>5312</v>
      </c>
      <c r="C5507" s="117">
        <v>5987.34</v>
      </c>
    </row>
    <row r="5508" spans="1:3" x14ac:dyDescent="0.25">
      <c r="A5508" s="115">
        <v>4158227</v>
      </c>
      <c r="B5508" s="115" t="s">
        <v>5313</v>
      </c>
      <c r="C5508" s="117">
        <v>6394.19</v>
      </c>
    </row>
    <row r="5509" spans="1:3" x14ac:dyDescent="0.25">
      <c r="A5509" s="115">
        <v>4158276</v>
      </c>
      <c r="B5509" s="115" t="s">
        <v>5314</v>
      </c>
      <c r="C5509" s="117">
        <v>4567.28</v>
      </c>
    </row>
    <row r="5510" spans="1:3" x14ac:dyDescent="0.25">
      <c r="A5510" s="115">
        <v>4158283</v>
      </c>
      <c r="B5510" s="115" t="s">
        <v>5315</v>
      </c>
      <c r="C5510" s="117">
        <v>4567.28</v>
      </c>
    </row>
    <row r="5511" spans="1:3" x14ac:dyDescent="0.25">
      <c r="A5511" s="115">
        <v>4158027</v>
      </c>
      <c r="B5511" s="115" t="s">
        <v>5316</v>
      </c>
      <c r="C5511" s="117">
        <v>4567.28</v>
      </c>
    </row>
    <row r="5512" spans="1:3" x14ac:dyDescent="0.25">
      <c r="A5512" s="115">
        <v>4158076</v>
      </c>
      <c r="B5512" s="115" t="s">
        <v>5317</v>
      </c>
      <c r="C5512" s="117">
        <v>4567.28</v>
      </c>
    </row>
    <row r="5513" spans="1:3" x14ac:dyDescent="0.25">
      <c r="A5513" s="115">
        <v>4158083</v>
      </c>
      <c r="B5513" s="115" t="s">
        <v>5318</v>
      </c>
      <c r="C5513" s="117">
        <v>4567.28</v>
      </c>
    </row>
    <row r="5514" spans="1:3" x14ac:dyDescent="0.25">
      <c r="A5514" s="115">
        <v>4157700</v>
      </c>
      <c r="B5514" s="115" t="s">
        <v>5319</v>
      </c>
      <c r="C5514" s="117">
        <v>3575.12</v>
      </c>
    </row>
    <row r="5515" spans="1:3" x14ac:dyDescent="0.25">
      <c r="A5515" s="144" t="s">
        <v>5320</v>
      </c>
      <c r="B5515" s="145"/>
      <c r="C5515" s="145"/>
    </row>
    <row r="5516" spans="1:3" x14ac:dyDescent="0.25">
      <c r="A5516" s="115">
        <v>4121190</v>
      </c>
      <c r="B5516" s="115" t="s">
        <v>5321</v>
      </c>
      <c r="C5516" s="117">
        <v>2290.69</v>
      </c>
    </row>
    <row r="5517" spans="1:3" x14ac:dyDescent="0.25">
      <c r="A5517" s="115">
        <v>4121652</v>
      </c>
      <c r="B5517" s="115" t="s">
        <v>5322</v>
      </c>
      <c r="C5517" s="117">
        <v>5975.57</v>
      </c>
    </row>
    <row r="5518" spans="1:3" x14ac:dyDescent="0.25">
      <c r="A5518" s="115">
        <v>4120401</v>
      </c>
      <c r="B5518" s="115" t="s">
        <v>5323</v>
      </c>
      <c r="C5518" s="117">
        <v>4632.01</v>
      </c>
    </row>
    <row r="5519" spans="1:3" x14ac:dyDescent="0.25">
      <c r="A5519" s="115">
        <v>4121628</v>
      </c>
      <c r="B5519" s="115" t="s">
        <v>5324</v>
      </c>
      <c r="C5519" s="117">
        <v>5975.57</v>
      </c>
    </row>
    <row r="5520" spans="1:3" x14ac:dyDescent="0.25">
      <c r="A5520" s="115">
        <v>4121651</v>
      </c>
      <c r="B5520" s="115" t="s">
        <v>5325</v>
      </c>
      <c r="C5520" s="117">
        <v>5975.57</v>
      </c>
    </row>
    <row r="5521" spans="1:3" x14ac:dyDescent="0.25">
      <c r="A5521" s="115">
        <v>4121629</v>
      </c>
      <c r="B5521" s="115" t="s">
        <v>5326</v>
      </c>
      <c r="C5521" s="117">
        <v>5975.57</v>
      </c>
    </row>
    <row r="5522" spans="1:3" x14ac:dyDescent="0.25">
      <c r="A5522" s="115">
        <v>4121632</v>
      </c>
      <c r="B5522" s="115" t="s">
        <v>5327</v>
      </c>
      <c r="C5522" s="117">
        <v>5975.57</v>
      </c>
    </row>
    <row r="5523" spans="1:3" x14ac:dyDescent="0.25">
      <c r="A5523" s="115">
        <v>4121630</v>
      </c>
      <c r="B5523" s="115" t="s">
        <v>5328</v>
      </c>
      <c r="C5523" s="117">
        <v>5975.57</v>
      </c>
    </row>
    <row r="5524" spans="1:3" x14ac:dyDescent="0.25">
      <c r="A5524" s="115">
        <v>4121631</v>
      </c>
      <c r="B5524" s="115" t="s">
        <v>5329</v>
      </c>
      <c r="C5524" s="117">
        <v>5975.57</v>
      </c>
    </row>
    <row r="5525" spans="1:3" x14ac:dyDescent="0.25">
      <c r="A5525" s="115">
        <v>4121635</v>
      </c>
      <c r="B5525" s="115" t="s">
        <v>5330</v>
      </c>
      <c r="C5525" s="117">
        <v>4804.84</v>
      </c>
    </row>
    <row r="5526" spans="1:3" x14ac:dyDescent="0.25">
      <c r="A5526" s="115">
        <v>4121634</v>
      </c>
      <c r="B5526" s="115" t="s">
        <v>5331</v>
      </c>
      <c r="C5526" s="117">
        <v>4804.84</v>
      </c>
    </row>
    <row r="5527" spans="1:3" x14ac:dyDescent="0.25">
      <c r="A5527" s="115">
        <v>4121636</v>
      </c>
      <c r="B5527" s="115" t="s">
        <v>5332</v>
      </c>
      <c r="C5527" s="117">
        <v>4804.84</v>
      </c>
    </row>
    <row r="5528" spans="1:3" x14ac:dyDescent="0.25">
      <c r="A5528" s="115">
        <v>4121637</v>
      </c>
      <c r="B5528" s="115" t="s">
        <v>5333</v>
      </c>
      <c r="C5528" s="117">
        <v>4804.84</v>
      </c>
    </row>
    <row r="5529" spans="1:3" x14ac:dyDescent="0.25">
      <c r="A5529" s="115">
        <v>4121612</v>
      </c>
      <c r="B5529" s="115" t="s">
        <v>5334</v>
      </c>
      <c r="C5529" s="117">
        <v>4804.84</v>
      </c>
    </row>
    <row r="5530" spans="1:3" x14ac:dyDescent="0.25">
      <c r="A5530" s="115">
        <v>4121623</v>
      </c>
      <c r="B5530" s="115" t="s">
        <v>5335</v>
      </c>
      <c r="C5530" s="117">
        <v>4632.01</v>
      </c>
    </row>
    <row r="5531" spans="1:3" x14ac:dyDescent="0.25">
      <c r="A5531" s="115">
        <v>4121649</v>
      </c>
      <c r="B5531" s="115" t="s">
        <v>5336</v>
      </c>
      <c r="C5531" s="117">
        <v>4228.26</v>
      </c>
    </row>
    <row r="5532" spans="1:3" x14ac:dyDescent="0.25">
      <c r="A5532" s="115">
        <v>4121626</v>
      </c>
      <c r="B5532" s="115" t="s">
        <v>5337</v>
      </c>
      <c r="C5532" s="117">
        <v>4804.84</v>
      </c>
    </row>
    <row r="5533" spans="1:3" x14ac:dyDescent="0.25">
      <c r="A5533" s="115">
        <v>4121627</v>
      </c>
      <c r="B5533" s="115" t="s">
        <v>5338</v>
      </c>
      <c r="C5533" s="117">
        <v>4804.84</v>
      </c>
    </row>
    <row r="5534" spans="1:3" x14ac:dyDescent="0.25">
      <c r="A5534" s="115">
        <v>4121633</v>
      </c>
      <c r="B5534" s="115" t="s">
        <v>5339</v>
      </c>
      <c r="C5534" s="117">
        <v>4804.84</v>
      </c>
    </row>
    <row r="5535" spans="1:3" x14ac:dyDescent="0.25">
      <c r="A5535" s="115">
        <v>4121622</v>
      </c>
      <c r="B5535" s="115" t="s">
        <v>5340</v>
      </c>
      <c r="C5535" s="117">
        <v>4632.01</v>
      </c>
    </row>
    <row r="5536" spans="1:3" x14ac:dyDescent="0.25">
      <c r="A5536" s="115">
        <v>4121607</v>
      </c>
      <c r="B5536" s="115" t="s">
        <v>5341</v>
      </c>
      <c r="C5536" s="117">
        <v>4632.01</v>
      </c>
    </row>
    <row r="5537" spans="1:3" x14ac:dyDescent="0.25">
      <c r="A5537" s="115">
        <v>4121648</v>
      </c>
      <c r="B5537" s="115" t="s">
        <v>5342</v>
      </c>
      <c r="C5537" s="117">
        <v>4228.26</v>
      </c>
    </row>
    <row r="5538" spans="1:3" x14ac:dyDescent="0.25">
      <c r="A5538" s="115">
        <v>4121650</v>
      </c>
      <c r="B5538" s="115" t="s">
        <v>5343</v>
      </c>
      <c r="C5538" s="117">
        <v>4228.26</v>
      </c>
    </row>
    <row r="5539" spans="1:3" x14ac:dyDescent="0.25">
      <c r="A5539" s="115">
        <v>4145400</v>
      </c>
      <c r="B5539" s="115" t="s">
        <v>5344</v>
      </c>
      <c r="C5539" s="117">
        <v>2198.16</v>
      </c>
    </row>
    <row r="5540" spans="1:3" x14ac:dyDescent="0.25">
      <c r="A5540" s="115">
        <v>4169743</v>
      </c>
      <c r="B5540" s="115" t="s">
        <v>5345</v>
      </c>
      <c r="C5540" s="117">
        <v>3079.41</v>
      </c>
    </row>
    <row r="5541" spans="1:3" x14ac:dyDescent="0.25">
      <c r="A5541" s="115">
        <v>4169744</v>
      </c>
      <c r="B5541" s="115" t="s">
        <v>5346</v>
      </c>
      <c r="C5541" s="117">
        <v>3079.41</v>
      </c>
    </row>
    <row r="5542" spans="1:3" x14ac:dyDescent="0.25">
      <c r="A5542" s="115">
        <v>4169745</v>
      </c>
      <c r="B5542" s="115" t="s">
        <v>5347</v>
      </c>
      <c r="C5542" s="117">
        <v>3079.41</v>
      </c>
    </row>
    <row r="5543" spans="1:3" x14ac:dyDescent="0.25">
      <c r="A5543" s="115">
        <v>4169746</v>
      </c>
      <c r="B5543" s="115" t="s">
        <v>5348</v>
      </c>
      <c r="C5543" s="117">
        <v>3079.41</v>
      </c>
    </row>
    <row r="5544" spans="1:3" x14ac:dyDescent="0.25">
      <c r="A5544" s="115">
        <v>4169747</v>
      </c>
      <c r="B5544" s="115" t="s">
        <v>5349</v>
      </c>
      <c r="C5544" s="117">
        <v>3079.41</v>
      </c>
    </row>
    <row r="5545" spans="1:3" x14ac:dyDescent="0.25">
      <c r="A5545" s="115">
        <v>4169749</v>
      </c>
      <c r="B5545" s="115" t="s">
        <v>5350</v>
      </c>
      <c r="C5545" s="117">
        <v>3079.41</v>
      </c>
    </row>
    <row r="5546" spans="1:3" x14ac:dyDescent="0.25">
      <c r="A5546" s="115">
        <v>4146000</v>
      </c>
      <c r="B5546" s="115" t="s">
        <v>5351</v>
      </c>
      <c r="C5546" s="117">
        <v>2476.04</v>
      </c>
    </row>
    <row r="5547" spans="1:3" x14ac:dyDescent="0.25">
      <c r="A5547" s="115">
        <v>4151098</v>
      </c>
      <c r="B5547" s="115" t="s">
        <v>5352</v>
      </c>
      <c r="C5547" s="117">
        <v>5786.18</v>
      </c>
    </row>
    <row r="5548" spans="1:3" x14ac:dyDescent="0.25">
      <c r="A5548" s="115">
        <v>4151148</v>
      </c>
      <c r="B5548" s="115" t="s">
        <v>5353</v>
      </c>
      <c r="C5548" s="117">
        <v>3717.39</v>
      </c>
    </row>
    <row r="5549" spans="1:3" x14ac:dyDescent="0.25">
      <c r="A5549" s="115">
        <v>4151048</v>
      </c>
      <c r="B5549" s="115" t="s">
        <v>5354</v>
      </c>
      <c r="C5549" s="117">
        <v>3717.39</v>
      </c>
    </row>
    <row r="5550" spans="1:3" x14ac:dyDescent="0.25">
      <c r="A5550" s="115">
        <v>4132029</v>
      </c>
      <c r="B5550" s="115" t="s">
        <v>5355</v>
      </c>
      <c r="C5550" s="117">
        <v>5958.45</v>
      </c>
    </row>
    <row r="5551" spans="1:3" x14ac:dyDescent="0.25">
      <c r="A5551" s="115">
        <v>4132076</v>
      </c>
      <c r="B5551" s="115" t="s">
        <v>5356</v>
      </c>
      <c r="C5551" s="117">
        <v>5958.45</v>
      </c>
    </row>
    <row r="5552" spans="1:3" x14ac:dyDescent="0.25">
      <c r="A5552" s="115">
        <v>4132083</v>
      </c>
      <c r="B5552" s="115" t="s">
        <v>5357</v>
      </c>
      <c r="C5552" s="117">
        <v>5958.45</v>
      </c>
    </row>
    <row r="5553" spans="1:3" x14ac:dyDescent="0.25">
      <c r="A5553" s="115">
        <v>4131129</v>
      </c>
      <c r="B5553" s="115" t="s">
        <v>5358</v>
      </c>
      <c r="C5553" s="117">
        <v>3809.13</v>
      </c>
    </row>
    <row r="5554" spans="1:3" x14ac:dyDescent="0.25">
      <c r="A5554" s="115">
        <v>4131176</v>
      </c>
      <c r="B5554" s="115" t="s">
        <v>5359</v>
      </c>
      <c r="C5554" s="117">
        <v>3809.13</v>
      </c>
    </row>
    <row r="5555" spans="1:3" x14ac:dyDescent="0.25">
      <c r="A5555" s="115">
        <v>4131183</v>
      </c>
      <c r="B5555" s="115" t="s">
        <v>5360</v>
      </c>
      <c r="C5555" s="117">
        <v>3809.13</v>
      </c>
    </row>
    <row r="5556" spans="1:3" x14ac:dyDescent="0.25">
      <c r="A5556" s="115">
        <v>4131026</v>
      </c>
      <c r="B5556" s="115" t="s">
        <v>5361</v>
      </c>
      <c r="C5556" s="117">
        <v>3809.13</v>
      </c>
    </row>
    <row r="5557" spans="1:3" x14ac:dyDescent="0.25">
      <c r="A5557" s="115">
        <v>4131029</v>
      </c>
      <c r="B5557" s="115" t="s">
        <v>5362</v>
      </c>
      <c r="C5557" s="117">
        <v>3809.13</v>
      </c>
    </row>
    <row r="5558" spans="1:3" x14ac:dyDescent="0.25">
      <c r="A5558" s="115">
        <v>4131023</v>
      </c>
      <c r="B5558" s="115" t="s">
        <v>5363</v>
      </c>
      <c r="C5558" s="117">
        <v>3809.13</v>
      </c>
    </row>
    <row r="5559" spans="1:3" x14ac:dyDescent="0.25">
      <c r="A5559" s="115">
        <v>4131054</v>
      </c>
      <c r="B5559" s="115" t="s">
        <v>5364</v>
      </c>
      <c r="C5559" s="117">
        <v>3809.13</v>
      </c>
    </row>
    <row r="5560" spans="1:3" x14ac:dyDescent="0.25">
      <c r="A5560" s="115">
        <v>4131062</v>
      </c>
      <c r="B5560" s="115" t="s">
        <v>5365</v>
      </c>
      <c r="C5560" s="117">
        <v>3809.13</v>
      </c>
    </row>
    <row r="5561" spans="1:3" x14ac:dyDescent="0.25">
      <c r="A5561" s="115">
        <v>4131076</v>
      </c>
      <c r="B5561" s="115" t="s">
        <v>5366</v>
      </c>
      <c r="C5561" s="117">
        <v>3809.13</v>
      </c>
    </row>
    <row r="5562" spans="1:3" x14ac:dyDescent="0.25">
      <c r="A5562" s="115">
        <v>4131077</v>
      </c>
      <c r="B5562" s="115" t="s">
        <v>5367</v>
      </c>
      <c r="C5562" s="117">
        <v>3809.13</v>
      </c>
    </row>
    <row r="5563" spans="1:3" x14ac:dyDescent="0.25">
      <c r="A5563" s="115">
        <v>4131083</v>
      </c>
      <c r="B5563" s="115" t="s">
        <v>5368</v>
      </c>
      <c r="C5563" s="117">
        <v>3809.13</v>
      </c>
    </row>
    <row r="5564" spans="1:3" x14ac:dyDescent="0.25">
      <c r="A5564" s="115">
        <v>4131089</v>
      </c>
      <c r="B5564" s="115" t="s">
        <v>5369</v>
      </c>
      <c r="C5564" s="117">
        <v>3809.13</v>
      </c>
    </row>
    <row r="5565" spans="1:3" x14ac:dyDescent="0.25">
      <c r="A5565" s="115">
        <v>4131229</v>
      </c>
      <c r="B5565" s="115" t="s">
        <v>5370</v>
      </c>
      <c r="C5565" s="117">
        <v>3809.13</v>
      </c>
    </row>
    <row r="5566" spans="1:3" x14ac:dyDescent="0.25">
      <c r="A5566" s="115">
        <v>4130415</v>
      </c>
      <c r="B5566" s="115" t="s">
        <v>5371</v>
      </c>
      <c r="C5566" s="117">
        <v>1386.27</v>
      </c>
    </row>
    <row r="5567" spans="1:3" x14ac:dyDescent="0.25">
      <c r="A5567" s="115">
        <v>4131526</v>
      </c>
      <c r="B5567" s="115" t="s">
        <v>5372</v>
      </c>
      <c r="C5567" s="117">
        <v>3809.13</v>
      </c>
    </row>
    <row r="5568" spans="1:3" x14ac:dyDescent="0.25">
      <c r="A5568" s="115">
        <v>4131529</v>
      </c>
      <c r="B5568" s="115" t="s">
        <v>5373</v>
      </c>
      <c r="C5568" s="117">
        <v>3809.13</v>
      </c>
    </row>
    <row r="5569" spans="1:3" x14ac:dyDescent="0.25">
      <c r="A5569" s="115">
        <v>4131523</v>
      </c>
      <c r="B5569" s="115" t="s">
        <v>5374</v>
      </c>
      <c r="C5569" s="117">
        <v>3809.13</v>
      </c>
    </row>
    <row r="5570" spans="1:3" x14ac:dyDescent="0.25">
      <c r="A5570" s="115">
        <v>4131554</v>
      </c>
      <c r="B5570" s="115" t="s">
        <v>5375</v>
      </c>
      <c r="C5570" s="117">
        <v>3809.13</v>
      </c>
    </row>
    <row r="5571" spans="1:3" x14ac:dyDescent="0.25">
      <c r="A5571" s="115">
        <v>4131562</v>
      </c>
      <c r="B5571" s="115" t="s">
        <v>5376</v>
      </c>
      <c r="C5571" s="117">
        <v>3809.13</v>
      </c>
    </row>
    <row r="5572" spans="1:3" x14ac:dyDescent="0.25">
      <c r="A5572" s="115">
        <v>4131576</v>
      </c>
      <c r="B5572" s="115" t="s">
        <v>5377</v>
      </c>
      <c r="C5572" s="117">
        <v>3809.13</v>
      </c>
    </row>
    <row r="5573" spans="1:3" x14ac:dyDescent="0.25">
      <c r="A5573" s="115">
        <v>4131577</v>
      </c>
      <c r="B5573" s="115" t="s">
        <v>5378</v>
      </c>
      <c r="C5573" s="117">
        <v>3809.13</v>
      </c>
    </row>
    <row r="5574" spans="1:3" x14ac:dyDescent="0.25">
      <c r="A5574" s="115">
        <v>4131583</v>
      </c>
      <c r="B5574" s="115" t="s">
        <v>5379</v>
      </c>
      <c r="C5574" s="117">
        <v>3809.13</v>
      </c>
    </row>
    <row r="5575" spans="1:3" x14ac:dyDescent="0.25">
      <c r="A5575" s="115">
        <v>4131589</v>
      </c>
      <c r="B5575" s="115" t="s">
        <v>5380</v>
      </c>
      <c r="C5575" s="117">
        <v>3809.13</v>
      </c>
    </row>
    <row r="5576" spans="1:3" x14ac:dyDescent="0.25">
      <c r="A5576" s="115">
        <v>4120390</v>
      </c>
      <c r="B5576" s="115" t="s">
        <v>5381</v>
      </c>
      <c r="C5576" s="117">
        <v>4644.01</v>
      </c>
    </row>
    <row r="5577" spans="1:3" x14ac:dyDescent="0.25">
      <c r="A5577" s="115">
        <v>4153046</v>
      </c>
      <c r="B5577" s="115" t="s">
        <v>5382</v>
      </c>
      <c r="C5577" s="117">
        <v>1752.02</v>
      </c>
    </row>
    <row r="5578" spans="1:3" x14ac:dyDescent="0.25">
      <c r="A5578" s="115">
        <v>4134029</v>
      </c>
      <c r="B5578" s="115" t="s">
        <v>5383</v>
      </c>
      <c r="C5578" s="117">
        <v>2623.51</v>
      </c>
    </row>
    <row r="5579" spans="1:3" x14ac:dyDescent="0.25">
      <c r="A5579" s="115">
        <v>4134076</v>
      </c>
      <c r="B5579" s="115" t="s">
        <v>5384</v>
      </c>
      <c r="C5579" s="117">
        <v>2623.51</v>
      </c>
    </row>
    <row r="5580" spans="1:3" x14ac:dyDescent="0.25">
      <c r="A5580" s="115">
        <v>4133026</v>
      </c>
      <c r="B5580" s="115" t="s">
        <v>5385</v>
      </c>
      <c r="C5580" s="117">
        <v>1822.39</v>
      </c>
    </row>
    <row r="5581" spans="1:3" x14ac:dyDescent="0.25">
      <c r="A5581" s="115">
        <v>4133029</v>
      </c>
      <c r="B5581" s="115" t="s">
        <v>5386</v>
      </c>
      <c r="C5581" s="117">
        <v>1797.4</v>
      </c>
    </row>
    <row r="5582" spans="1:3" x14ac:dyDescent="0.25">
      <c r="A5582" s="115">
        <v>4133023</v>
      </c>
      <c r="B5582" s="115" t="s">
        <v>5387</v>
      </c>
      <c r="C5582" s="117">
        <v>1822.39</v>
      </c>
    </row>
    <row r="5583" spans="1:3" x14ac:dyDescent="0.25">
      <c r="A5583" s="115">
        <v>4133062</v>
      </c>
      <c r="B5583" s="115" t="s">
        <v>5388</v>
      </c>
      <c r="C5583" s="117">
        <v>1822.39</v>
      </c>
    </row>
    <row r="5584" spans="1:3" x14ac:dyDescent="0.25">
      <c r="A5584" s="115">
        <v>4133076</v>
      </c>
      <c r="B5584" s="115" t="s">
        <v>5389</v>
      </c>
      <c r="C5584" s="117">
        <v>1822.39</v>
      </c>
    </row>
    <row r="5585" spans="1:3" x14ac:dyDescent="0.25">
      <c r="A5585" s="115">
        <v>4133077</v>
      </c>
      <c r="B5585" s="115" t="s">
        <v>5390</v>
      </c>
      <c r="C5585" s="117">
        <v>1822.39</v>
      </c>
    </row>
    <row r="5586" spans="1:3" x14ac:dyDescent="0.25">
      <c r="A5586" s="115">
        <v>4133083</v>
      </c>
      <c r="B5586" s="115" t="s">
        <v>5391</v>
      </c>
      <c r="C5586" s="117">
        <v>1822.39</v>
      </c>
    </row>
    <row r="5587" spans="1:3" x14ac:dyDescent="0.25">
      <c r="A5587" s="115">
        <v>4134083</v>
      </c>
      <c r="B5587" s="115" t="s">
        <v>5392</v>
      </c>
      <c r="C5587" s="117">
        <v>2623.51</v>
      </c>
    </row>
    <row r="5588" spans="1:3" x14ac:dyDescent="0.25">
      <c r="A5588" s="115">
        <v>4142084</v>
      </c>
      <c r="B5588" s="115" t="s">
        <v>5393</v>
      </c>
      <c r="C5588" s="117">
        <v>1214.94</v>
      </c>
    </row>
    <row r="5589" spans="1:3" x14ac:dyDescent="0.25">
      <c r="A5589" s="115">
        <v>4142248</v>
      </c>
      <c r="B5589" s="115" t="s">
        <v>5394</v>
      </c>
      <c r="C5589" s="117">
        <v>725.93</v>
      </c>
    </row>
    <row r="5590" spans="1:3" x14ac:dyDescent="0.25">
      <c r="A5590" s="115">
        <v>4142124</v>
      </c>
      <c r="B5590" s="115" t="s">
        <v>5395</v>
      </c>
      <c r="C5590" s="117">
        <v>558.05999999999995</v>
      </c>
    </row>
    <row r="5591" spans="1:3" x14ac:dyDescent="0.25">
      <c r="A5591" s="115">
        <v>4142184</v>
      </c>
      <c r="B5591" s="115" t="s">
        <v>5396</v>
      </c>
      <c r="C5591" s="117">
        <v>1214.94</v>
      </c>
    </row>
    <row r="5592" spans="1:3" x14ac:dyDescent="0.25">
      <c r="A5592" s="115">
        <v>4142024</v>
      </c>
      <c r="B5592" s="115" t="s">
        <v>5397</v>
      </c>
      <c r="C5592" s="117">
        <v>530.15</v>
      </c>
    </row>
    <row r="5593" spans="1:3" x14ac:dyDescent="0.25">
      <c r="A5593" s="115">
        <v>4142148</v>
      </c>
      <c r="B5593" s="115" t="s">
        <v>5398</v>
      </c>
      <c r="C5593" s="117">
        <v>725.93</v>
      </c>
    </row>
    <row r="5594" spans="1:3" x14ac:dyDescent="0.25">
      <c r="A5594" s="115">
        <v>4142048</v>
      </c>
      <c r="B5594" s="115" t="s">
        <v>5399</v>
      </c>
      <c r="C5594" s="117">
        <v>725.93</v>
      </c>
    </row>
    <row r="5595" spans="1:3" x14ac:dyDescent="0.25">
      <c r="A5595" s="115">
        <v>4135127</v>
      </c>
      <c r="B5595" s="115" t="s">
        <v>5400</v>
      </c>
      <c r="C5595" s="117">
        <v>3862.39</v>
      </c>
    </row>
    <row r="5596" spans="1:3" x14ac:dyDescent="0.25">
      <c r="A5596" s="115">
        <v>4135126</v>
      </c>
      <c r="B5596" s="115" t="s">
        <v>5401</v>
      </c>
      <c r="C5596" s="117">
        <v>1931.2</v>
      </c>
    </row>
    <row r="5597" spans="1:3" x14ac:dyDescent="0.25">
      <c r="A5597" s="115">
        <v>4135103</v>
      </c>
      <c r="B5597" s="115" t="s">
        <v>5402</v>
      </c>
      <c r="C5597" s="117">
        <v>1931.2</v>
      </c>
    </row>
    <row r="5598" spans="1:3" x14ac:dyDescent="0.25">
      <c r="A5598" s="115">
        <v>4135102</v>
      </c>
      <c r="B5598" s="115" t="s">
        <v>5403</v>
      </c>
      <c r="C5598" s="117">
        <v>3862.39</v>
      </c>
    </row>
    <row r="5599" spans="1:3" x14ac:dyDescent="0.25">
      <c r="A5599" s="115">
        <v>4135122</v>
      </c>
      <c r="B5599" s="115" t="s">
        <v>5404</v>
      </c>
      <c r="C5599" s="117">
        <v>3862.39</v>
      </c>
    </row>
    <row r="5600" spans="1:3" x14ac:dyDescent="0.25">
      <c r="A5600" s="115">
        <v>4135130</v>
      </c>
      <c r="B5600" s="115" t="s">
        <v>5405</v>
      </c>
      <c r="C5600" s="117">
        <v>1931.2</v>
      </c>
    </row>
    <row r="5601" spans="1:3" x14ac:dyDescent="0.25">
      <c r="A5601" s="115">
        <v>4135114</v>
      </c>
      <c r="B5601" s="115" t="s">
        <v>5406</v>
      </c>
      <c r="C5601" s="117">
        <v>1931.2</v>
      </c>
    </row>
    <row r="5602" spans="1:3" x14ac:dyDescent="0.25">
      <c r="A5602" s="115">
        <v>4135113</v>
      </c>
      <c r="B5602" s="115" t="s">
        <v>5407</v>
      </c>
      <c r="C5602" s="117">
        <v>3862.39</v>
      </c>
    </row>
    <row r="5603" spans="1:3" x14ac:dyDescent="0.25">
      <c r="A5603" s="115">
        <v>4135129</v>
      </c>
      <c r="B5603" s="115" t="s">
        <v>5408</v>
      </c>
      <c r="C5603" s="117">
        <v>1931.2</v>
      </c>
    </row>
    <row r="5604" spans="1:3" x14ac:dyDescent="0.25">
      <c r="A5604" s="115">
        <v>4135108</v>
      </c>
      <c r="B5604" s="115" t="s">
        <v>5409</v>
      </c>
      <c r="C5604" s="117">
        <v>3862.39</v>
      </c>
    </row>
    <row r="5605" spans="1:3" x14ac:dyDescent="0.25">
      <c r="A5605" s="115">
        <v>4130414</v>
      </c>
      <c r="B5605" s="115" t="s">
        <v>5410</v>
      </c>
      <c r="C5605" s="117">
        <v>1386.27</v>
      </c>
    </row>
    <row r="5606" spans="1:3" x14ac:dyDescent="0.25">
      <c r="A5606" s="115">
        <v>4121591</v>
      </c>
      <c r="B5606" s="115" t="s">
        <v>5411</v>
      </c>
      <c r="C5606" s="117">
        <v>388.28</v>
      </c>
    </row>
    <row r="5607" spans="1:3" x14ac:dyDescent="0.25">
      <c r="A5607" s="115">
        <v>4120101</v>
      </c>
      <c r="B5607" s="115" t="s">
        <v>5412</v>
      </c>
      <c r="C5607" s="117">
        <v>3003.49</v>
      </c>
    </row>
    <row r="5608" spans="1:3" x14ac:dyDescent="0.25">
      <c r="A5608" s="115">
        <v>4145200</v>
      </c>
      <c r="B5608" s="115" t="s">
        <v>5413</v>
      </c>
      <c r="C5608" s="117">
        <v>764.28</v>
      </c>
    </row>
    <row r="5609" spans="1:3" x14ac:dyDescent="0.25">
      <c r="A5609" s="115">
        <v>4145100</v>
      </c>
      <c r="B5609" s="115" t="s">
        <v>5414</v>
      </c>
      <c r="C5609" s="117">
        <v>2236.0500000000002</v>
      </c>
    </row>
    <row r="5610" spans="1:3" x14ac:dyDescent="0.25">
      <c r="A5610" s="115">
        <v>4159400</v>
      </c>
      <c r="B5610" s="115" t="s">
        <v>5415</v>
      </c>
      <c r="C5610" s="117">
        <v>3834.08</v>
      </c>
    </row>
    <row r="5611" spans="1:3" x14ac:dyDescent="0.25">
      <c r="A5611" s="115">
        <v>4129620</v>
      </c>
      <c r="B5611" s="115" t="s">
        <v>5416</v>
      </c>
      <c r="C5611" s="117">
        <v>3897.48</v>
      </c>
    </row>
    <row r="5612" spans="1:3" x14ac:dyDescent="0.25">
      <c r="A5612" s="115">
        <v>4129660</v>
      </c>
      <c r="B5612" s="115" t="s">
        <v>5417</v>
      </c>
      <c r="C5612" s="117">
        <v>3897.48</v>
      </c>
    </row>
    <row r="5613" spans="1:3" x14ac:dyDescent="0.25">
      <c r="A5613" s="115">
        <v>4129650</v>
      </c>
      <c r="B5613" s="115" t="s">
        <v>5418</v>
      </c>
      <c r="C5613" s="117">
        <v>3897.48</v>
      </c>
    </row>
    <row r="5614" spans="1:3" x14ac:dyDescent="0.25">
      <c r="A5614" s="115">
        <v>4129640</v>
      </c>
      <c r="B5614" s="115" t="s">
        <v>5419</v>
      </c>
      <c r="C5614" s="117">
        <v>3897.48</v>
      </c>
    </row>
    <row r="5615" spans="1:3" x14ac:dyDescent="0.25">
      <c r="A5615" s="115">
        <v>4129630</v>
      </c>
      <c r="B5615" s="115" t="s">
        <v>5420</v>
      </c>
      <c r="C5615" s="117">
        <v>3897.48</v>
      </c>
    </row>
    <row r="5616" spans="1:3" x14ac:dyDescent="0.25">
      <c r="A5616" s="115">
        <v>4121642</v>
      </c>
      <c r="B5616" s="115" t="s">
        <v>5421</v>
      </c>
      <c r="C5616" s="117">
        <v>3636.45</v>
      </c>
    </row>
    <row r="5617" spans="1:3" x14ac:dyDescent="0.25">
      <c r="A5617" s="115">
        <v>4121641</v>
      </c>
      <c r="B5617" s="115" t="s">
        <v>5422</v>
      </c>
      <c r="C5617" s="117">
        <v>3636.45</v>
      </c>
    </row>
    <row r="5618" spans="1:3" x14ac:dyDescent="0.25">
      <c r="A5618" s="115">
        <v>4121643</v>
      </c>
      <c r="B5618" s="115" t="s">
        <v>5423</v>
      </c>
      <c r="C5618" s="117">
        <v>3636.45</v>
      </c>
    </row>
    <row r="5619" spans="1:3" x14ac:dyDescent="0.25">
      <c r="A5619" s="115">
        <v>4121640</v>
      </c>
      <c r="B5619" s="115" t="s">
        <v>5424</v>
      </c>
      <c r="C5619" s="117">
        <v>3636.45</v>
      </c>
    </row>
    <row r="5620" spans="1:3" x14ac:dyDescent="0.25">
      <c r="A5620" s="115">
        <v>4121614</v>
      </c>
      <c r="B5620" s="115" t="s">
        <v>5425</v>
      </c>
      <c r="C5620" s="117">
        <v>3636.45</v>
      </c>
    </row>
    <row r="5621" spans="1:3" x14ac:dyDescent="0.25">
      <c r="A5621" s="115">
        <v>4121618</v>
      </c>
      <c r="B5621" s="115" t="s">
        <v>5426</v>
      </c>
      <c r="C5621" s="117">
        <v>3636.45</v>
      </c>
    </row>
    <row r="5622" spans="1:3" x14ac:dyDescent="0.25">
      <c r="A5622" s="115">
        <v>4121647</v>
      </c>
      <c r="B5622" s="115" t="s">
        <v>5427</v>
      </c>
      <c r="C5622" s="117">
        <v>3636.45</v>
      </c>
    </row>
    <row r="5623" spans="1:3" x14ac:dyDescent="0.25">
      <c r="A5623" s="115">
        <v>4121616</v>
      </c>
      <c r="B5623" s="115" t="s">
        <v>5428</v>
      </c>
      <c r="C5623" s="117">
        <v>3636.45</v>
      </c>
    </row>
    <row r="5624" spans="1:3" x14ac:dyDescent="0.25">
      <c r="A5624" s="115">
        <v>4121639</v>
      </c>
      <c r="B5624" s="115" t="s">
        <v>5429</v>
      </c>
      <c r="C5624" s="117">
        <v>3636.45</v>
      </c>
    </row>
    <row r="5625" spans="1:3" x14ac:dyDescent="0.25">
      <c r="A5625" s="115">
        <v>4121619</v>
      </c>
      <c r="B5625" s="115" t="s">
        <v>5430</v>
      </c>
      <c r="C5625" s="117">
        <v>3636.45</v>
      </c>
    </row>
    <row r="5626" spans="1:3" x14ac:dyDescent="0.25">
      <c r="A5626" s="115">
        <v>4121638</v>
      </c>
      <c r="B5626" s="115" t="s">
        <v>5431</v>
      </c>
      <c r="C5626" s="117">
        <v>3636.45</v>
      </c>
    </row>
    <row r="5627" spans="1:3" x14ac:dyDescent="0.25">
      <c r="A5627" s="115">
        <v>4121645</v>
      </c>
      <c r="B5627" s="115" t="s">
        <v>5432</v>
      </c>
      <c r="C5627" s="117">
        <v>3636.45</v>
      </c>
    </row>
    <row r="5628" spans="1:3" x14ac:dyDescent="0.25">
      <c r="A5628" s="115">
        <v>4121625</v>
      </c>
      <c r="B5628" s="115" t="s">
        <v>5433</v>
      </c>
      <c r="C5628" s="117">
        <v>3636.45</v>
      </c>
    </row>
    <row r="5629" spans="1:3" x14ac:dyDescent="0.25">
      <c r="A5629" s="115">
        <v>4121644</v>
      </c>
      <c r="B5629" s="115" t="s">
        <v>5434</v>
      </c>
      <c r="C5629" s="117">
        <v>3636.45</v>
      </c>
    </row>
    <row r="5630" spans="1:3" x14ac:dyDescent="0.25">
      <c r="A5630" s="115">
        <v>4121624</v>
      </c>
      <c r="B5630" s="115" t="s">
        <v>5435</v>
      </c>
      <c r="C5630" s="117">
        <v>3636.45</v>
      </c>
    </row>
    <row r="5631" spans="1:3" x14ac:dyDescent="0.25">
      <c r="A5631" s="115">
        <v>4140900</v>
      </c>
      <c r="B5631" s="115" t="s">
        <v>5436</v>
      </c>
      <c r="C5631" s="117">
        <v>2144.59</v>
      </c>
    </row>
    <row r="5632" spans="1:3" x14ac:dyDescent="0.25">
      <c r="A5632" s="115">
        <v>4137588</v>
      </c>
      <c r="B5632" s="115" t="s">
        <v>5437</v>
      </c>
      <c r="C5632" s="117">
        <v>2409.0100000000002</v>
      </c>
    </row>
    <row r="5633" spans="1:3" x14ac:dyDescent="0.25">
      <c r="A5633" s="115">
        <v>4137511</v>
      </c>
      <c r="B5633" s="115" t="s">
        <v>5438</v>
      </c>
      <c r="C5633" s="117">
        <v>2409.0100000000002</v>
      </c>
    </row>
    <row r="5634" spans="1:3" x14ac:dyDescent="0.25">
      <c r="A5634" s="115">
        <v>4137026</v>
      </c>
      <c r="B5634" s="115" t="s">
        <v>5439</v>
      </c>
      <c r="C5634" s="117">
        <v>2409.0100000000002</v>
      </c>
    </row>
    <row r="5635" spans="1:3" x14ac:dyDescent="0.25">
      <c r="A5635" s="115">
        <v>4137054</v>
      </c>
      <c r="B5635" s="115" t="s">
        <v>5440</v>
      </c>
      <c r="C5635" s="117">
        <v>2409.0100000000002</v>
      </c>
    </row>
    <row r="5636" spans="1:3" x14ac:dyDescent="0.25">
      <c r="A5636" s="115">
        <v>4137062</v>
      </c>
      <c r="B5636" s="115" t="s">
        <v>5441</v>
      </c>
      <c r="C5636" s="117">
        <v>4818.0200000000004</v>
      </c>
    </row>
    <row r="5637" spans="1:3" x14ac:dyDescent="0.25">
      <c r="A5637" s="115">
        <v>4137076</v>
      </c>
      <c r="B5637" s="115" t="s">
        <v>5442</v>
      </c>
      <c r="C5637" s="117">
        <v>2409.0100000000002</v>
      </c>
    </row>
    <row r="5638" spans="1:3" x14ac:dyDescent="0.25">
      <c r="A5638" s="115">
        <v>4137077</v>
      </c>
      <c r="B5638" s="115" t="s">
        <v>5443</v>
      </c>
      <c r="C5638" s="117">
        <v>2409.0100000000002</v>
      </c>
    </row>
    <row r="5639" spans="1:3" x14ac:dyDescent="0.25">
      <c r="A5639" s="115">
        <v>4137527</v>
      </c>
      <c r="B5639" s="115" t="s">
        <v>5444</v>
      </c>
      <c r="C5639" s="117">
        <v>2409.0100000000002</v>
      </c>
    </row>
    <row r="5640" spans="1:3" x14ac:dyDescent="0.25">
      <c r="A5640" s="115">
        <v>4137568</v>
      </c>
      <c r="B5640" s="115" t="s">
        <v>5445</v>
      </c>
      <c r="C5640" s="117">
        <v>2409.0100000000002</v>
      </c>
    </row>
    <row r="5641" spans="1:3" x14ac:dyDescent="0.25">
      <c r="A5641" s="115">
        <v>4137554</v>
      </c>
      <c r="B5641" s="115" t="s">
        <v>5446</v>
      </c>
      <c r="C5641" s="117">
        <v>2409.0100000000002</v>
      </c>
    </row>
    <row r="5642" spans="1:3" x14ac:dyDescent="0.25">
      <c r="A5642" s="115">
        <v>4137562</v>
      </c>
      <c r="B5642" s="115" t="s">
        <v>5447</v>
      </c>
      <c r="C5642" s="117">
        <v>2409.0100000000002</v>
      </c>
    </row>
    <row r="5643" spans="1:3" x14ac:dyDescent="0.25">
      <c r="A5643" s="115">
        <v>4137576</v>
      </c>
      <c r="B5643" s="115" t="s">
        <v>5448</v>
      </c>
      <c r="C5643" s="117">
        <v>2409.0100000000002</v>
      </c>
    </row>
    <row r="5644" spans="1:3" x14ac:dyDescent="0.25">
      <c r="A5644" s="115">
        <v>4137577</v>
      </c>
      <c r="B5644" s="115" t="s">
        <v>5449</v>
      </c>
      <c r="C5644" s="117">
        <v>2409.0100000000002</v>
      </c>
    </row>
    <row r="5645" spans="1:3" x14ac:dyDescent="0.25">
      <c r="A5645" s="115">
        <v>4137583</v>
      </c>
      <c r="B5645" s="115" t="s">
        <v>5450</v>
      </c>
      <c r="C5645" s="117">
        <v>2409.0100000000002</v>
      </c>
    </row>
    <row r="5646" spans="1:3" x14ac:dyDescent="0.25">
      <c r="A5646" s="115">
        <v>4143024</v>
      </c>
      <c r="B5646" s="115" t="s">
        <v>5451</v>
      </c>
      <c r="C5646" s="117">
        <v>1853.56</v>
      </c>
    </row>
    <row r="5647" spans="1:3" x14ac:dyDescent="0.25">
      <c r="A5647" s="115">
        <v>4143224</v>
      </c>
      <c r="B5647" s="115" t="s">
        <v>5452</v>
      </c>
      <c r="C5647" s="117">
        <v>926.78</v>
      </c>
    </row>
    <row r="5648" spans="1:3" x14ac:dyDescent="0.25">
      <c r="A5648" s="115">
        <v>4143048</v>
      </c>
      <c r="B5648" s="115" t="s">
        <v>5453</v>
      </c>
      <c r="C5648" s="117">
        <v>1579.34</v>
      </c>
    </row>
    <row r="5649" spans="1:3" x14ac:dyDescent="0.25">
      <c r="A5649" s="115">
        <v>4157150</v>
      </c>
      <c r="B5649" s="115" t="s">
        <v>5454</v>
      </c>
      <c r="C5649" s="117">
        <v>2334.92</v>
      </c>
    </row>
    <row r="5650" spans="1:3" x14ac:dyDescent="0.25">
      <c r="A5650" s="115">
        <v>4157250</v>
      </c>
      <c r="B5650" s="115" t="s">
        <v>5455</v>
      </c>
      <c r="C5650" s="117">
        <v>2334.92</v>
      </c>
    </row>
    <row r="5651" spans="1:3" x14ac:dyDescent="0.25">
      <c r="A5651" s="115">
        <v>4157198</v>
      </c>
      <c r="B5651" s="115" t="s">
        <v>5456</v>
      </c>
      <c r="C5651" s="117">
        <v>3623.11</v>
      </c>
    </row>
    <row r="5652" spans="1:3" x14ac:dyDescent="0.25">
      <c r="A5652" s="115">
        <v>4157098</v>
      </c>
      <c r="B5652" s="115" t="s">
        <v>5457</v>
      </c>
      <c r="C5652" s="117">
        <v>3623.11</v>
      </c>
    </row>
    <row r="5653" spans="1:3" x14ac:dyDescent="0.25">
      <c r="A5653" s="115">
        <v>4157050</v>
      </c>
      <c r="B5653" s="115" t="s">
        <v>5458</v>
      </c>
      <c r="C5653" s="117">
        <v>2334.92</v>
      </c>
    </row>
    <row r="5654" spans="1:3" x14ac:dyDescent="0.25">
      <c r="A5654" s="115">
        <v>4137589</v>
      </c>
      <c r="B5654" s="115" t="s">
        <v>5459</v>
      </c>
      <c r="C5654" s="117">
        <v>3776.76</v>
      </c>
    </row>
    <row r="5655" spans="1:3" x14ac:dyDescent="0.25">
      <c r="A5655" s="115">
        <v>4129004</v>
      </c>
      <c r="B5655" s="115" t="s">
        <v>5460</v>
      </c>
      <c r="C5655" s="117">
        <v>455.4</v>
      </c>
    </row>
    <row r="5656" spans="1:3" x14ac:dyDescent="0.25">
      <c r="A5656" s="115">
        <v>4129002</v>
      </c>
      <c r="B5656" s="115" t="s">
        <v>5461</v>
      </c>
      <c r="C5656" s="117">
        <v>455.4</v>
      </c>
    </row>
    <row r="5657" spans="1:3" x14ac:dyDescent="0.25">
      <c r="A5657" s="115">
        <v>4144303</v>
      </c>
      <c r="B5657" s="115" t="s">
        <v>5462</v>
      </c>
      <c r="C5657" s="117">
        <v>120.93</v>
      </c>
    </row>
    <row r="5658" spans="1:3" x14ac:dyDescent="0.25">
      <c r="A5658" s="115">
        <v>4150502</v>
      </c>
      <c r="B5658" s="115" t="s">
        <v>5463</v>
      </c>
      <c r="C5658" s="117">
        <v>11884.9</v>
      </c>
    </row>
    <row r="5659" spans="1:3" x14ac:dyDescent="0.25">
      <c r="A5659" s="144" t="s">
        <v>5464</v>
      </c>
      <c r="B5659" s="145"/>
      <c r="C5659" s="145"/>
    </row>
    <row r="5660" spans="1:3" x14ac:dyDescent="0.25">
      <c r="A5660" s="115">
        <v>4280303</v>
      </c>
      <c r="B5660" s="115" t="s">
        <v>5465</v>
      </c>
      <c r="C5660" s="117">
        <v>2535</v>
      </c>
    </row>
    <row r="5661" spans="1:3" x14ac:dyDescent="0.25">
      <c r="A5661" s="115">
        <v>4280302</v>
      </c>
      <c r="B5661" s="115" t="s">
        <v>5466</v>
      </c>
      <c r="C5661" s="117">
        <v>3101.48</v>
      </c>
    </row>
    <row r="5662" spans="1:3" x14ac:dyDescent="0.25">
      <c r="A5662" s="115">
        <v>4280301</v>
      </c>
      <c r="B5662" s="115" t="s">
        <v>5467</v>
      </c>
      <c r="C5662" s="117">
        <v>3101.48</v>
      </c>
    </row>
    <row r="5663" spans="1:3" x14ac:dyDescent="0.25">
      <c r="A5663" s="115">
        <v>4181700</v>
      </c>
      <c r="B5663" s="115" t="s">
        <v>5468</v>
      </c>
      <c r="C5663" s="117">
        <v>4128.22</v>
      </c>
    </row>
    <row r="5664" spans="1:3" x14ac:dyDescent="0.25">
      <c r="A5664" s="115">
        <v>4181500</v>
      </c>
      <c r="B5664" s="115" t="s">
        <v>5469</v>
      </c>
      <c r="C5664" s="117">
        <v>3821.71</v>
      </c>
    </row>
    <row r="5665" spans="1:3" x14ac:dyDescent="0.25">
      <c r="A5665" s="115">
        <v>4181100</v>
      </c>
      <c r="B5665" s="115" t="s">
        <v>5470</v>
      </c>
      <c r="C5665" s="117">
        <v>3978.1</v>
      </c>
    </row>
    <row r="5666" spans="1:3" x14ac:dyDescent="0.25">
      <c r="A5666" s="115">
        <v>4181200</v>
      </c>
      <c r="B5666" s="115" t="s">
        <v>5471</v>
      </c>
      <c r="C5666" s="117">
        <v>9846.7800000000007</v>
      </c>
    </row>
    <row r="5667" spans="1:3" x14ac:dyDescent="0.25">
      <c r="A5667" s="115">
        <v>4181300</v>
      </c>
      <c r="B5667" s="115" t="s">
        <v>5472</v>
      </c>
      <c r="C5667" s="117">
        <v>4923.3900000000003</v>
      </c>
    </row>
    <row r="5668" spans="1:3" x14ac:dyDescent="0.25">
      <c r="A5668" s="115">
        <v>4280111</v>
      </c>
      <c r="B5668" s="115" t="s">
        <v>11600</v>
      </c>
      <c r="C5668" s="117">
        <v>2535</v>
      </c>
    </row>
    <row r="5669" spans="1:3" x14ac:dyDescent="0.25">
      <c r="A5669" s="115">
        <v>4280106</v>
      </c>
      <c r="B5669" s="115" t="s">
        <v>5473</v>
      </c>
      <c r="C5669" s="117">
        <v>2535</v>
      </c>
    </row>
    <row r="5670" spans="1:3" x14ac:dyDescent="0.25">
      <c r="A5670" s="115">
        <v>4280107</v>
      </c>
      <c r="B5670" s="115" t="s">
        <v>5474</v>
      </c>
      <c r="C5670" s="117">
        <v>793.07</v>
      </c>
    </row>
    <row r="5671" spans="1:3" x14ac:dyDescent="0.25">
      <c r="A5671" s="115">
        <v>4280108</v>
      </c>
      <c r="B5671" s="115" t="s">
        <v>5475</v>
      </c>
      <c r="C5671" s="117">
        <v>2535</v>
      </c>
    </row>
    <row r="5672" spans="1:3" x14ac:dyDescent="0.25">
      <c r="A5672" s="115">
        <v>4280105</v>
      </c>
      <c r="B5672" s="115" t="s">
        <v>5476</v>
      </c>
      <c r="C5672" s="117">
        <v>1774.5</v>
      </c>
    </row>
    <row r="5673" spans="1:3" x14ac:dyDescent="0.25">
      <c r="A5673" s="115">
        <v>4280110</v>
      </c>
      <c r="B5673" s="115" t="s">
        <v>5477</v>
      </c>
      <c r="C5673" s="117">
        <v>2535</v>
      </c>
    </row>
    <row r="5674" spans="1:3" x14ac:dyDescent="0.25">
      <c r="A5674" s="115">
        <v>4280109</v>
      </c>
      <c r="B5674" s="115" t="s">
        <v>5478</v>
      </c>
      <c r="C5674" s="117">
        <v>793.07</v>
      </c>
    </row>
    <row r="5675" spans="1:3" x14ac:dyDescent="0.25">
      <c r="A5675" s="115">
        <v>4280103</v>
      </c>
      <c r="B5675" s="115" t="s">
        <v>5479</v>
      </c>
      <c r="C5675" s="117">
        <v>793.07</v>
      </c>
    </row>
    <row r="5676" spans="1:3" x14ac:dyDescent="0.25">
      <c r="A5676" s="115">
        <v>4280104</v>
      </c>
      <c r="B5676" s="115" t="s">
        <v>5480</v>
      </c>
      <c r="C5676" s="117">
        <v>793.07</v>
      </c>
    </row>
    <row r="5677" spans="1:3" x14ac:dyDescent="0.25">
      <c r="A5677" s="115">
        <v>4280101</v>
      </c>
      <c r="B5677" s="115" t="s">
        <v>5481</v>
      </c>
      <c r="C5677" s="117">
        <v>793.07</v>
      </c>
    </row>
    <row r="5678" spans="1:3" x14ac:dyDescent="0.25">
      <c r="A5678" s="115">
        <v>4280102</v>
      </c>
      <c r="B5678" s="115" t="s">
        <v>5482</v>
      </c>
      <c r="C5678" s="117">
        <v>793.07</v>
      </c>
    </row>
    <row r="5679" spans="1:3" x14ac:dyDescent="0.25">
      <c r="A5679" s="115">
        <v>4289329</v>
      </c>
      <c r="B5679" s="115" t="s">
        <v>11925</v>
      </c>
      <c r="C5679" s="117">
        <v>1119.17</v>
      </c>
    </row>
    <row r="5680" spans="1:3" x14ac:dyDescent="0.25">
      <c r="A5680" s="115">
        <v>4283208</v>
      </c>
      <c r="B5680" s="115" t="s">
        <v>5483</v>
      </c>
      <c r="C5680" s="117">
        <v>2393.38</v>
      </c>
    </row>
    <row r="5681" spans="1:3" x14ac:dyDescent="0.25">
      <c r="A5681" s="115">
        <v>4289213</v>
      </c>
      <c r="B5681" s="115" t="s">
        <v>11926</v>
      </c>
      <c r="C5681" s="117">
        <v>966.19</v>
      </c>
    </row>
    <row r="5682" spans="1:3" x14ac:dyDescent="0.25">
      <c r="A5682" s="115">
        <v>4289220</v>
      </c>
      <c r="B5682" s="115" t="s">
        <v>11927</v>
      </c>
      <c r="C5682" s="117">
        <v>966.19</v>
      </c>
    </row>
    <row r="5683" spans="1:3" x14ac:dyDescent="0.25">
      <c r="A5683" s="115">
        <v>4289237</v>
      </c>
      <c r="B5683" s="115" t="s">
        <v>11928</v>
      </c>
      <c r="C5683" s="117">
        <v>966.19</v>
      </c>
    </row>
    <row r="5684" spans="1:3" x14ac:dyDescent="0.25">
      <c r="A5684" s="115">
        <v>4289244</v>
      </c>
      <c r="B5684" s="115" t="s">
        <v>11929</v>
      </c>
      <c r="C5684" s="117">
        <v>966.19</v>
      </c>
    </row>
    <row r="5685" spans="1:3" x14ac:dyDescent="0.25">
      <c r="A5685" s="115">
        <v>4288840</v>
      </c>
      <c r="B5685" s="115" t="s">
        <v>5484</v>
      </c>
      <c r="C5685" s="117">
        <v>218.82</v>
      </c>
    </row>
    <row r="5686" spans="1:3" x14ac:dyDescent="0.25">
      <c r="A5686" s="115">
        <v>4289796</v>
      </c>
      <c r="B5686" s="115" t="s">
        <v>11930</v>
      </c>
      <c r="C5686" s="117">
        <v>1119.17</v>
      </c>
    </row>
    <row r="5687" spans="1:3" x14ac:dyDescent="0.25">
      <c r="A5687" s="115">
        <v>4289841</v>
      </c>
      <c r="B5687" s="115" t="s">
        <v>11931</v>
      </c>
      <c r="C5687" s="117">
        <v>966.19</v>
      </c>
    </row>
    <row r="5688" spans="1:3" x14ac:dyDescent="0.25">
      <c r="A5688" s="115">
        <v>4280372</v>
      </c>
      <c r="B5688" s="115" t="s">
        <v>5485</v>
      </c>
      <c r="C5688" s="117">
        <v>3894.55</v>
      </c>
    </row>
    <row r="5689" spans="1:3" x14ac:dyDescent="0.25">
      <c r="A5689" s="115">
        <v>4280382</v>
      </c>
      <c r="B5689" s="115" t="s">
        <v>5486</v>
      </c>
      <c r="C5689" s="117">
        <v>2535</v>
      </c>
    </row>
    <row r="5690" spans="1:3" x14ac:dyDescent="0.25">
      <c r="A5690" s="115">
        <v>4280371</v>
      </c>
      <c r="B5690" s="115" t="s">
        <v>5487</v>
      </c>
      <c r="C5690" s="117">
        <v>3894.55</v>
      </c>
    </row>
    <row r="5691" spans="1:3" x14ac:dyDescent="0.25">
      <c r="A5691" s="115">
        <v>4289858</v>
      </c>
      <c r="B5691" s="115" t="s">
        <v>5486</v>
      </c>
      <c r="C5691" s="117">
        <v>966.19</v>
      </c>
    </row>
    <row r="5692" spans="1:3" x14ac:dyDescent="0.25">
      <c r="A5692" s="115">
        <v>4280384</v>
      </c>
      <c r="B5692" s="115" t="s">
        <v>5488</v>
      </c>
      <c r="C5692" s="117">
        <v>2535</v>
      </c>
    </row>
    <row r="5693" spans="1:3" x14ac:dyDescent="0.25">
      <c r="A5693" s="115">
        <v>4289865</v>
      </c>
      <c r="B5693" s="115" t="s">
        <v>11932</v>
      </c>
      <c r="C5693" s="117">
        <v>966.19</v>
      </c>
    </row>
    <row r="5694" spans="1:3" x14ac:dyDescent="0.25">
      <c r="A5694" s="115">
        <v>4289872</v>
      </c>
      <c r="B5694" s="115" t="s">
        <v>11933</v>
      </c>
      <c r="C5694" s="117">
        <v>966.19</v>
      </c>
    </row>
    <row r="5695" spans="1:3" x14ac:dyDescent="0.25">
      <c r="A5695" s="115">
        <v>4280387</v>
      </c>
      <c r="B5695" s="115" t="s">
        <v>5489</v>
      </c>
      <c r="C5695" s="117">
        <v>2535</v>
      </c>
    </row>
    <row r="5696" spans="1:3" x14ac:dyDescent="0.25">
      <c r="A5696" s="115">
        <v>4289305</v>
      </c>
      <c r="B5696" s="115" t="s">
        <v>11934</v>
      </c>
      <c r="C5696" s="117">
        <v>1119.17</v>
      </c>
    </row>
    <row r="5697" spans="1:3" x14ac:dyDescent="0.25">
      <c r="A5697" s="115">
        <v>4289702</v>
      </c>
      <c r="B5697" s="115" t="s">
        <v>11935</v>
      </c>
      <c r="C5697" s="117">
        <v>1119.17</v>
      </c>
    </row>
    <row r="5698" spans="1:3" x14ac:dyDescent="0.25">
      <c r="A5698" s="115">
        <v>4280373</v>
      </c>
      <c r="B5698" s="115" t="s">
        <v>5490</v>
      </c>
      <c r="C5698" s="117">
        <v>417.78</v>
      </c>
    </row>
    <row r="5699" spans="1:3" x14ac:dyDescent="0.25">
      <c r="A5699" s="115">
        <v>4286100</v>
      </c>
      <c r="B5699" s="115" t="s">
        <v>5491</v>
      </c>
      <c r="C5699" s="117">
        <v>1142.02</v>
      </c>
    </row>
    <row r="5700" spans="1:3" x14ac:dyDescent="0.25">
      <c r="A5700" s="115">
        <v>4280374</v>
      </c>
      <c r="B5700" s="115" t="s">
        <v>5492</v>
      </c>
      <c r="C5700" s="117">
        <v>3115.64</v>
      </c>
    </row>
    <row r="5701" spans="1:3" x14ac:dyDescent="0.25">
      <c r="A5701" s="115">
        <v>4280569</v>
      </c>
      <c r="B5701" s="115" t="s">
        <v>5493</v>
      </c>
      <c r="C5701" s="117">
        <v>954.78</v>
      </c>
    </row>
    <row r="5702" spans="1:3" x14ac:dyDescent="0.25">
      <c r="A5702" s="115">
        <v>4280568</v>
      </c>
      <c r="B5702" s="115" t="s">
        <v>5494</v>
      </c>
      <c r="C5702" s="117">
        <v>954.78</v>
      </c>
    </row>
    <row r="5703" spans="1:3" x14ac:dyDescent="0.25">
      <c r="A5703" s="115">
        <v>4280566</v>
      </c>
      <c r="B5703" s="115" t="s">
        <v>5495</v>
      </c>
      <c r="C5703" s="117">
        <v>1363.97</v>
      </c>
    </row>
    <row r="5704" spans="1:3" x14ac:dyDescent="0.25">
      <c r="A5704" s="115">
        <v>4280567</v>
      </c>
      <c r="B5704" s="115" t="s">
        <v>5496</v>
      </c>
      <c r="C5704" s="117">
        <v>1363.97</v>
      </c>
    </row>
    <row r="5705" spans="1:3" x14ac:dyDescent="0.25">
      <c r="A5705" s="115">
        <v>4289406</v>
      </c>
      <c r="B5705" s="115" t="s">
        <v>11936</v>
      </c>
      <c r="C5705" s="117">
        <v>1046.71</v>
      </c>
    </row>
    <row r="5706" spans="1:3" x14ac:dyDescent="0.25">
      <c r="A5706" s="115">
        <v>4289483</v>
      </c>
      <c r="B5706" s="115" t="s">
        <v>11937</v>
      </c>
      <c r="C5706" s="117">
        <v>1046.71</v>
      </c>
    </row>
    <row r="5707" spans="1:3" x14ac:dyDescent="0.25">
      <c r="A5707" s="115">
        <v>4289476</v>
      </c>
      <c r="B5707" s="115" t="s">
        <v>11938</v>
      </c>
      <c r="C5707" s="117">
        <v>1046.71</v>
      </c>
    </row>
    <row r="5708" spans="1:3" x14ac:dyDescent="0.25">
      <c r="A5708" s="115">
        <v>4289490</v>
      </c>
      <c r="B5708" s="115" t="s">
        <v>11939</v>
      </c>
      <c r="C5708" s="117">
        <v>1046.71</v>
      </c>
    </row>
    <row r="5709" spans="1:3" x14ac:dyDescent="0.25">
      <c r="A5709" s="115">
        <v>4288910</v>
      </c>
      <c r="B5709" s="115" t="s">
        <v>5497</v>
      </c>
      <c r="C5709" s="117">
        <v>246.18</v>
      </c>
    </row>
    <row r="5710" spans="1:3" x14ac:dyDescent="0.25">
      <c r="A5710" s="115">
        <v>4288920</v>
      </c>
      <c r="B5710" s="115" t="s">
        <v>5498</v>
      </c>
      <c r="C5710" s="117">
        <v>246.18</v>
      </c>
    </row>
    <row r="5711" spans="1:3" x14ac:dyDescent="0.25">
      <c r="A5711" s="115">
        <v>4288930</v>
      </c>
      <c r="B5711" s="115" t="s">
        <v>5499</v>
      </c>
      <c r="C5711" s="117">
        <v>246.18</v>
      </c>
    </row>
    <row r="5712" spans="1:3" x14ac:dyDescent="0.25">
      <c r="A5712" s="115">
        <v>4288940</v>
      </c>
      <c r="B5712" s="115" t="s">
        <v>5500</v>
      </c>
      <c r="C5712" s="117">
        <v>246.18</v>
      </c>
    </row>
    <row r="5713" spans="1:3" x14ac:dyDescent="0.25">
      <c r="A5713" s="115">
        <v>4289719</v>
      </c>
      <c r="B5713" s="115" t="s">
        <v>11940</v>
      </c>
      <c r="C5713" s="117">
        <v>1119.17</v>
      </c>
    </row>
    <row r="5714" spans="1:3" x14ac:dyDescent="0.25">
      <c r="A5714" s="115">
        <v>4289711</v>
      </c>
      <c r="B5714" s="115" t="s">
        <v>11941</v>
      </c>
      <c r="C5714" s="117">
        <v>1119.17</v>
      </c>
    </row>
    <row r="5715" spans="1:3" x14ac:dyDescent="0.25">
      <c r="A5715" s="115">
        <v>4289351</v>
      </c>
      <c r="B5715" s="115" t="s">
        <v>11942</v>
      </c>
      <c r="C5715" s="117">
        <v>1046.71</v>
      </c>
    </row>
    <row r="5716" spans="1:3" x14ac:dyDescent="0.25">
      <c r="A5716" s="115">
        <v>4280370</v>
      </c>
      <c r="B5716" s="115" t="s">
        <v>5501</v>
      </c>
      <c r="C5716" s="117">
        <v>3894.55</v>
      </c>
    </row>
    <row r="5717" spans="1:3" x14ac:dyDescent="0.25">
      <c r="A5717" s="115">
        <v>4280383</v>
      </c>
      <c r="B5717" s="115" t="s">
        <v>5502</v>
      </c>
      <c r="C5717" s="117">
        <v>2535</v>
      </c>
    </row>
    <row r="5718" spans="1:3" x14ac:dyDescent="0.25">
      <c r="A5718" s="115">
        <v>4289552</v>
      </c>
      <c r="B5718" s="115" t="s">
        <v>11943</v>
      </c>
      <c r="C5718" s="117">
        <v>1119.17</v>
      </c>
    </row>
    <row r="5719" spans="1:3" x14ac:dyDescent="0.25">
      <c r="A5719" s="115">
        <v>4289607</v>
      </c>
      <c r="B5719" s="115" t="s">
        <v>11944</v>
      </c>
      <c r="C5719" s="117">
        <v>1046.71</v>
      </c>
    </row>
    <row r="5720" spans="1:3" x14ac:dyDescent="0.25">
      <c r="A5720" s="115">
        <v>4289614</v>
      </c>
      <c r="B5720" s="115" t="s">
        <v>11945</v>
      </c>
      <c r="C5720" s="117">
        <v>1046.71</v>
      </c>
    </row>
    <row r="5721" spans="1:3" x14ac:dyDescent="0.25">
      <c r="A5721" s="115">
        <v>4289695</v>
      </c>
      <c r="B5721" s="115" t="s">
        <v>11946</v>
      </c>
      <c r="C5721" s="117">
        <v>1046.71</v>
      </c>
    </row>
    <row r="5722" spans="1:3" x14ac:dyDescent="0.25">
      <c r="A5722" s="115">
        <v>4289621</v>
      </c>
      <c r="B5722" s="115" t="s">
        <v>11947</v>
      </c>
      <c r="C5722" s="117">
        <v>1046.71</v>
      </c>
    </row>
    <row r="5723" spans="1:3" x14ac:dyDescent="0.25">
      <c r="A5723" s="115">
        <v>4280380</v>
      </c>
      <c r="B5723" s="115" t="s">
        <v>5503</v>
      </c>
      <c r="C5723" s="117">
        <v>2655.37</v>
      </c>
    </row>
    <row r="5724" spans="1:3" x14ac:dyDescent="0.25">
      <c r="A5724" s="115">
        <v>4280389</v>
      </c>
      <c r="B5724" s="115" t="s">
        <v>5504</v>
      </c>
      <c r="C5724" s="117">
        <v>2655.37</v>
      </c>
    </row>
    <row r="5725" spans="1:3" x14ac:dyDescent="0.25">
      <c r="A5725" s="115">
        <v>4280408</v>
      </c>
      <c r="B5725" s="115" t="s">
        <v>5505</v>
      </c>
      <c r="C5725" s="117">
        <v>2386.3000000000002</v>
      </c>
    </row>
    <row r="5726" spans="1:3" x14ac:dyDescent="0.25">
      <c r="A5726" s="115">
        <v>4280407</v>
      </c>
      <c r="B5726" s="115" t="s">
        <v>5506</v>
      </c>
      <c r="C5726" s="117">
        <v>2386.3000000000002</v>
      </c>
    </row>
    <row r="5727" spans="1:3" x14ac:dyDescent="0.25">
      <c r="A5727" s="115">
        <v>4289569</v>
      </c>
      <c r="B5727" s="115" t="s">
        <v>11948</v>
      </c>
      <c r="C5727" s="117">
        <v>1119.17</v>
      </c>
    </row>
    <row r="5728" spans="1:3" x14ac:dyDescent="0.25">
      <c r="A5728" s="115">
        <v>4289368</v>
      </c>
      <c r="B5728" s="115" t="s">
        <v>11949</v>
      </c>
      <c r="C5728" s="117">
        <v>1046.71</v>
      </c>
    </row>
    <row r="5729" spans="1:3" x14ac:dyDescent="0.25">
      <c r="A5729" s="115">
        <v>4289375</v>
      </c>
      <c r="B5729" s="115" t="s">
        <v>11950</v>
      </c>
      <c r="C5729" s="117">
        <v>1046.71</v>
      </c>
    </row>
    <row r="5730" spans="1:3" x14ac:dyDescent="0.25">
      <c r="A5730" s="115">
        <v>4280386</v>
      </c>
      <c r="B5730" s="115" t="s">
        <v>5507</v>
      </c>
      <c r="C5730" s="117">
        <v>2535</v>
      </c>
    </row>
    <row r="5731" spans="1:3" x14ac:dyDescent="0.25">
      <c r="A5731" s="115">
        <v>4289399</v>
      </c>
      <c r="B5731" s="115" t="s">
        <v>11951</v>
      </c>
      <c r="C5731" s="117">
        <v>1119.17</v>
      </c>
    </row>
    <row r="5732" spans="1:3" x14ac:dyDescent="0.25">
      <c r="A5732" s="115">
        <v>4280388</v>
      </c>
      <c r="B5732" s="115" t="s">
        <v>5508</v>
      </c>
      <c r="C5732" s="117">
        <v>2535</v>
      </c>
    </row>
    <row r="5733" spans="1:3" x14ac:dyDescent="0.25">
      <c r="A5733" s="115">
        <v>4280375</v>
      </c>
      <c r="B5733" s="115" t="s">
        <v>5509</v>
      </c>
      <c r="C5733" s="117">
        <v>3271.42</v>
      </c>
    </row>
    <row r="5734" spans="1:3" x14ac:dyDescent="0.25">
      <c r="A5734" s="115">
        <v>4289136</v>
      </c>
      <c r="B5734" s="115" t="s">
        <v>11952</v>
      </c>
      <c r="C5734" s="117">
        <v>1119.17</v>
      </c>
    </row>
    <row r="5735" spans="1:3" x14ac:dyDescent="0.25">
      <c r="A5735" s="115">
        <v>4289167</v>
      </c>
      <c r="B5735" s="115" t="s">
        <v>11953</v>
      </c>
      <c r="C5735" s="117">
        <v>1119.17</v>
      </c>
    </row>
    <row r="5736" spans="1:3" x14ac:dyDescent="0.25">
      <c r="A5736" s="115">
        <v>4289150</v>
      </c>
      <c r="B5736" s="115" t="s">
        <v>11954</v>
      </c>
      <c r="C5736" s="117">
        <v>1119.17</v>
      </c>
    </row>
    <row r="5737" spans="1:3" x14ac:dyDescent="0.25">
      <c r="A5737" s="115">
        <v>4289143</v>
      </c>
      <c r="B5737" s="115" t="s">
        <v>11955</v>
      </c>
      <c r="C5737" s="117">
        <v>1119.17</v>
      </c>
    </row>
    <row r="5738" spans="1:3" x14ac:dyDescent="0.25">
      <c r="A5738" s="115">
        <v>4289382</v>
      </c>
      <c r="B5738" s="115" t="s">
        <v>11956</v>
      </c>
      <c r="C5738" s="117">
        <v>1046.71</v>
      </c>
    </row>
    <row r="5739" spans="1:3" x14ac:dyDescent="0.25">
      <c r="A5739" s="115">
        <v>4280379</v>
      </c>
      <c r="B5739" s="115" t="s">
        <v>5510</v>
      </c>
      <c r="C5739" s="117">
        <v>3271.42</v>
      </c>
    </row>
    <row r="5740" spans="1:3" x14ac:dyDescent="0.25">
      <c r="A5740" s="115">
        <v>4280377</v>
      </c>
      <c r="B5740" s="115" t="s">
        <v>5511</v>
      </c>
      <c r="C5740" s="117">
        <v>3271.42</v>
      </c>
    </row>
    <row r="5741" spans="1:3" x14ac:dyDescent="0.25">
      <c r="A5741" s="115">
        <v>4280378</v>
      </c>
      <c r="B5741" s="115" t="s">
        <v>5512</v>
      </c>
      <c r="C5741" s="117">
        <v>3271.42</v>
      </c>
    </row>
    <row r="5742" spans="1:3" x14ac:dyDescent="0.25">
      <c r="A5742" s="115">
        <v>4280376</v>
      </c>
      <c r="B5742" s="115" t="s">
        <v>5513</v>
      </c>
      <c r="C5742" s="117">
        <v>3271.42</v>
      </c>
    </row>
    <row r="5743" spans="1:3" x14ac:dyDescent="0.25">
      <c r="A5743" s="115">
        <v>4289726</v>
      </c>
      <c r="B5743" s="115" t="s">
        <v>11957</v>
      </c>
      <c r="C5743" s="117">
        <v>1119.17</v>
      </c>
    </row>
    <row r="5744" spans="1:3" x14ac:dyDescent="0.25">
      <c r="A5744" s="115">
        <v>4289545</v>
      </c>
      <c r="B5744" s="115" t="s">
        <v>11958</v>
      </c>
      <c r="C5744" s="117">
        <v>1119.17</v>
      </c>
    </row>
    <row r="5745" spans="1:3" x14ac:dyDescent="0.25">
      <c r="A5745" s="115">
        <v>4280385</v>
      </c>
      <c r="B5745" s="115" t="s">
        <v>5514</v>
      </c>
      <c r="C5745" s="117">
        <v>2535</v>
      </c>
    </row>
    <row r="5746" spans="1:3" x14ac:dyDescent="0.25">
      <c r="A5746" s="115">
        <v>4280395</v>
      </c>
      <c r="B5746" s="115" t="s">
        <v>5515</v>
      </c>
      <c r="C5746" s="117">
        <v>1118.79</v>
      </c>
    </row>
    <row r="5747" spans="1:3" x14ac:dyDescent="0.25">
      <c r="A5747" s="115">
        <v>4280393</v>
      </c>
      <c r="B5747" s="115" t="s">
        <v>5516</v>
      </c>
      <c r="C5747" s="117">
        <v>1260.42</v>
      </c>
    </row>
    <row r="5748" spans="1:3" x14ac:dyDescent="0.25">
      <c r="A5748" s="115">
        <v>4280392</v>
      </c>
      <c r="B5748" s="115" t="s">
        <v>5517</v>
      </c>
      <c r="C5748" s="117">
        <v>1260.42</v>
      </c>
    </row>
    <row r="5749" spans="1:3" x14ac:dyDescent="0.25">
      <c r="A5749" s="115">
        <v>4280394</v>
      </c>
      <c r="B5749" s="115" t="s">
        <v>5518</v>
      </c>
      <c r="C5749" s="117">
        <v>1118.79</v>
      </c>
    </row>
    <row r="5750" spans="1:3" x14ac:dyDescent="0.25">
      <c r="A5750" s="115">
        <v>4280390</v>
      </c>
      <c r="B5750" s="115" t="s">
        <v>5519</v>
      </c>
      <c r="C5750" s="117">
        <v>1118.79</v>
      </c>
    </row>
    <row r="5751" spans="1:3" x14ac:dyDescent="0.25">
      <c r="A5751" s="115">
        <v>4280391</v>
      </c>
      <c r="B5751" s="115" t="s">
        <v>5520</v>
      </c>
      <c r="C5751" s="117">
        <v>1118.79</v>
      </c>
    </row>
    <row r="5752" spans="1:3" x14ac:dyDescent="0.25">
      <c r="A5752" s="115">
        <v>4280520</v>
      </c>
      <c r="B5752" s="115" t="s">
        <v>5521</v>
      </c>
      <c r="C5752" s="117">
        <v>265.25</v>
      </c>
    </row>
    <row r="5753" spans="1:3" x14ac:dyDescent="0.25">
      <c r="A5753" s="115">
        <v>4280535</v>
      </c>
      <c r="B5753" s="115" t="s">
        <v>5522</v>
      </c>
      <c r="C5753" s="117">
        <v>265.25</v>
      </c>
    </row>
    <row r="5754" spans="1:3" x14ac:dyDescent="0.25">
      <c r="A5754" s="115">
        <v>4280554</v>
      </c>
      <c r="B5754" s="115" t="s">
        <v>5523</v>
      </c>
      <c r="C5754" s="117">
        <v>820.1</v>
      </c>
    </row>
    <row r="5755" spans="1:3" x14ac:dyDescent="0.25">
      <c r="A5755" s="115">
        <v>4280552</v>
      </c>
      <c r="B5755" s="115" t="s">
        <v>5524</v>
      </c>
      <c r="C5755" s="117">
        <v>820.1</v>
      </c>
    </row>
    <row r="5756" spans="1:3" x14ac:dyDescent="0.25">
      <c r="A5756" s="115">
        <v>4280555</v>
      </c>
      <c r="B5756" s="115" t="s">
        <v>5525</v>
      </c>
      <c r="C5756" s="117">
        <v>265.25</v>
      </c>
    </row>
    <row r="5757" spans="1:3" x14ac:dyDescent="0.25">
      <c r="A5757" s="115">
        <v>4280551</v>
      </c>
      <c r="B5757" s="115" t="s">
        <v>5526</v>
      </c>
      <c r="C5757" s="117">
        <v>820.1</v>
      </c>
    </row>
    <row r="5758" spans="1:3" x14ac:dyDescent="0.25">
      <c r="A5758" s="115">
        <v>4280515</v>
      </c>
      <c r="B5758" s="115" t="s">
        <v>5527</v>
      </c>
      <c r="C5758" s="117">
        <v>265.25</v>
      </c>
    </row>
    <row r="5759" spans="1:3" x14ac:dyDescent="0.25">
      <c r="A5759" s="115">
        <v>4280553</v>
      </c>
      <c r="B5759" s="115" t="s">
        <v>5528</v>
      </c>
      <c r="C5759" s="117">
        <v>820.1</v>
      </c>
    </row>
    <row r="5760" spans="1:3" x14ac:dyDescent="0.25">
      <c r="A5760" s="115">
        <v>4280545</v>
      </c>
      <c r="B5760" s="115" t="s">
        <v>5529</v>
      </c>
      <c r="C5760" s="117">
        <v>265.25</v>
      </c>
    </row>
    <row r="5761" spans="1:3" x14ac:dyDescent="0.25">
      <c r="A5761" s="115">
        <v>4280590</v>
      </c>
      <c r="B5761" s="115" t="s">
        <v>5530</v>
      </c>
      <c r="C5761" s="117">
        <v>530.5</v>
      </c>
    </row>
    <row r="5762" spans="1:3" x14ac:dyDescent="0.25">
      <c r="A5762" s="115">
        <v>4280580</v>
      </c>
      <c r="B5762" s="115" t="s">
        <v>5531</v>
      </c>
      <c r="C5762" s="117">
        <v>530.5</v>
      </c>
    </row>
    <row r="5763" spans="1:3" x14ac:dyDescent="0.25">
      <c r="A5763" s="115">
        <v>4280006</v>
      </c>
      <c r="B5763" s="115" t="s">
        <v>5532</v>
      </c>
      <c r="C5763" s="117">
        <v>1911.87</v>
      </c>
    </row>
    <row r="5764" spans="1:3" x14ac:dyDescent="0.25">
      <c r="A5764" s="115">
        <v>4280007</v>
      </c>
      <c r="B5764" s="115" t="s">
        <v>5533</v>
      </c>
      <c r="C5764" s="117">
        <v>835.56</v>
      </c>
    </row>
    <row r="5765" spans="1:3" x14ac:dyDescent="0.25">
      <c r="A5765" s="115">
        <v>4280002</v>
      </c>
      <c r="B5765" s="115" t="s">
        <v>5534</v>
      </c>
      <c r="C5765" s="117">
        <v>4932.62</v>
      </c>
    </row>
    <row r="5766" spans="1:3" x14ac:dyDescent="0.25">
      <c r="A5766" s="115">
        <v>4280004</v>
      </c>
      <c r="B5766" s="115" t="s">
        <v>5535</v>
      </c>
      <c r="C5766" s="117">
        <v>1911.87</v>
      </c>
    </row>
    <row r="5767" spans="1:3" x14ac:dyDescent="0.25">
      <c r="A5767" s="115">
        <v>4280008</v>
      </c>
      <c r="B5767" s="115" t="s">
        <v>5536</v>
      </c>
      <c r="C5767" s="117">
        <v>1911.87</v>
      </c>
    </row>
    <row r="5768" spans="1:3" x14ac:dyDescent="0.25">
      <c r="A5768" s="115">
        <v>4280001</v>
      </c>
      <c r="B5768" s="115" t="s">
        <v>5537</v>
      </c>
      <c r="C5768" s="117">
        <v>1911.87</v>
      </c>
    </row>
    <row r="5769" spans="1:3" x14ac:dyDescent="0.25">
      <c r="A5769" s="115">
        <v>4280005</v>
      </c>
      <c r="B5769" s="115" t="s">
        <v>5538</v>
      </c>
      <c r="C5769" s="117">
        <v>1911.87</v>
      </c>
    </row>
    <row r="5770" spans="1:3" x14ac:dyDescent="0.25">
      <c r="A5770" s="115">
        <v>4280003</v>
      </c>
      <c r="B5770" s="115" t="s">
        <v>5539</v>
      </c>
      <c r="C5770" s="117">
        <v>1911.87</v>
      </c>
    </row>
    <row r="5771" spans="1:3" x14ac:dyDescent="0.25">
      <c r="A5771" s="115">
        <v>4287400</v>
      </c>
      <c r="B5771" s="115" t="s">
        <v>5540</v>
      </c>
      <c r="C5771" s="117">
        <v>2117.2199999999998</v>
      </c>
    </row>
    <row r="5772" spans="1:3" x14ac:dyDescent="0.25">
      <c r="A5772" s="115">
        <v>4287401</v>
      </c>
      <c r="B5772" s="115" t="s">
        <v>5541</v>
      </c>
      <c r="C5772" s="117">
        <v>2117.2199999999998</v>
      </c>
    </row>
    <row r="5773" spans="1:3" x14ac:dyDescent="0.25">
      <c r="A5773" s="115">
        <v>4287402</v>
      </c>
      <c r="B5773" s="115" t="s">
        <v>5542</v>
      </c>
      <c r="C5773" s="117">
        <v>2117.2199999999998</v>
      </c>
    </row>
    <row r="5774" spans="1:3" x14ac:dyDescent="0.25">
      <c r="A5774" s="115">
        <v>4287404</v>
      </c>
      <c r="B5774" s="115" t="s">
        <v>5543</v>
      </c>
      <c r="C5774" s="117">
        <v>2117.2199999999998</v>
      </c>
    </row>
    <row r="5775" spans="1:3" x14ac:dyDescent="0.25">
      <c r="A5775" s="115">
        <v>4289704</v>
      </c>
      <c r="B5775" s="115" t="s">
        <v>11959</v>
      </c>
      <c r="C5775" s="117">
        <v>1119.17</v>
      </c>
    </row>
    <row r="5776" spans="1:3" x14ac:dyDescent="0.25">
      <c r="A5776" s="115">
        <v>4283207</v>
      </c>
      <c r="B5776" s="115" t="s">
        <v>5544</v>
      </c>
      <c r="C5776" s="117">
        <v>3894.55</v>
      </c>
    </row>
    <row r="5777" spans="1:3" x14ac:dyDescent="0.25">
      <c r="A5777" s="115">
        <v>4289312</v>
      </c>
      <c r="B5777" s="115" t="s">
        <v>11960</v>
      </c>
      <c r="C5777" s="117">
        <v>1119.17</v>
      </c>
    </row>
    <row r="5778" spans="1:3" x14ac:dyDescent="0.25">
      <c r="A5778" s="115">
        <v>4280396</v>
      </c>
      <c r="B5778" s="115" t="s">
        <v>5545</v>
      </c>
      <c r="C5778" s="117">
        <v>4361.8999999999996</v>
      </c>
    </row>
    <row r="5779" spans="1:3" x14ac:dyDescent="0.25">
      <c r="A5779" s="115">
        <v>4280397</v>
      </c>
      <c r="B5779" s="115" t="s">
        <v>12353</v>
      </c>
      <c r="C5779" s="117">
        <v>4361.8999999999996</v>
      </c>
    </row>
    <row r="5780" spans="1:3" x14ac:dyDescent="0.25">
      <c r="A5780" s="115">
        <v>4280010</v>
      </c>
      <c r="B5780" s="115" t="s">
        <v>5546</v>
      </c>
      <c r="C5780" s="117">
        <v>4361.8999999999996</v>
      </c>
    </row>
    <row r="5781" spans="1:3" x14ac:dyDescent="0.25">
      <c r="A5781" s="115">
        <v>4280011</v>
      </c>
      <c r="B5781" s="115" t="s">
        <v>5547</v>
      </c>
      <c r="C5781" s="117">
        <v>4361.8999999999996</v>
      </c>
    </row>
    <row r="5782" spans="1:3" x14ac:dyDescent="0.25">
      <c r="A5782" s="115">
        <v>4280205</v>
      </c>
      <c r="B5782" s="115" t="s">
        <v>5548</v>
      </c>
      <c r="C5782" s="117">
        <v>902.08</v>
      </c>
    </row>
    <row r="5783" spans="1:3" x14ac:dyDescent="0.25">
      <c r="A5783" s="115">
        <v>4280207</v>
      </c>
      <c r="B5783" s="115" t="s">
        <v>5549</v>
      </c>
      <c r="C5783" s="117">
        <v>902.08</v>
      </c>
    </row>
    <row r="5784" spans="1:3" x14ac:dyDescent="0.25">
      <c r="A5784" s="115">
        <v>4280208</v>
      </c>
      <c r="B5784" s="115" t="s">
        <v>5550</v>
      </c>
      <c r="C5784" s="117">
        <v>902.08</v>
      </c>
    </row>
    <row r="5785" spans="1:3" x14ac:dyDescent="0.25">
      <c r="A5785" s="115">
        <v>4280202</v>
      </c>
      <c r="B5785" s="115" t="s">
        <v>5551</v>
      </c>
      <c r="C5785" s="117">
        <v>902.08</v>
      </c>
    </row>
    <row r="5786" spans="1:3" x14ac:dyDescent="0.25">
      <c r="A5786" s="115">
        <v>4280209</v>
      </c>
      <c r="B5786" s="115" t="s">
        <v>5552</v>
      </c>
      <c r="C5786" s="117">
        <v>902.08</v>
      </c>
    </row>
    <row r="5787" spans="1:3" x14ac:dyDescent="0.25">
      <c r="A5787" s="115">
        <v>4280206</v>
      </c>
      <c r="B5787" s="115" t="s">
        <v>5553</v>
      </c>
      <c r="C5787" s="117">
        <v>902.08</v>
      </c>
    </row>
    <row r="5788" spans="1:3" x14ac:dyDescent="0.25">
      <c r="A5788" s="115">
        <v>4280361</v>
      </c>
      <c r="B5788" s="115" t="s">
        <v>5554</v>
      </c>
      <c r="C5788" s="117">
        <v>3894.55</v>
      </c>
    </row>
    <row r="5789" spans="1:3" x14ac:dyDescent="0.25">
      <c r="A5789" s="115">
        <v>4280364</v>
      </c>
      <c r="B5789" s="115" t="s">
        <v>5555</v>
      </c>
      <c r="C5789" s="117">
        <v>3894.55</v>
      </c>
    </row>
    <row r="5790" spans="1:3" x14ac:dyDescent="0.25">
      <c r="A5790" s="115">
        <v>4280363</v>
      </c>
      <c r="B5790" s="115" t="s">
        <v>5556</v>
      </c>
      <c r="C5790" s="117">
        <v>3894.55</v>
      </c>
    </row>
    <row r="5791" spans="1:3" x14ac:dyDescent="0.25">
      <c r="A5791" s="115">
        <v>4280362</v>
      </c>
      <c r="B5791" s="115" t="s">
        <v>5557</v>
      </c>
      <c r="C5791" s="117">
        <v>3894.55</v>
      </c>
    </row>
    <row r="5792" spans="1:3" x14ac:dyDescent="0.25">
      <c r="A5792" s="115">
        <v>4280381</v>
      </c>
      <c r="B5792" s="115" t="s">
        <v>5558</v>
      </c>
      <c r="C5792" s="117">
        <v>2535</v>
      </c>
    </row>
    <row r="5793" spans="1:3" x14ac:dyDescent="0.25">
      <c r="A5793" s="115">
        <v>4280401</v>
      </c>
      <c r="B5793" s="115" t="s">
        <v>5559</v>
      </c>
      <c r="C5793" s="117">
        <v>3271.42</v>
      </c>
    </row>
    <row r="5794" spans="1:3" x14ac:dyDescent="0.25">
      <c r="A5794" s="115">
        <v>4280402</v>
      </c>
      <c r="B5794" s="115" t="s">
        <v>5560</v>
      </c>
      <c r="C5794" s="117">
        <v>3328.07</v>
      </c>
    </row>
    <row r="5795" spans="1:3" x14ac:dyDescent="0.25">
      <c r="A5795" s="115">
        <v>4280405</v>
      </c>
      <c r="B5795" s="115" t="s">
        <v>5561</v>
      </c>
      <c r="C5795" s="117">
        <v>3271.42</v>
      </c>
    </row>
    <row r="5796" spans="1:3" x14ac:dyDescent="0.25">
      <c r="A5796" s="115">
        <v>4280403</v>
      </c>
      <c r="B5796" s="115" t="s">
        <v>5562</v>
      </c>
      <c r="C5796" s="117">
        <v>3271.42</v>
      </c>
    </row>
    <row r="5797" spans="1:3" x14ac:dyDescent="0.25">
      <c r="A5797" s="115">
        <v>4280406</v>
      </c>
      <c r="B5797" s="115" t="s">
        <v>5563</v>
      </c>
      <c r="C5797" s="117">
        <v>3271.42</v>
      </c>
    </row>
    <row r="5798" spans="1:3" x14ac:dyDescent="0.25">
      <c r="A5798" s="115">
        <v>4280404</v>
      </c>
      <c r="B5798" s="115" t="s">
        <v>5564</v>
      </c>
      <c r="C5798" s="117">
        <v>3271.42</v>
      </c>
    </row>
    <row r="5799" spans="1:3" x14ac:dyDescent="0.25">
      <c r="A5799" s="115">
        <v>4280021</v>
      </c>
      <c r="B5799" s="115" t="s">
        <v>5565</v>
      </c>
      <c r="C5799" s="117">
        <v>1402.04</v>
      </c>
    </row>
    <row r="5800" spans="1:3" x14ac:dyDescent="0.25">
      <c r="A5800" s="115">
        <v>4280023</v>
      </c>
      <c r="B5800" s="115" t="s">
        <v>5566</v>
      </c>
      <c r="C5800" s="117">
        <v>1402.04</v>
      </c>
    </row>
    <row r="5801" spans="1:3" x14ac:dyDescent="0.25">
      <c r="A5801" s="115">
        <v>4280022</v>
      </c>
      <c r="B5801" s="115" t="s">
        <v>5567</v>
      </c>
      <c r="C5801" s="117">
        <v>1402.04</v>
      </c>
    </row>
    <row r="5802" spans="1:3" x14ac:dyDescent="0.25">
      <c r="A5802" s="115">
        <v>4280024</v>
      </c>
      <c r="B5802" s="115" t="s">
        <v>5568</v>
      </c>
      <c r="C5802" s="117">
        <v>1402.04</v>
      </c>
    </row>
    <row r="5803" spans="1:3" x14ac:dyDescent="0.25">
      <c r="A5803" s="115">
        <v>4280343</v>
      </c>
      <c r="B5803" s="115" t="s">
        <v>5569</v>
      </c>
      <c r="C5803" s="117">
        <v>1076.31</v>
      </c>
    </row>
    <row r="5804" spans="1:3" x14ac:dyDescent="0.25">
      <c r="A5804" s="115">
        <v>4280340</v>
      </c>
      <c r="B5804" s="115" t="s">
        <v>5570</v>
      </c>
      <c r="C5804" s="117">
        <v>1203.77</v>
      </c>
    </row>
    <row r="5805" spans="1:3" x14ac:dyDescent="0.25">
      <c r="A5805" s="115">
        <v>4280342</v>
      </c>
      <c r="B5805" s="115" t="s">
        <v>5571</v>
      </c>
      <c r="C5805" s="117">
        <v>1076.31</v>
      </c>
    </row>
    <row r="5806" spans="1:3" x14ac:dyDescent="0.25">
      <c r="A5806" s="115">
        <v>4280341</v>
      </c>
      <c r="B5806" s="115" t="s">
        <v>5572</v>
      </c>
      <c r="C5806" s="117">
        <v>1076.31</v>
      </c>
    </row>
    <row r="5807" spans="1:3" x14ac:dyDescent="0.25">
      <c r="A5807" s="115">
        <v>4280311</v>
      </c>
      <c r="B5807" s="115" t="s">
        <v>5573</v>
      </c>
      <c r="C5807" s="117">
        <v>2818.24</v>
      </c>
    </row>
    <row r="5808" spans="1:3" x14ac:dyDescent="0.25">
      <c r="A5808" s="115">
        <v>4280310</v>
      </c>
      <c r="B5808" s="115" t="s">
        <v>5574</v>
      </c>
      <c r="C5808" s="117">
        <v>1416.21</v>
      </c>
    </row>
    <row r="5809" spans="1:3" x14ac:dyDescent="0.25">
      <c r="A5809" s="115">
        <v>4280312</v>
      </c>
      <c r="B5809" s="115" t="s">
        <v>5575</v>
      </c>
      <c r="C5809" s="117">
        <v>2818.24</v>
      </c>
    </row>
    <row r="5810" spans="1:3" x14ac:dyDescent="0.25">
      <c r="A5810" s="115">
        <v>4286800</v>
      </c>
      <c r="B5810" s="115" t="s">
        <v>5576</v>
      </c>
      <c r="C5810" s="117">
        <v>49.97</v>
      </c>
    </row>
    <row r="5811" spans="1:3" x14ac:dyDescent="0.25">
      <c r="A5811" s="115">
        <v>4286700</v>
      </c>
      <c r="B5811" s="115" t="s">
        <v>5577</v>
      </c>
      <c r="C5811" s="117">
        <v>64.25</v>
      </c>
    </row>
    <row r="5812" spans="1:3" x14ac:dyDescent="0.25">
      <c r="A5812" s="115">
        <v>4286500</v>
      </c>
      <c r="B5812" s="115" t="s">
        <v>5578</v>
      </c>
      <c r="C5812" s="117">
        <v>114.21</v>
      </c>
    </row>
    <row r="5813" spans="1:3" x14ac:dyDescent="0.25">
      <c r="A5813" s="115">
        <v>4280320</v>
      </c>
      <c r="B5813" s="115" t="s">
        <v>5579</v>
      </c>
      <c r="C5813" s="117">
        <v>1324.15</v>
      </c>
    </row>
    <row r="5814" spans="1:3" x14ac:dyDescent="0.25">
      <c r="A5814" s="115">
        <v>4280323</v>
      </c>
      <c r="B5814" s="115" t="s">
        <v>5580</v>
      </c>
      <c r="C5814" s="117">
        <v>1324.15</v>
      </c>
    </row>
    <row r="5815" spans="1:3" x14ac:dyDescent="0.25">
      <c r="A5815" s="115">
        <v>4280322</v>
      </c>
      <c r="B5815" s="115" t="s">
        <v>5581</v>
      </c>
      <c r="C5815" s="117">
        <v>1324.15</v>
      </c>
    </row>
    <row r="5816" spans="1:3" x14ac:dyDescent="0.25">
      <c r="A5816" s="115">
        <v>4280321</v>
      </c>
      <c r="B5816" s="115" t="s">
        <v>5582</v>
      </c>
      <c r="C5816" s="117">
        <v>1324.15</v>
      </c>
    </row>
    <row r="5817" spans="1:3" x14ac:dyDescent="0.25">
      <c r="A5817" s="115">
        <v>4280331</v>
      </c>
      <c r="B5817" s="115" t="s">
        <v>5583</v>
      </c>
      <c r="C5817" s="117">
        <v>1324.15</v>
      </c>
    </row>
    <row r="5818" spans="1:3" x14ac:dyDescent="0.25">
      <c r="A5818" s="115">
        <v>4280330</v>
      </c>
      <c r="B5818" s="115" t="s">
        <v>5584</v>
      </c>
      <c r="C5818" s="117">
        <v>1324.15</v>
      </c>
    </row>
    <row r="5819" spans="1:3" x14ac:dyDescent="0.25">
      <c r="A5819" s="115">
        <v>4280332</v>
      </c>
      <c r="B5819" s="115" t="s">
        <v>5585</v>
      </c>
      <c r="C5819" s="117">
        <v>1324.15</v>
      </c>
    </row>
    <row r="5820" spans="1:3" x14ac:dyDescent="0.25">
      <c r="A5820" s="115">
        <v>4280333</v>
      </c>
      <c r="B5820" s="115" t="s">
        <v>5586</v>
      </c>
      <c r="C5820" s="117">
        <v>1324.15</v>
      </c>
    </row>
    <row r="5821" spans="1:3" x14ac:dyDescent="0.25">
      <c r="A5821" s="144" t="s">
        <v>5587</v>
      </c>
      <c r="B5821" s="145"/>
      <c r="C5821" s="145"/>
    </row>
    <row r="5822" spans="1:3" x14ac:dyDescent="0.25">
      <c r="A5822" s="115">
        <v>4326307</v>
      </c>
      <c r="B5822" s="115" t="s">
        <v>5588</v>
      </c>
      <c r="C5822" s="117">
        <v>108.56</v>
      </c>
    </row>
    <row r="5823" spans="1:3" x14ac:dyDescent="0.25">
      <c r="A5823" s="115">
        <v>4326303</v>
      </c>
      <c r="B5823" s="115" t="s">
        <v>5589</v>
      </c>
      <c r="C5823" s="117">
        <v>1519.87</v>
      </c>
    </row>
    <row r="5824" spans="1:3" x14ac:dyDescent="0.25">
      <c r="A5824" s="115">
        <v>4323205</v>
      </c>
      <c r="B5824" s="115" t="s">
        <v>5590</v>
      </c>
      <c r="C5824" s="117">
        <v>0.74</v>
      </c>
    </row>
    <row r="5825" spans="1:3" x14ac:dyDescent="0.25">
      <c r="A5825" s="115">
        <v>4325116</v>
      </c>
      <c r="B5825" s="115" t="s">
        <v>5591</v>
      </c>
      <c r="C5825" s="117">
        <v>38.770000000000003</v>
      </c>
    </row>
    <row r="5826" spans="1:3" x14ac:dyDescent="0.25">
      <c r="A5826" s="115">
        <v>4327304</v>
      </c>
      <c r="B5826" s="115" t="s">
        <v>5592</v>
      </c>
      <c r="C5826" s="117">
        <v>349.88</v>
      </c>
    </row>
    <row r="5827" spans="1:3" x14ac:dyDescent="0.25">
      <c r="A5827" s="115">
        <v>4325000</v>
      </c>
      <c r="B5827" s="115" t="s">
        <v>5593</v>
      </c>
      <c r="C5827" s="117">
        <v>42.57</v>
      </c>
    </row>
    <row r="5828" spans="1:3" x14ac:dyDescent="0.25">
      <c r="A5828" s="115">
        <v>4322000</v>
      </c>
      <c r="B5828" s="115" t="s">
        <v>5594</v>
      </c>
      <c r="C5828" s="117">
        <v>42.57</v>
      </c>
    </row>
    <row r="5829" spans="1:3" x14ac:dyDescent="0.25">
      <c r="A5829" s="115">
        <v>4323010</v>
      </c>
      <c r="B5829" s="115" t="s">
        <v>5595</v>
      </c>
      <c r="C5829" s="117">
        <v>1702.93</v>
      </c>
    </row>
    <row r="5830" spans="1:3" x14ac:dyDescent="0.25">
      <c r="A5830" s="115">
        <v>4324436</v>
      </c>
      <c r="B5830" s="115" t="s">
        <v>5596</v>
      </c>
      <c r="C5830" s="117">
        <v>42.57</v>
      </c>
    </row>
    <row r="5831" spans="1:3" x14ac:dyDescent="0.25">
      <c r="A5831" s="115">
        <v>4324305</v>
      </c>
      <c r="B5831" s="115" t="s">
        <v>5597</v>
      </c>
      <c r="C5831" s="117">
        <v>42.57</v>
      </c>
    </row>
    <row r="5832" spans="1:3" x14ac:dyDescent="0.25">
      <c r="A5832" s="115">
        <v>4324308</v>
      </c>
      <c r="B5832" s="115" t="s">
        <v>5598</v>
      </c>
      <c r="C5832" s="117">
        <v>42.57</v>
      </c>
    </row>
    <row r="5833" spans="1:3" x14ac:dyDescent="0.25">
      <c r="A5833" s="115">
        <v>4324309</v>
      </c>
      <c r="B5833" s="115" t="s">
        <v>5599</v>
      </c>
      <c r="C5833" s="117">
        <v>42.57</v>
      </c>
    </row>
    <row r="5834" spans="1:3" x14ac:dyDescent="0.25">
      <c r="A5834" s="115">
        <v>4324307</v>
      </c>
      <c r="B5834" s="115" t="s">
        <v>5600</v>
      </c>
      <c r="C5834" s="117">
        <v>42.57</v>
      </c>
    </row>
    <row r="5835" spans="1:3" x14ac:dyDescent="0.25">
      <c r="A5835" s="115">
        <v>4324304</v>
      </c>
      <c r="B5835" s="115" t="s">
        <v>5601</v>
      </c>
      <c r="C5835" s="117">
        <v>1702.93</v>
      </c>
    </row>
    <row r="5836" spans="1:3" x14ac:dyDescent="0.25">
      <c r="A5836" s="115">
        <v>4324310</v>
      </c>
      <c r="B5836" s="115" t="s">
        <v>5602</v>
      </c>
      <c r="C5836" s="117">
        <v>42.57</v>
      </c>
    </row>
    <row r="5837" spans="1:3" x14ac:dyDescent="0.25">
      <c r="A5837" s="115">
        <v>4324302</v>
      </c>
      <c r="B5837" s="115" t="s">
        <v>5603</v>
      </c>
      <c r="C5837" s="117">
        <v>42.57</v>
      </c>
    </row>
    <row r="5838" spans="1:3" x14ac:dyDescent="0.25">
      <c r="A5838" s="115">
        <v>4326300</v>
      </c>
      <c r="B5838" s="115" t="s">
        <v>5604</v>
      </c>
      <c r="C5838" s="117">
        <v>42.57</v>
      </c>
    </row>
    <row r="5839" spans="1:3" x14ac:dyDescent="0.25">
      <c r="A5839" s="115">
        <v>4324401</v>
      </c>
      <c r="B5839" s="115" t="s">
        <v>5605</v>
      </c>
      <c r="C5839" s="117">
        <v>42.57</v>
      </c>
    </row>
    <row r="5840" spans="1:3" x14ac:dyDescent="0.25">
      <c r="A5840" s="115">
        <v>4324405</v>
      </c>
      <c r="B5840" s="115" t="s">
        <v>5606</v>
      </c>
      <c r="C5840" s="117">
        <v>1702.93</v>
      </c>
    </row>
    <row r="5841" spans="1:3" x14ac:dyDescent="0.25">
      <c r="A5841" s="115">
        <v>4326400</v>
      </c>
      <c r="B5841" s="115" t="s">
        <v>5607</v>
      </c>
      <c r="C5841" s="117">
        <v>42.57</v>
      </c>
    </row>
    <row r="5842" spans="1:3" x14ac:dyDescent="0.25">
      <c r="A5842" s="115">
        <v>4324402</v>
      </c>
      <c r="B5842" s="115" t="s">
        <v>5608</v>
      </c>
      <c r="C5842" s="117">
        <v>42.57</v>
      </c>
    </row>
    <row r="5843" spans="1:3" x14ac:dyDescent="0.25">
      <c r="A5843" s="115">
        <v>4324400</v>
      </c>
      <c r="B5843" s="115" t="s">
        <v>5609</v>
      </c>
      <c r="C5843" s="117">
        <v>42.57</v>
      </c>
    </row>
    <row r="5844" spans="1:3" x14ac:dyDescent="0.25">
      <c r="A5844" s="115">
        <v>4324306</v>
      </c>
      <c r="B5844" s="115" t="s">
        <v>5610</v>
      </c>
      <c r="C5844" s="117">
        <v>42.57</v>
      </c>
    </row>
    <row r="5845" spans="1:3" x14ac:dyDescent="0.25">
      <c r="A5845" s="115">
        <v>4324430</v>
      </c>
      <c r="B5845" s="115" t="s">
        <v>5611</v>
      </c>
      <c r="C5845" s="117">
        <v>42.57</v>
      </c>
    </row>
    <row r="5846" spans="1:3" x14ac:dyDescent="0.25">
      <c r="A5846" s="115">
        <v>4324438</v>
      </c>
      <c r="B5846" s="115" t="s">
        <v>5612</v>
      </c>
      <c r="C5846" s="117">
        <v>42.57</v>
      </c>
    </row>
    <row r="5847" spans="1:3" x14ac:dyDescent="0.25">
      <c r="A5847" s="115">
        <v>4324410</v>
      </c>
      <c r="B5847" s="115" t="s">
        <v>5613</v>
      </c>
      <c r="C5847" s="117">
        <v>1702.93</v>
      </c>
    </row>
    <row r="5848" spans="1:3" x14ac:dyDescent="0.25">
      <c r="A5848" s="115">
        <v>4326405</v>
      </c>
      <c r="B5848" s="115" t="s">
        <v>5614</v>
      </c>
      <c r="C5848" s="117">
        <v>85.15</v>
      </c>
    </row>
    <row r="5849" spans="1:3" x14ac:dyDescent="0.25">
      <c r="A5849" s="115">
        <v>4326306</v>
      </c>
      <c r="B5849" s="115" t="s">
        <v>5615</v>
      </c>
      <c r="C5849" s="117">
        <v>85.15</v>
      </c>
    </row>
    <row r="5850" spans="1:3" x14ac:dyDescent="0.25">
      <c r="A5850" s="115">
        <v>4326301</v>
      </c>
      <c r="B5850" s="115" t="s">
        <v>5616</v>
      </c>
      <c r="C5850" s="117">
        <v>85.15</v>
      </c>
    </row>
    <row r="5851" spans="1:3" x14ac:dyDescent="0.25">
      <c r="A5851" s="115">
        <v>4324205</v>
      </c>
      <c r="B5851" s="115" t="s">
        <v>5617</v>
      </c>
      <c r="C5851" s="117">
        <v>85.15</v>
      </c>
    </row>
    <row r="5852" spans="1:3" x14ac:dyDescent="0.25">
      <c r="A5852" s="115">
        <v>4326409</v>
      </c>
      <c r="B5852" s="115" t="s">
        <v>5618</v>
      </c>
      <c r="C5852" s="117">
        <v>85.15</v>
      </c>
    </row>
    <row r="5853" spans="1:3" x14ac:dyDescent="0.25">
      <c r="A5853" s="115">
        <v>4324207</v>
      </c>
      <c r="B5853" s="115" t="s">
        <v>5619</v>
      </c>
      <c r="C5853" s="117">
        <v>85.15</v>
      </c>
    </row>
    <row r="5854" spans="1:3" x14ac:dyDescent="0.25">
      <c r="A5854" s="115">
        <v>4324200</v>
      </c>
      <c r="B5854" s="115" t="s">
        <v>5620</v>
      </c>
      <c r="C5854" s="117">
        <v>85.15</v>
      </c>
    </row>
    <row r="5855" spans="1:3" x14ac:dyDescent="0.25">
      <c r="A5855" s="115">
        <v>4326406</v>
      </c>
      <c r="B5855" s="115" t="s">
        <v>5621</v>
      </c>
      <c r="C5855" s="117">
        <v>85.15</v>
      </c>
    </row>
    <row r="5856" spans="1:3" x14ac:dyDescent="0.25">
      <c r="A5856" s="115">
        <v>4326403</v>
      </c>
      <c r="B5856" s="115" t="s">
        <v>5622</v>
      </c>
      <c r="C5856" s="117">
        <v>85.15</v>
      </c>
    </row>
    <row r="5857" spans="1:3" x14ac:dyDescent="0.25">
      <c r="A5857" s="115">
        <v>4324202</v>
      </c>
      <c r="B5857" s="115" t="s">
        <v>5623</v>
      </c>
      <c r="C5857" s="117">
        <v>85.15</v>
      </c>
    </row>
    <row r="5858" spans="1:3" x14ac:dyDescent="0.25">
      <c r="A5858" s="115">
        <v>4324201</v>
      </c>
      <c r="B5858" s="115" t="s">
        <v>5624</v>
      </c>
      <c r="C5858" s="117">
        <v>85.15</v>
      </c>
    </row>
    <row r="5859" spans="1:3" x14ac:dyDescent="0.25">
      <c r="A5859" s="115">
        <v>4327305</v>
      </c>
      <c r="B5859" s="115" t="s">
        <v>5625</v>
      </c>
      <c r="C5859" s="117">
        <v>349.88</v>
      </c>
    </row>
    <row r="5860" spans="1:3" x14ac:dyDescent="0.25">
      <c r="A5860" s="115">
        <v>4327307</v>
      </c>
      <c r="B5860" s="115" t="s">
        <v>5626</v>
      </c>
      <c r="C5860" s="117">
        <v>349.88</v>
      </c>
    </row>
    <row r="5861" spans="1:3" x14ac:dyDescent="0.25">
      <c r="A5861" s="115">
        <v>4327301</v>
      </c>
      <c r="B5861" s="115" t="s">
        <v>5627</v>
      </c>
      <c r="C5861" s="117">
        <v>349.88</v>
      </c>
    </row>
    <row r="5862" spans="1:3" x14ac:dyDescent="0.25">
      <c r="A5862" s="115">
        <v>4327406</v>
      </c>
      <c r="B5862" s="115" t="s">
        <v>5628</v>
      </c>
      <c r="C5862" s="117">
        <v>349.88</v>
      </c>
    </row>
    <row r="5863" spans="1:3" x14ac:dyDescent="0.25">
      <c r="A5863" s="115">
        <v>4327401</v>
      </c>
      <c r="B5863" s="115" t="s">
        <v>5629</v>
      </c>
      <c r="C5863" s="117">
        <v>349.88</v>
      </c>
    </row>
    <row r="5864" spans="1:3" x14ac:dyDescent="0.25">
      <c r="A5864" s="115">
        <v>4324113</v>
      </c>
      <c r="B5864" s="115" t="s">
        <v>5630</v>
      </c>
      <c r="C5864" s="117">
        <v>1702.93</v>
      </c>
    </row>
    <row r="5865" spans="1:3" x14ac:dyDescent="0.25">
      <c r="A5865" s="115">
        <v>4324112</v>
      </c>
      <c r="B5865" s="115" t="s">
        <v>5631</v>
      </c>
      <c r="C5865" s="117">
        <v>42.57</v>
      </c>
    </row>
    <row r="5866" spans="1:3" x14ac:dyDescent="0.25">
      <c r="A5866" s="115">
        <v>4324114</v>
      </c>
      <c r="B5866" s="115" t="s">
        <v>5632</v>
      </c>
      <c r="C5866" s="117">
        <v>1702.93</v>
      </c>
    </row>
    <row r="5867" spans="1:3" x14ac:dyDescent="0.25">
      <c r="A5867" s="115">
        <v>4324103</v>
      </c>
      <c r="B5867" s="115" t="s">
        <v>5589</v>
      </c>
      <c r="C5867" s="117">
        <v>85.15</v>
      </c>
    </row>
    <row r="5868" spans="1:3" x14ac:dyDescent="0.25">
      <c r="A5868" s="115">
        <v>4324109</v>
      </c>
      <c r="B5868" s="115" t="s">
        <v>5633</v>
      </c>
      <c r="C5868" s="117">
        <v>1702.93</v>
      </c>
    </row>
    <row r="5869" spans="1:3" x14ac:dyDescent="0.25">
      <c r="A5869" s="115">
        <v>4324107</v>
      </c>
      <c r="B5869" s="115" t="s">
        <v>5634</v>
      </c>
      <c r="C5869" s="117">
        <v>85.15</v>
      </c>
    </row>
    <row r="5870" spans="1:3" x14ac:dyDescent="0.25">
      <c r="A5870" s="115">
        <v>4324105</v>
      </c>
      <c r="B5870" s="115" t="s">
        <v>5635</v>
      </c>
      <c r="C5870" s="117">
        <v>1702.93</v>
      </c>
    </row>
    <row r="5871" spans="1:3" x14ac:dyDescent="0.25">
      <c r="A5871" s="115">
        <v>4324100</v>
      </c>
      <c r="B5871" s="115" t="s">
        <v>5636</v>
      </c>
      <c r="C5871" s="117">
        <v>85.15</v>
      </c>
    </row>
    <row r="5872" spans="1:3" x14ac:dyDescent="0.25">
      <c r="A5872" s="115">
        <v>4327109</v>
      </c>
      <c r="B5872" s="115" t="s">
        <v>5637</v>
      </c>
      <c r="C5872" s="117">
        <v>349.88</v>
      </c>
    </row>
    <row r="5873" spans="1:3" x14ac:dyDescent="0.25">
      <c r="A5873" s="115">
        <v>4326411</v>
      </c>
      <c r="B5873" s="115" t="s">
        <v>5638</v>
      </c>
      <c r="C5873" s="117">
        <v>1702.93</v>
      </c>
    </row>
    <row r="5874" spans="1:3" x14ac:dyDescent="0.25">
      <c r="A5874" s="115">
        <v>4326404</v>
      </c>
      <c r="B5874" s="115" t="s">
        <v>5639</v>
      </c>
      <c r="C5874" s="117">
        <v>85.15</v>
      </c>
    </row>
    <row r="5875" spans="1:3" x14ac:dyDescent="0.25">
      <c r="A5875" s="115">
        <v>4327302</v>
      </c>
      <c r="B5875" s="115" t="s">
        <v>5640</v>
      </c>
      <c r="C5875" s="117">
        <v>349.88</v>
      </c>
    </row>
    <row r="5876" spans="1:3" x14ac:dyDescent="0.25">
      <c r="A5876" s="115">
        <v>4327400</v>
      </c>
      <c r="B5876" s="115" t="s">
        <v>5641</v>
      </c>
      <c r="C5876" s="117">
        <v>349.88</v>
      </c>
    </row>
    <row r="5877" spans="1:3" x14ac:dyDescent="0.25">
      <c r="A5877" s="115">
        <v>4325208</v>
      </c>
      <c r="B5877" s="115" t="s">
        <v>5642</v>
      </c>
      <c r="C5877" s="117">
        <v>38.770000000000003</v>
      </c>
    </row>
    <row r="5878" spans="1:3" x14ac:dyDescent="0.25">
      <c r="A5878" s="115">
        <v>4325108</v>
      </c>
      <c r="B5878" s="115" t="s">
        <v>5643</v>
      </c>
      <c r="C5878" s="117">
        <v>77.53</v>
      </c>
    </row>
    <row r="5879" spans="1:3" x14ac:dyDescent="0.25">
      <c r="A5879" s="115">
        <v>4326209</v>
      </c>
      <c r="B5879" s="115" t="s">
        <v>5644</v>
      </c>
      <c r="C5879" s="117">
        <v>264.47000000000003</v>
      </c>
    </row>
    <row r="5880" spans="1:3" x14ac:dyDescent="0.25">
      <c r="A5880" s="115">
        <v>4323338</v>
      </c>
      <c r="B5880" s="115" t="s">
        <v>5645</v>
      </c>
      <c r="C5880" s="117">
        <v>77.53</v>
      </c>
    </row>
    <row r="5881" spans="1:3" x14ac:dyDescent="0.25">
      <c r="A5881" s="115">
        <v>4323230</v>
      </c>
      <c r="B5881" s="115" t="s">
        <v>5646</v>
      </c>
      <c r="C5881" s="117">
        <v>38.770000000000003</v>
      </c>
    </row>
    <row r="5882" spans="1:3" x14ac:dyDescent="0.25">
      <c r="A5882" s="115">
        <v>4323200</v>
      </c>
      <c r="B5882" s="115" t="s">
        <v>5647</v>
      </c>
      <c r="C5882" s="117">
        <v>77.53</v>
      </c>
    </row>
    <row r="5883" spans="1:3" x14ac:dyDescent="0.25">
      <c r="A5883" s="115">
        <v>4323202</v>
      </c>
      <c r="B5883" s="115" t="s">
        <v>5648</v>
      </c>
      <c r="C5883" s="117">
        <v>38.770000000000003</v>
      </c>
    </row>
    <row r="5884" spans="1:3" x14ac:dyDescent="0.25">
      <c r="A5884" s="115">
        <v>4323201</v>
      </c>
      <c r="B5884" s="115" t="s">
        <v>5649</v>
      </c>
      <c r="C5884" s="117">
        <v>54.27</v>
      </c>
    </row>
    <row r="5885" spans="1:3" x14ac:dyDescent="0.25">
      <c r="A5885" s="115">
        <v>4323124</v>
      </c>
      <c r="B5885" s="115" t="s">
        <v>5650</v>
      </c>
      <c r="C5885" s="117">
        <v>38.770000000000003</v>
      </c>
    </row>
    <row r="5886" spans="1:3" x14ac:dyDescent="0.25">
      <c r="A5886" s="115">
        <v>4323105</v>
      </c>
      <c r="B5886" s="115" t="s">
        <v>5651</v>
      </c>
      <c r="C5886" s="117">
        <v>77.53</v>
      </c>
    </row>
    <row r="5887" spans="1:3" x14ac:dyDescent="0.25">
      <c r="A5887" s="115">
        <v>4323108</v>
      </c>
      <c r="B5887" s="115" t="s">
        <v>5652</v>
      </c>
      <c r="C5887" s="117">
        <v>38.770000000000003</v>
      </c>
    </row>
    <row r="5888" spans="1:3" x14ac:dyDescent="0.25">
      <c r="A5888" s="115">
        <v>4323107</v>
      </c>
      <c r="B5888" s="115" t="s">
        <v>5653</v>
      </c>
      <c r="C5888" s="117">
        <v>38.770000000000003</v>
      </c>
    </row>
    <row r="5889" spans="1:3" x14ac:dyDescent="0.25">
      <c r="A5889" s="115">
        <v>4323109</v>
      </c>
      <c r="B5889" s="115" t="s">
        <v>5654</v>
      </c>
      <c r="C5889" s="117">
        <v>38.770000000000003</v>
      </c>
    </row>
    <row r="5890" spans="1:3" x14ac:dyDescent="0.25">
      <c r="A5890" s="115">
        <v>4323100</v>
      </c>
      <c r="B5890" s="115" t="s">
        <v>5655</v>
      </c>
      <c r="C5890" s="117">
        <v>62.03</v>
      </c>
    </row>
    <row r="5891" spans="1:3" x14ac:dyDescent="0.25">
      <c r="A5891" s="115">
        <v>4323106</v>
      </c>
      <c r="B5891" s="115" t="s">
        <v>5656</v>
      </c>
      <c r="C5891" s="117">
        <v>38.770000000000003</v>
      </c>
    </row>
    <row r="5892" spans="1:3" x14ac:dyDescent="0.25">
      <c r="A5892" s="115">
        <v>4323103</v>
      </c>
      <c r="B5892" s="115" t="s">
        <v>5657</v>
      </c>
      <c r="C5892" s="117">
        <v>38.770000000000003</v>
      </c>
    </row>
    <row r="5893" spans="1:3" x14ac:dyDescent="0.25">
      <c r="A5893" s="115">
        <v>4323102</v>
      </c>
      <c r="B5893" s="115" t="s">
        <v>5658</v>
      </c>
      <c r="C5893" s="117">
        <v>62.03</v>
      </c>
    </row>
    <row r="5894" spans="1:3" x14ac:dyDescent="0.25">
      <c r="A5894" s="115">
        <v>4323104</v>
      </c>
      <c r="B5894" s="115" t="s">
        <v>5659</v>
      </c>
      <c r="C5894" s="117">
        <v>38.770000000000003</v>
      </c>
    </row>
    <row r="5895" spans="1:3" x14ac:dyDescent="0.25">
      <c r="A5895" s="115">
        <v>4323135</v>
      </c>
      <c r="B5895" s="115" t="s">
        <v>5660</v>
      </c>
      <c r="C5895" s="117">
        <v>38.770000000000003</v>
      </c>
    </row>
    <row r="5896" spans="1:3" x14ac:dyDescent="0.25">
      <c r="A5896" s="115">
        <v>4323138</v>
      </c>
      <c r="B5896" s="115" t="s">
        <v>5661</v>
      </c>
      <c r="C5896" s="117">
        <v>38.770000000000003</v>
      </c>
    </row>
    <row r="5897" spans="1:3" x14ac:dyDescent="0.25">
      <c r="A5897" s="115">
        <v>4323336</v>
      </c>
      <c r="B5897" s="115" t="s">
        <v>5662</v>
      </c>
      <c r="C5897" s="117">
        <v>38.770000000000003</v>
      </c>
    </row>
    <row r="5898" spans="1:3" x14ac:dyDescent="0.25">
      <c r="A5898" s="115">
        <v>4323110</v>
      </c>
      <c r="B5898" s="115" t="s">
        <v>5663</v>
      </c>
      <c r="C5898" s="117">
        <v>38.770000000000003</v>
      </c>
    </row>
    <row r="5899" spans="1:3" x14ac:dyDescent="0.25">
      <c r="A5899" s="115">
        <v>4323101</v>
      </c>
      <c r="B5899" s="115" t="s">
        <v>5664</v>
      </c>
      <c r="C5899" s="117">
        <v>77.53</v>
      </c>
    </row>
    <row r="5900" spans="1:3" x14ac:dyDescent="0.25">
      <c r="A5900" s="115">
        <v>4323199</v>
      </c>
      <c r="B5900" s="115" t="s">
        <v>5665</v>
      </c>
      <c r="C5900" s="117">
        <v>38.770000000000003</v>
      </c>
    </row>
    <row r="5901" spans="1:3" x14ac:dyDescent="0.25">
      <c r="A5901" s="115">
        <v>4323133</v>
      </c>
      <c r="B5901" s="115" t="s">
        <v>5666</v>
      </c>
      <c r="C5901" s="117">
        <v>38.770000000000003</v>
      </c>
    </row>
    <row r="5902" spans="1:3" x14ac:dyDescent="0.25">
      <c r="A5902" s="115">
        <v>4325203</v>
      </c>
      <c r="B5902" s="115" t="s">
        <v>5667</v>
      </c>
      <c r="C5902" s="117">
        <v>77.53</v>
      </c>
    </row>
    <row r="5903" spans="1:3" x14ac:dyDescent="0.25">
      <c r="A5903" s="115">
        <v>4325205</v>
      </c>
      <c r="B5903" s="115" t="s">
        <v>5668</v>
      </c>
      <c r="C5903" s="117">
        <v>77.53</v>
      </c>
    </row>
    <row r="5904" spans="1:3" x14ac:dyDescent="0.25">
      <c r="A5904" s="115">
        <v>4325207</v>
      </c>
      <c r="B5904" s="115" t="s">
        <v>5669</v>
      </c>
      <c r="C5904" s="117">
        <v>77.53</v>
      </c>
    </row>
    <row r="5905" spans="1:3" x14ac:dyDescent="0.25">
      <c r="A5905" s="115">
        <v>4325200</v>
      </c>
      <c r="B5905" s="115" t="s">
        <v>5670</v>
      </c>
      <c r="C5905" s="117">
        <v>77.53</v>
      </c>
    </row>
    <row r="5906" spans="1:3" x14ac:dyDescent="0.25">
      <c r="A5906" s="115">
        <v>4325206</v>
      </c>
      <c r="B5906" s="115" t="s">
        <v>5671</v>
      </c>
      <c r="C5906" s="117">
        <v>77.53</v>
      </c>
    </row>
    <row r="5907" spans="1:3" x14ac:dyDescent="0.25">
      <c r="A5907" s="115">
        <v>4325202</v>
      </c>
      <c r="B5907" s="115" t="s">
        <v>5672</v>
      </c>
      <c r="C5907" s="117">
        <v>77.53</v>
      </c>
    </row>
    <row r="5908" spans="1:3" x14ac:dyDescent="0.25">
      <c r="A5908" s="115">
        <v>4325204</v>
      </c>
      <c r="B5908" s="115" t="s">
        <v>5673</v>
      </c>
      <c r="C5908" s="117">
        <v>77.53</v>
      </c>
    </row>
    <row r="5909" spans="1:3" x14ac:dyDescent="0.25">
      <c r="A5909" s="115">
        <v>4325201</v>
      </c>
      <c r="B5909" s="115" t="s">
        <v>5674</v>
      </c>
      <c r="C5909" s="117">
        <v>77.53</v>
      </c>
    </row>
    <row r="5910" spans="1:3" x14ac:dyDescent="0.25">
      <c r="A5910" s="115">
        <v>4325105</v>
      </c>
      <c r="B5910" s="115" t="s">
        <v>5675</v>
      </c>
      <c r="C5910" s="117">
        <v>77.53</v>
      </c>
    </row>
    <row r="5911" spans="1:3" x14ac:dyDescent="0.25">
      <c r="A5911" s="115">
        <v>4325109</v>
      </c>
      <c r="B5911" s="115" t="s">
        <v>5676</v>
      </c>
      <c r="C5911" s="117">
        <v>77.53</v>
      </c>
    </row>
    <row r="5912" spans="1:3" x14ac:dyDescent="0.25">
      <c r="A5912" s="115">
        <v>4325107</v>
      </c>
      <c r="B5912" s="115" t="s">
        <v>5677</v>
      </c>
      <c r="C5912" s="117">
        <v>77.53</v>
      </c>
    </row>
    <row r="5913" spans="1:3" x14ac:dyDescent="0.25">
      <c r="A5913" s="115">
        <v>4325100</v>
      </c>
      <c r="B5913" s="115" t="s">
        <v>5678</v>
      </c>
      <c r="C5913" s="117">
        <v>155.06</v>
      </c>
    </row>
    <row r="5914" spans="1:3" x14ac:dyDescent="0.25">
      <c r="A5914" s="115">
        <v>4325106</v>
      </c>
      <c r="B5914" s="115" t="s">
        <v>5679</v>
      </c>
      <c r="C5914" s="117">
        <v>77.53</v>
      </c>
    </row>
    <row r="5915" spans="1:3" x14ac:dyDescent="0.25">
      <c r="A5915" s="115">
        <v>4325103</v>
      </c>
      <c r="B5915" s="115" t="s">
        <v>5680</v>
      </c>
      <c r="C5915" s="117">
        <v>77.53</v>
      </c>
    </row>
    <row r="5916" spans="1:3" x14ac:dyDescent="0.25">
      <c r="A5916" s="115">
        <v>4325102</v>
      </c>
      <c r="B5916" s="115" t="s">
        <v>5681</v>
      </c>
      <c r="C5916" s="117">
        <v>155.06</v>
      </c>
    </row>
    <row r="5917" spans="1:3" x14ac:dyDescent="0.25">
      <c r="A5917" s="115">
        <v>4325104</v>
      </c>
      <c r="B5917" s="115" t="s">
        <v>5682</v>
      </c>
      <c r="C5917" s="117">
        <v>155.06</v>
      </c>
    </row>
    <row r="5918" spans="1:3" x14ac:dyDescent="0.25">
      <c r="A5918" s="115">
        <v>4325110</v>
      </c>
      <c r="B5918" s="115" t="s">
        <v>5683</v>
      </c>
      <c r="C5918" s="117">
        <v>124.05</v>
      </c>
    </row>
    <row r="5919" spans="1:3" x14ac:dyDescent="0.25">
      <c r="A5919" s="115">
        <v>4325101</v>
      </c>
      <c r="B5919" s="115" t="s">
        <v>5684</v>
      </c>
      <c r="C5919" s="117">
        <v>155.06</v>
      </c>
    </row>
    <row r="5920" spans="1:3" x14ac:dyDescent="0.25">
      <c r="A5920" s="115">
        <v>4326207</v>
      </c>
      <c r="B5920" s="115" t="s">
        <v>5685</v>
      </c>
      <c r="C5920" s="117">
        <v>264.47000000000003</v>
      </c>
    </row>
    <row r="5921" spans="1:3" x14ac:dyDescent="0.25">
      <c r="A5921" s="115">
        <v>4326206</v>
      </c>
      <c r="B5921" s="115" t="s">
        <v>5686</v>
      </c>
      <c r="C5921" s="117">
        <v>264.47000000000003</v>
      </c>
    </row>
    <row r="5922" spans="1:3" x14ac:dyDescent="0.25">
      <c r="A5922" s="115">
        <v>4326204</v>
      </c>
      <c r="B5922" s="115" t="s">
        <v>5687</v>
      </c>
      <c r="C5922" s="117">
        <v>264.47000000000003</v>
      </c>
    </row>
    <row r="5923" spans="1:3" x14ac:dyDescent="0.25">
      <c r="A5923" s="115">
        <v>4326100</v>
      </c>
      <c r="B5923" s="115" t="s">
        <v>5688</v>
      </c>
      <c r="C5923" s="117">
        <v>264.47000000000003</v>
      </c>
    </row>
    <row r="5924" spans="1:3" x14ac:dyDescent="0.25">
      <c r="A5924" s="144" t="s">
        <v>5689</v>
      </c>
      <c r="B5924" s="145"/>
      <c r="C5924" s="145"/>
    </row>
    <row r="5925" spans="1:3" x14ac:dyDescent="0.25">
      <c r="A5925" s="115">
        <v>4281603</v>
      </c>
      <c r="B5925" s="115" t="s">
        <v>11601</v>
      </c>
      <c r="C5925" s="117">
        <v>4467.82</v>
      </c>
    </row>
    <row r="5926" spans="1:3" x14ac:dyDescent="0.25">
      <c r="A5926" s="115">
        <v>4281695</v>
      </c>
      <c r="B5926" s="115" t="s">
        <v>5690</v>
      </c>
      <c r="C5926" s="117">
        <v>4467.82</v>
      </c>
    </row>
    <row r="5927" spans="1:3" x14ac:dyDescent="0.25">
      <c r="A5927" s="115">
        <v>4281604</v>
      </c>
      <c r="B5927" s="115" t="s">
        <v>5691</v>
      </c>
      <c r="C5927" s="117">
        <v>4467.82</v>
      </c>
    </row>
    <row r="5928" spans="1:3" x14ac:dyDescent="0.25">
      <c r="A5928" s="115">
        <v>4281619</v>
      </c>
      <c r="B5928" s="115" t="s">
        <v>5692</v>
      </c>
      <c r="C5928" s="117">
        <v>4467.82</v>
      </c>
    </row>
    <row r="5929" spans="1:3" x14ac:dyDescent="0.25">
      <c r="A5929" s="115">
        <v>4281614</v>
      </c>
      <c r="B5929" s="115" t="s">
        <v>5693</v>
      </c>
      <c r="C5929" s="117">
        <v>4467.82</v>
      </c>
    </row>
    <row r="5930" spans="1:3" x14ac:dyDescent="0.25">
      <c r="A5930" s="115">
        <v>4281601</v>
      </c>
      <c r="B5930" s="115" t="s">
        <v>5694</v>
      </c>
      <c r="C5930" s="117">
        <v>4467.82</v>
      </c>
    </row>
    <row r="5931" spans="1:3" x14ac:dyDescent="0.25">
      <c r="A5931" s="115">
        <v>4281616</v>
      </c>
      <c r="B5931" s="115" t="s">
        <v>5695</v>
      </c>
      <c r="C5931" s="117">
        <v>4467.82</v>
      </c>
    </row>
    <row r="5932" spans="1:3" x14ac:dyDescent="0.25">
      <c r="A5932" s="115">
        <v>4580311</v>
      </c>
      <c r="B5932" s="115" t="s">
        <v>5696</v>
      </c>
      <c r="C5932" s="117">
        <v>2907.09</v>
      </c>
    </row>
    <row r="5933" spans="1:3" x14ac:dyDescent="0.25">
      <c r="A5933" s="115">
        <v>4588500</v>
      </c>
      <c r="B5933" s="115" t="s">
        <v>5697</v>
      </c>
      <c r="C5933" s="117">
        <v>2025.36</v>
      </c>
    </row>
    <row r="5934" spans="1:3" x14ac:dyDescent="0.25">
      <c r="A5934" s="115">
        <v>4580400</v>
      </c>
      <c r="B5934" s="115" t="s">
        <v>5698</v>
      </c>
      <c r="C5934" s="117">
        <v>2025.36</v>
      </c>
    </row>
    <row r="5935" spans="1:3" x14ac:dyDescent="0.25">
      <c r="A5935" s="115">
        <v>4589806</v>
      </c>
      <c r="B5935" s="115" t="s">
        <v>5699</v>
      </c>
      <c r="C5935" s="117">
        <v>2025.36</v>
      </c>
    </row>
    <row r="5936" spans="1:3" x14ac:dyDescent="0.25">
      <c r="A5936" s="115">
        <v>4589808</v>
      </c>
      <c r="B5936" s="115" t="s">
        <v>5700</v>
      </c>
      <c r="C5936" s="117">
        <v>2025.36</v>
      </c>
    </row>
    <row r="5937" spans="1:3" x14ac:dyDescent="0.25">
      <c r="A5937" s="115">
        <v>4588501</v>
      </c>
      <c r="B5937" s="115" t="s">
        <v>5701</v>
      </c>
      <c r="C5937" s="117">
        <v>2025.36</v>
      </c>
    </row>
    <row r="5938" spans="1:3" x14ac:dyDescent="0.25">
      <c r="A5938" s="115">
        <v>4589800</v>
      </c>
      <c r="B5938" s="115" t="s">
        <v>5702</v>
      </c>
      <c r="C5938" s="117">
        <v>2025.36</v>
      </c>
    </row>
    <row r="5939" spans="1:3" x14ac:dyDescent="0.25">
      <c r="A5939" s="115">
        <v>4588502</v>
      </c>
      <c r="B5939" s="115" t="s">
        <v>5703</v>
      </c>
      <c r="C5939" s="117">
        <v>2025.36</v>
      </c>
    </row>
    <row r="5940" spans="1:3" x14ac:dyDescent="0.25">
      <c r="A5940" s="115">
        <v>4580313</v>
      </c>
      <c r="B5940" s="115" t="s">
        <v>5704</v>
      </c>
      <c r="C5940" s="117">
        <v>2907.09</v>
      </c>
    </row>
    <row r="5941" spans="1:3" x14ac:dyDescent="0.25">
      <c r="A5941" s="115">
        <v>4580314</v>
      </c>
      <c r="B5941" s="115" t="s">
        <v>5705</v>
      </c>
      <c r="C5941" s="117">
        <v>2907.09</v>
      </c>
    </row>
    <row r="5942" spans="1:3" x14ac:dyDescent="0.25">
      <c r="A5942" s="115">
        <v>4580315</v>
      </c>
      <c r="B5942" s="115" t="s">
        <v>5706</v>
      </c>
      <c r="C5942" s="117">
        <v>2907.09</v>
      </c>
    </row>
    <row r="5943" spans="1:3" x14ac:dyDescent="0.25">
      <c r="A5943" s="115">
        <v>4588700</v>
      </c>
      <c r="B5943" s="115" t="s">
        <v>5707</v>
      </c>
      <c r="C5943" s="117">
        <v>2025.36</v>
      </c>
    </row>
    <row r="5944" spans="1:3" x14ac:dyDescent="0.25">
      <c r="A5944" s="115">
        <v>4588600</v>
      </c>
      <c r="B5944" s="115" t="s">
        <v>5708</v>
      </c>
      <c r="C5944" s="117">
        <v>2025.36</v>
      </c>
    </row>
    <row r="5945" spans="1:3" x14ac:dyDescent="0.25">
      <c r="A5945" s="115">
        <v>4281605</v>
      </c>
      <c r="B5945" s="115" t="s">
        <v>5709</v>
      </c>
      <c r="C5945" s="117">
        <v>4467.82</v>
      </c>
    </row>
    <row r="5946" spans="1:3" x14ac:dyDescent="0.25">
      <c r="A5946" s="115">
        <v>4281615</v>
      </c>
      <c r="B5946" s="115" t="s">
        <v>5710</v>
      </c>
      <c r="C5946" s="117">
        <v>4467.82</v>
      </c>
    </row>
    <row r="5947" spans="1:3" x14ac:dyDescent="0.25">
      <c r="A5947" s="115">
        <v>4281613</v>
      </c>
      <c r="B5947" s="115" t="s">
        <v>5711</v>
      </c>
      <c r="C5947" s="117">
        <v>4467.82</v>
      </c>
    </row>
    <row r="5948" spans="1:3" x14ac:dyDescent="0.25">
      <c r="A5948" s="144" t="s">
        <v>5712</v>
      </c>
      <c r="B5948" s="145"/>
      <c r="C5948" s="145"/>
    </row>
    <row r="5949" spans="1:3" x14ac:dyDescent="0.25">
      <c r="A5949" s="115">
        <v>4041100</v>
      </c>
      <c r="B5949" s="115" t="s">
        <v>5713</v>
      </c>
      <c r="C5949" s="117">
        <v>753.6</v>
      </c>
    </row>
    <row r="5950" spans="1:3" x14ac:dyDescent="0.25">
      <c r="A5950" s="115">
        <v>4041228</v>
      </c>
      <c r="B5950" s="115" t="s">
        <v>5714</v>
      </c>
      <c r="C5950" s="117">
        <v>1373.68</v>
      </c>
    </row>
    <row r="5951" spans="1:3" x14ac:dyDescent="0.25">
      <c r="A5951" s="115">
        <v>4041272</v>
      </c>
      <c r="B5951" s="115" t="s">
        <v>5715</v>
      </c>
      <c r="C5951" s="117">
        <v>1373.68</v>
      </c>
    </row>
    <row r="5952" spans="1:3" x14ac:dyDescent="0.25">
      <c r="A5952" s="115">
        <v>4068630</v>
      </c>
      <c r="B5952" s="115" t="s">
        <v>5716</v>
      </c>
      <c r="C5952" s="117">
        <v>2940.19</v>
      </c>
    </row>
    <row r="5953" spans="1:3" x14ac:dyDescent="0.25">
      <c r="A5953" s="115">
        <v>4068680</v>
      </c>
      <c r="B5953" s="115" t="s">
        <v>5717</v>
      </c>
      <c r="C5953" s="117">
        <v>1592.68</v>
      </c>
    </row>
    <row r="5954" spans="1:3" x14ac:dyDescent="0.25">
      <c r="A5954" s="115">
        <v>4068626</v>
      </c>
      <c r="B5954" s="115" t="s">
        <v>5718</v>
      </c>
      <c r="C5954" s="117">
        <v>2254.67</v>
      </c>
    </row>
    <row r="5955" spans="1:3" x14ac:dyDescent="0.25">
      <c r="A5955" s="115">
        <v>4060380</v>
      </c>
      <c r="B5955" s="115" t="s">
        <v>5719</v>
      </c>
      <c r="C5955" s="117">
        <v>3440.53</v>
      </c>
    </row>
    <row r="5956" spans="1:3" x14ac:dyDescent="0.25">
      <c r="A5956" s="115">
        <v>4061328</v>
      </c>
      <c r="B5956" s="115" t="s">
        <v>5720</v>
      </c>
      <c r="C5956" s="117">
        <v>1731.98</v>
      </c>
    </row>
    <row r="5957" spans="1:3" x14ac:dyDescent="0.25">
      <c r="A5957" s="115">
        <v>4061340</v>
      </c>
      <c r="B5957" s="115" t="s">
        <v>5721</v>
      </c>
      <c r="C5957" s="117">
        <v>1443.32</v>
      </c>
    </row>
    <row r="5958" spans="1:3" x14ac:dyDescent="0.25">
      <c r="A5958" s="115">
        <v>4061372</v>
      </c>
      <c r="B5958" s="115" t="s">
        <v>5722</v>
      </c>
      <c r="C5958" s="117">
        <v>1731.98</v>
      </c>
    </row>
    <row r="5959" spans="1:3" x14ac:dyDescent="0.25">
      <c r="A5959" s="115">
        <v>4061800</v>
      </c>
      <c r="B5959" s="115" t="s">
        <v>5723</v>
      </c>
      <c r="C5959" s="117">
        <v>1587.75</v>
      </c>
    </row>
    <row r="5960" spans="1:3" x14ac:dyDescent="0.25">
      <c r="A5960" s="115">
        <v>4061528</v>
      </c>
      <c r="B5960" s="115" t="s">
        <v>5724</v>
      </c>
      <c r="C5960" s="117">
        <v>1050.8599999999999</v>
      </c>
    </row>
    <row r="5961" spans="1:3" x14ac:dyDescent="0.25">
      <c r="A5961" s="115">
        <v>4061572</v>
      </c>
      <c r="B5961" s="115" t="s">
        <v>5725</v>
      </c>
      <c r="C5961" s="117">
        <v>1050.8599999999999</v>
      </c>
    </row>
    <row r="5962" spans="1:3" x14ac:dyDescent="0.25">
      <c r="A5962" s="115">
        <v>4061801</v>
      </c>
      <c r="B5962" s="115" t="s">
        <v>5726</v>
      </c>
      <c r="C5962" s="117">
        <v>1007.11</v>
      </c>
    </row>
    <row r="5963" spans="1:3" x14ac:dyDescent="0.25">
      <c r="A5963" s="115">
        <v>4061428</v>
      </c>
      <c r="B5963" s="115" t="s">
        <v>5727</v>
      </c>
      <c r="C5963" s="117">
        <v>915.08</v>
      </c>
    </row>
    <row r="5964" spans="1:3" x14ac:dyDescent="0.25">
      <c r="A5964" s="115">
        <v>4061440</v>
      </c>
      <c r="B5964" s="115" t="s">
        <v>5728</v>
      </c>
      <c r="C5964" s="117">
        <v>915.08</v>
      </c>
    </row>
    <row r="5965" spans="1:3" x14ac:dyDescent="0.25">
      <c r="A5965" s="115">
        <v>4061472</v>
      </c>
      <c r="B5965" s="115" t="s">
        <v>5729</v>
      </c>
      <c r="C5965" s="117">
        <v>915.08</v>
      </c>
    </row>
    <row r="5966" spans="1:3" x14ac:dyDescent="0.25">
      <c r="A5966" s="115">
        <v>4061672</v>
      </c>
      <c r="B5966" s="115" t="s">
        <v>5730</v>
      </c>
      <c r="C5966" s="117">
        <v>837.32</v>
      </c>
    </row>
    <row r="5967" spans="1:3" x14ac:dyDescent="0.25">
      <c r="A5967" s="115">
        <v>4069281</v>
      </c>
      <c r="B5967" s="115" t="s">
        <v>5731</v>
      </c>
      <c r="C5967" s="117">
        <v>2440.3200000000002</v>
      </c>
    </row>
    <row r="5968" spans="1:3" x14ac:dyDescent="0.25">
      <c r="A5968" s="115">
        <v>4066900</v>
      </c>
      <c r="B5968" s="115" t="s">
        <v>5732</v>
      </c>
      <c r="C5968" s="117">
        <v>2464.5100000000002</v>
      </c>
    </row>
    <row r="5969" spans="1:3" x14ac:dyDescent="0.25">
      <c r="A5969" s="115">
        <v>4066928</v>
      </c>
      <c r="B5969" s="115" t="s">
        <v>5733</v>
      </c>
      <c r="C5969" s="117">
        <v>2464.5100000000002</v>
      </c>
    </row>
    <row r="5970" spans="1:3" x14ac:dyDescent="0.25">
      <c r="A5970" s="115">
        <v>4066972</v>
      </c>
      <c r="B5970" s="115" t="s">
        <v>5734</v>
      </c>
      <c r="C5970" s="117">
        <v>2464.5100000000002</v>
      </c>
    </row>
    <row r="5971" spans="1:3" x14ac:dyDescent="0.25">
      <c r="A5971" s="115">
        <v>4066800</v>
      </c>
      <c r="B5971" s="115" t="s">
        <v>5735</v>
      </c>
      <c r="C5971" s="117">
        <v>1307.6099999999999</v>
      </c>
    </row>
    <row r="5972" spans="1:3" x14ac:dyDescent="0.25">
      <c r="A5972" s="115">
        <v>4066700</v>
      </c>
      <c r="B5972" s="115" t="s">
        <v>5736</v>
      </c>
      <c r="C5972" s="117">
        <v>780.59</v>
      </c>
    </row>
    <row r="5973" spans="1:3" x14ac:dyDescent="0.25">
      <c r="A5973" s="115">
        <v>4067028</v>
      </c>
      <c r="B5973" s="115" t="s">
        <v>5737</v>
      </c>
      <c r="C5973" s="117">
        <v>2847.79</v>
      </c>
    </row>
    <row r="5974" spans="1:3" x14ac:dyDescent="0.25">
      <c r="A5974" s="115">
        <v>4067072</v>
      </c>
      <c r="B5974" s="115" t="s">
        <v>5738</v>
      </c>
      <c r="C5974" s="117">
        <v>2847.79</v>
      </c>
    </row>
    <row r="5975" spans="1:3" x14ac:dyDescent="0.25">
      <c r="A5975" s="115">
        <v>4067280</v>
      </c>
      <c r="B5975" s="115" t="s">
        <v>5739</v>
      </c>
      <c r="C5975" s="117">
        <v>2847.79</v>
      </c>
    </row>
    <row r="5976" spans="1:3" x14ac:dyDescent="0.25">
      <c r="A5976" s="115">
        <v>4069902</v>
      </c>
      <c r="B5976" s="115" t="s">
        <v>5740</v>
      </c>
      <c r="C5976" s="117">
        <v>2329.0700000000002</v>
      </c>
    </row>
    <row r="5977" spans="1:3" x14ac:dyDescent="0.25">
      <c r="A5977" s="115">
        <v>4069903</v>
      </c>
      <c r="B5977" s="115" t="s">
        <v>5741</v>
      </c>
      <c r="C5977" s="117">
        <v>2329.0700000000002</v>
      </c>
    </row>
    <row r="5978" spans="1:3" x14ac:dyDescent="0.25">
      <c r="A5978" s="115">
        <v>4069901</v>
      </c>
      <c r="B5978" s="115" t="s">
        <v>5742</v>
      </c>
      <c r="C5978" s="117">
        <v>2329.0700000000002</v>
      </c>
    </row>
    <row r="5979" spans="1:3" x14ac:dyDescent="0.25">
      <c r="A5979" s="115">
        <v>4061180</v>
      </c>
      <c r="B5979" s="115" t="s">
        <v>5743</v>
      </c>
      <c r="C5979" s="117">
        <v>1220.2</v>
      </c>
    </row>
    <row r="5980" spans="1:3" x14ac:dyDescent="0.25">
      <c r="A5980" s="115">
        <v>4061280</v>
      </c>
      <c r="B5980" s="115" t="s">
        <v>5744</v>
      </c>
      <c r="C5980" s="117">
        <v>1220.2</v>
      </c>
    </row>
    <row r="5981" spans="1:3" x14ac:dyDescent="0.25">
      <c r="A5981" s="115">
        <v>4062140</v>
      </c>
      <c r="B5981" s="115" t="s">
        <v>5745</v>
      </c>
      <c r="C5981" s="117">
        <v>93.32</v>
      </c>
    </row>
    <row r="5982" spans="1:3" x14ac:dyDescent="0.25">
      <c r="A5982" s="115">
        <v>4062040</v>
      </c>
      <c r="B5982" s="115" t="s">
        <v>5746</v>
      </c>
      <c r="C5982" s="117">
        <v>93.32</v>
      </c>
    </row>
    <row r="5983" spans="1:3" x14ac:dyDescent="0.25">
      <c r="A5983" s="115">
        <v>4062180</v>
      </c>
      <c r="B5983" s="115" t="s">
        <v>5747</v>
      </c>
      <c r="C5983" s="117">
        <v>1408.62</v>
      </c>
    </row>
    <row r="5984" spans="1:3" x14ac:dyDescent="0.25">
      <c r="A5984" s="115">
        <v>4068799</v>
      </c>
      <c r="B5984" s="115" t="s">
        <v>5748</v>
      </c>
      <c r="C5984" s="117">
        <v>2110.48</v>
      </c>
    </row>
    <row r="5985" spans="1:3" x14ac:dyDescent="0.25">
      <c r="A5985" s="115">
        <v>4069350</v>
      </c>
      <c r="B5985" s="115" t="s">
        <v>5749</v>
      </c>
      <c r="C5985" s="117">
        <v>2424.19</v>
      </c>
    </row>
    <row r="5986" spans="1:3" x14ac:dyDescent="0.25">
      <c r="A5986" s="115">
        <v>4066602</v>
      </c>
      <c r="B5986" s="115" t="s">
        <v>11602</v>
      </c>
      <c r="C5986" s="117">
        <v>1567.96</v>
      </c>
    </row>
    <row r="5987" spans="1:3" x14ac:dyDescent="0.25">
      <c r="A5987" s="115">
        <v>4066604</v>
      </c>
      <c r="B5987" s="115" t="s">
        <v>11603</v>
      </c>
      <c r="C5987" s="117">
        <v>1567.96</v>
      </c>
    </row>
    <row r="5988" spans="1:3" x14ac:dyDescent="0.25">
      <c r="A5988" s="115">
        <v>4069500</v>
      </c>
      <c r="B5988" s="115" t="s">
        <v>5750</v>
      </c>
      <c r="C5988" s="117">
        <v>1829.05</v>
      </c>
    </row>
    <row r="5989" spans="1:3" x14ac:dyDescent="0.25">
      <c r="A5989" s="115">
        <v>4066603</v>
      </c>
      <c r="B5989" s="115" t="s">
        <v>11604</v>
      </c>
      <c r="C5989" s="117">
        <v>1567.96</v>
      </c>
    </row>
    <row r="5990" spans="1:3" x14ac:dyDescent="0.25">
      <c r="A5990" s="115">
        <v>4069300</v>
      </c>
      <c r="B5990" s="115" t="s">
        <v>5751</v>
      </c>
      <c r="C5990" s="117">
        <v>1279.04</v>
      </c>
    </row>
    <row r="5991" spans="1:3" x14ac:dyDescent="0.25">
      <c r="A5991" s="115">
        <v>4069425</v>
      </c>
      <c r="B5991" s="115" t="s">
        <v>5752</v>
      </c>
      <c r="C5991" s="117">
        <v>7987.89</v>
      </c>
    </row>
    <row r="5992" spans="1:3" x14ac:dyDescent="0.25">
      <c r="A5992" s="115">
        <v>4069426</v>
      </c>
      <c r="B5992" s="115" t="s">
        <v>5753</v>
      </c>
      <c r="C5992" s="117">
        <v>8299.9</v>
      </c>
    </row>
    <row r="5993" spans="1:3" x14ac:dyDescent="0.25">
      <c r="A5993" s="115">
        <v>4066601</v>
      </c>
      <c r="B5993" s="115" t="s">
        <v>5754</v>
      </c>
      <c r="C5993" s="117">
        <v>1814.14</v>
      </c>
    </row>
    <row r="5994" spans="1:3" x14ac:dyDescent="0.25">
      <c r="A5994" s="115">
        <v>4066600</v>
      </c>
      <c r="B5994" s="115" t="s">
        <v>5755</v>
      </c>
      <c r="C5994" s="117">
        <v>3455.51</v>
      </c>
    </row>
    <row r="5995" spans="1:3" x14ac:dyDescent="0.25">
      <c r="A5995" s="115">
        <v>4069325</v>
      </c>
      <c r="B5995" s="115" t="s">
        <v>5756</v>
      </c>
      <c r="C5995" s="117">
        <v>3913.07</v>
      </c>
    </row>
    <row r="5996" spans="1:3" x14ac:dyDescent="0.25">
      <c r="A5996" s="115">
        <v>4069326</v>
      </c>
      <c r="B5996" s="115" t="s">
        <v>5757</v>
      </c>
      <c r="C5996" s="117">
        <v>3721.72</v>
      </c>
    </row>
    <row r="5997" spans="1:3" x14ac:dyDescent="0.25">
      <c r="A5997" s="115">
        <v>4069328</v>
      </c>
      <c r="B5997" s="115" t="s">
        <v>5758</v>
      </c>
      <c r="C5997" s="117">
        <v>3430.02</v>
      </c>
    </row>
    <row r="5998" spans="1:3" x14ac:dyDescent="0.25">
      <c r="A5998" s="115">
        <v>4069312</v>
      </c>
      <c r="B5998" s="115" t="s">
        <v>5759</v>
      </c>
      <c r="C5998" s="117">
        <v>3434.35</v>
      </c>
    </row>
    <row r="5999" spans="1:3" x14ac:dyDescent="0.25">
      <c r="A5999" s="115">
        <v>4069324</v>
      </c>
      <c r="B5999" s="115" t="s">
        <v>5760</v>
      </c>
      <c r="C5999" s="117">
        <v>3430.02</v>
      </c>
    </row>
    <row r="6000" spans="1:3" x14ac:dyDescent="0.25">
      <c r="A6000" s="115">
        <v>4069327</v>
      </c>
      <c r="B6000" s="115" t="s">
        <v>5761</v>
      </c>
      <c r="C6000" s="117">
        <v>1395.4</v>
      </c>
    </row>
    <row r="6001" spans="1:3" x14ac:dyDescent="0.25">
      <c r="A6001" s="115">
        <v>4069340</v>
      </c>
      <c r="B6001" s="115" t="s">
        <v>5762</v>
      </c>
      <c r="C6001" s="117">
        <v>5488.04</v>
      </c>
    </row>
    <row r="6002" spans="1:3" x14ac:dyDescent="0.25">
      <c r="A6002" s="115">
        <v>4068925</v>
      </c>
      <c r="B6002" s="115" t="s">
        <v>5763</v>
      </c>
      <c r="C6002" s="117">
        <v>2182.5100000000002</v>
      </c>
    </row>
    <row r="6003" spans="1:3" x14ac:dyDescent="0.25">
      <c r="A6003" s="115">
        <v>4068926</v>
      </c>
      <c r="B6003" s="115" t="s">
        <v>5764</v>
      </c>
      <c r="C6003" s="117">
        <v>3067.83</v>
      </c>
    </row>
    <row r="6004" spans="1:3" x14ac:dyDescent="0.25">
      <c r="A6004" s="115">
        <v>4068963</v>
      </c>
      <c r="B6004" s="115" t="s">
        <v>5765</v>
      </c>
      <c r="C6004" s="117">
        <v>2678.59</v>
      </c>
    </row>
    <row r="6005" spans="1:3" x14ac:dyDescent="0.25">
      <c r="A6005" s="115">
        <v>4068901</v>
      </c>
      <c r="B6005" s="115" t="s">
        <v>5766</v>
      </c>
      <c r="C6005" s="117">
        <v>2804.39</v>
      </c>
    </row>
    <row r="6006" spans="1:3" x14ac:dyDescent="0.25">
      <c r="A6006" s="115">
        <v>4069525</v>
      </c>
      <c r="B6006" s="115" t="s">
        <v>5767</v>
      </c>
      <c r="C6006" s="117">
        <v>5648.73</v>
      </c>
    </row>
    <row r="6007" spans="1:3" x14ac:dyDescent="0.25">
      <c r="A6007" s="115">
        <v>4069526</v>
      </c>
      <c r="B6007" s="115" t="s">
        <v>5768</v>
      </c>
      <c r="C6007" s="117">
        <v>7548.84</v>
      </c>
    </row>
    <row r="6008" spans="1:3" x14ac:dyDescent="0.25">
      <c r="A6008" s="115">
        <v>4069563</v>
      </c>
      <c r="B6008" s="115" t="s">
        <v>5769</v>
      </c>
      <c r="C6008" s="117">
        <v>6701.28</v>
      </c>
    </row>
    <row r="6009" spans="1:3" x14ac:dyDescent="0.25">
      <c r="A6009" s="115">
        <v>4060810</v>
      </c>
      <c r="B6009" s="115" t="s">
        <v>5770</v>
      </c>
      <c r="C6009" s="117">
        <v>1569.91</v>
      </c>
    </row>
    <row r="6010" spans="1:3" x14ac:dyDescent="0.25">
      <c r="A6010" s="115">
        <v>4060800</v>
      </c>
      <c r="B6010" s="115" t="s">
        <v>5771</v>
      </c>
      <c r="C6010" s="117">
        <v>1569.91</v>
      </c>
    </row>
    <row r="6011" spans="1:3" x14ac:dyDescent="0.25">
      <c r="A6011" s="115">
        <v>4060701</v>
      </c>
      <c r="B6011" s="115" t="s">
        <v>5772</v>
      </c>
      <c r="C6011" s="117">
        <v>1850.42</v>
      </c>
    </row>
    <row r="6012" spans="1:3" x14ac:dyDescent="0.25">
      <c r="A6012" s="115">
        <v>4060700</v>
      </c>
      <c r="B6012" s="115" t="s">
        <v>5773</v>
      </c>
      <c r="C6012" s="117">
        <v>1534.44</v>
      </c>
    </row>
    <row r="6013" spans="1:3" x14ac:dyDescent="0.25">
      <c r="A6013" s="115">
        <v>4060703</v>
      </c>
      <c r="B6013" s="115" t="s">
        <v>5774</v>
      </c>
      <c r="C6013" s="117">
        <v>1454.49</v>
      </c>
    </row>
    <row r="6014" spans="1:3" x14ac:dyDescent="0.25">
      <c r="A6014" s="115">
        <v>4060801</v>
      </c>
      <c r="B6014" s="115" t="s">
        <v>5775</v>
      </c>
      <c r="C6014" s="117">
        <v>1192.2</v>
      </c>
    </row>
    <row r="6015" spans="1:3" x14ac:dyDescent="0.25">
      <c r="A6015" s="115">
        <v>4067528</v>
      </c>
      <c r="B6015" s="115" t="s">
        <v>5776</v>
      </c>
      <c r="C6015" s="117">
        <v>3281.24</v>
      </c>
    </row>
    <row r="6016" spans="1:3" x14ac:dyDescent="0.25">
      <c r="A6016" s="115">
        <v>4067572</v>
      </c>
      <c r="B6016" s="115" t="s">
        <v>5777</v>
      </c>
      <c r="C6016" s="117">
        <v>3281.24</v>
      </c>
    </row>
    <row r="6017" spans="1:3" x14ac:dyDescent="0.25">
      <c r="A6017" s="115">
        <v>4060177</v>
      </c>
      <c r="B6017" s="115" t="s">
        <v>5778</v>
      </c>
      <c r="C6017" s="117">
        <v>2834.18</v>
      </c>
    </row>
    <row r="6018" spans="1:3" x14ac:dyDescent="0.25">
      <c r="A6018" s="115">
        <v>4060176</v>
      </c>
      <c r="B6018" s="115" t="s">
        <v>5779</v>
      </c>
      <c r="C6018" s="117">
        <v>2834.18</v>
      </c>
    </row>
    <row r="6019" spans="1:3" x14ac:dyDescent="0.25">
      <c r="A6019" s="115">
        <v>4060178</v>
      </c>
      <c r="B6019" s="115" t="s">
        <v>5780</v>
      </c>
      <c r="C6019" s="117">
        <v>2834.18</v>
      </c>
    </row>
    <row r="6020" spans="1:3" x14ac:dyDescent="0.25">
      <c r="A6020" s="115">
        <v>4069762</v>
      </c>
      <c r="B6020" s="115" t="s">
        <v>5781</v>
      </c>
      <c r="C6020" s="117">
        <v>3177.68</v>
      </c>
    </row>
    <row r="6021" spans="1:3" x14ac:dyDescent="0.25">
      <c r="A6021" s="115">
        <v>4069800</v>
      </c>
      <c r="B6021" s="115" t="s">
        <v>5782</v>
      </c>
      <c r="C6021" s="117">
        <v>1687.07</v>
      </c>
    </row>
    <row r="6022" spans="1:3" x14ac:dyDescent="0.25">
      <c r="A6022" s="115">
        <v>4068860</v>
      </c>
      <c r="B6022" s="115" t="s">
        <v>5783</v>
      </c>
      <c r="C6022" s="117">
        <v>3527.35</v>
      </c>
    </row>
    <row r="6023" spans="1:3" x14ac:dyDescent="0.25">
      <c r="A6023" s="115">
        <v>4068861</v>
      </c>
      <c r="B6023" s="115" t="s">
        <v>5784</v>
      </c>
      <c r="C6023" s="117">
        <v>5322.03</v>
      </c>
    </row>
    <row r="6024" spans="1:3" x14ac:dyDescent="0.25">
      <c r="A6024" s="115">
        <v>4068862</v>
      </c>
      <c r="B6024" s="115" t="s">
        <v>5785</v>
      </c>
      <c r="C6024" s="117">
        <v>5908.87</v>
      </c>
    </row>
    <row r="6025" spans="1:3" x14ac:dyDescent="0.25">
      <c r="A6025" s="115">
        <v>4068863</v>
      </c>
      <c r="B6025" s="115" t="s">
        <v>5786</v>
      </c>
      <c r="C6025" s="117">
        <v>4200.5200000000004</v>
      </c>
    </row>
    <row r="6026" spans="1:3" x14ac:dyDescent="0.25">
      <c r="A6026" s="115">
        <v>4069763</v>
      </c>
      <c r="B6026" s="115" t="s">
        <v>5787</v>
      </c>
      <c r="C6026" s="117">
        <v>2146.86</v>
      </c>
    </row>
    <row r="6027" spans="1:3" x14ac:dyDescent="0.25">
      <c r="A6027" s="115">
        <v>4069677</v>
      </c>
      <c r="B6027" s="115" t="s">
        <v>5788</v>
      </c>
      <c r="C6027" s="117">
        <v>6331.3</v>
      </c>
    </row>
    <row r="6028" spans="1:3" x14ac:dyDescent="0.25">
      <c r="A6028" s="115">
        <v>4061924</v>
      </c>
      <c r="B6028" s="115" t="s">
        <v>5789</v>
      </c>
      <c r="C6028" s="117">
        <v>7971.85</v>
      </c>
    </row>
    <row r="6029" spans="1:3" x14ac:dyDescent="0.25">
      <c r="A6029" s="144" t="s">
        <v>5790</v>
      </c>
      <c r="B6029" s="145"/>
      <c r="C6029" s="145"/>
    </row>
    <row r="6030" spans="1:3" x14ac:dyDescent="0.25">
      <c r="A6030" s="115">
        <v>3220430</v>
      </c>
      <c r="B6030" s="115" t="s">
        <v>5791</v>
      </c>
      <c r="C6030" s="117">
        <v>667.03</v>
      </c>
    </row>
    <row r="6031" spans="1:3" x14ac:dyDescent="0.25">
      <c r="A6031" s="115">
        <v>3220429</v>
      </c>
      <c r="B6031" s="115" t="s">
        <v>5792</v>
      </c>
      <c r="C6031" s="117">
        <v>667.03</v>
      </c>
    </row>
    <row r="6032" spans="1:3" x14ac:dyDescent="0.25">
      <c r="A6032" s="115">
        <v>3202742</v>
      </c>
      <c r="B6032" s="115" t="s">
        <v>5793</v>
      </c>
      <c r="C6032" s="117">
        <v>10548.12</v>
      </c>
    </row>
    <row r="6033" spans="1:3" x14ac:dyDescent="0.25">
      <c r="A6033" s="115">
        <v>3202741</v>
      </c>
      <c r="B6033" s="115" t="s">
        <v>5794</v>
      </c>
      <c r="C6033" s="117">
        <v>10548.12</v>
      </c>
    </row>
    <row r="6034" spans="1:3" x14ac:dyDescent="0.25">
      <c r="A6034" s="115">
        <v>3202652</v>
      </c>
      <c r="B6034" s="115" t="s">
        <v>5795</v>
      </c>
      <c r="C6034" s="117">
        <v>10548.12</v>
      </c>
    </row>
    <row r="6035" spans="1:3" x14ac:dyDescent="0.25">
      <c r="A6035" s="115">
        <v>3202654</v>
      </c>
      <c r="B6035" s="115" t="s">
        <v>5796</v>
      </c>
      <c r="C6035" s="117">
        <v>10548.12</v>
      </c>
    </row>
    <row r="6036" spans="1:3" x14ac:dyDescent="0.25">
      <c r="A6036" s="115">
        <v>3202655</v>
      </c>
      <c r="B6036" s="115" t="s">
        <v>5797</v>
      </c>
      <c r="C6036" s="117">
        <v>10548.12</v>
      </c>
    </row>
    <row r="6037" spans="1:3" x14ac:dyDescent="0.25">
      <c r="A6037" s="115">
        <v>3202653</v>
      </c>
      <c r="B6037" s="115" t="s">
        <v>5798</v>
      </c>
      <c r="C6037" s="117">
        <v>10548.12</v>
      </c>
    </row>
    <row r="6038" spans="1:3" x14ac:dyDescent="0.25">
      <c r="A6038" s="115">
        <v>3202651</v>
      </c>
      <c r="B6038" s="115" t="s">
        <v>5799</v>
      </c>
      <c r="C6038" s="117">
        <v>10548.12</v>
      </c>
    </row>
    <row r="6039" spans="1:3" x14ac:dyDescent="0.25">
      <c r="A6039" s="115">
        <v>3202511</v>
      </c>
      <c r="B6039" s="115" t="s">
        <v>5800</v>
      </c>
      <c r="C6039" s="117">
        <v>10548.12</v>
      </c>
    </row>
    <row r="6040" spans="1:3" x14ac:dyDescent="0.25">
      <c r="A6040" s="115">
        <v>3202513</v>
      </c>
      <c r="B6040" s="115" t="s">
        <v>5801</v>
      </c>
      <c r="C6040" s="117">
        <v>10548.12</v>
      </c>
    </row>
    <row r="6041" spans="1:3" x14ac:dyDescent="0.25">
      <c r="A6041" s="115">
        <v>3202514</v>
      </c>
      <c r="B6041" s="115" t="s">
        <v>5802</v>
      </c>
      <c r="C6041" s="117">
        <v>10548.12</v>
      </c>
    </row>
    <row r="6042" spans="1:3" x14ac:dyDescent="0.25">
      <c r="A6042" s="115">
        <v>3202512</v>
      </c>
      <c r="B6042" s="115" t="s">
        <v>5803</v>
      </c>
      <c r="C6042" s="117">
        <v>10548.12</v>
      </c>
    </row>
    <row r="6043" spans="1:3" x14ac:dyDescent="0.25">
      <c r="A6043" s="115">
        <v>3202510</v>
      </c>
      <c r="B6043" s="115" t="s">
        <v>5804</v>
      </c>
      <c r="C6043" s="117">
        <v>10548.12</v>
      </c>
    </row>
    <row r="6044" spans="1:3" x14ac:dyDescent="0.25">
      <c r="A6044" s="115">
        <v>3202822</v>
      </c>
      <c r="B6044" s="115" t="s">
        <v>5805</v>
      </c>
      <c r="C6044" s="117">
        <v>10548.12</v>
      </c>
    </row>
    <row r="6045" spans="1:3" x14ac:dyDescent="0.25">
      <c r="A6045" s="115">
        <v>3202824</v>
      </c>
      <c r="B6045" s="115" t="s">
        <v>5806</v>
      </c>
      <c r="C6045" s="117">
        <v>10548.12</v>
      </c>
    </row>
    <row r="6046" spans="1:3" x14ac:dyDescent="0.25">
      <c r="A6046" s="115">
        <v>3202825</v>
      </c>
      <c r="B6046" s="115" t="s">
        <v>5807</v>
      </c>
      <c r="C6046" s="117">
        <v>10548.12</v>
      </c>
    </row>
    <row r="6047" spans="1:3" x14ac:dyDescent="0.25">
      <c r="A6047" s="115">
        <v>3202823</v>
      </c>
      <c r="B6047" s="115" t="s">
        <v>5808</v>
      </c>
      <c r="C6047" s="117">
        <v>10548.12</v>
      </c>
    </row>
    <row r="6048" spans="1:3" x14ac:dyDescent="0.25">
      <c r="A6048" s="115">
        <v>3202821</v>
      </c>
      <c r="B6048" s="115" t="s">
        <v>5809</v>
      </c>
      <c r="C6048" s="117">
        <v>10548.12</v>
      </c>
    </row>
    <row r="6049" spans="1:3" x14ac:dyDescent="0.25">
      <c r="A6049" s="115">
        <v>4201701</v>
      </c>
      <c r="B6049" s="115" t="s">
        <v>5810</v>
      </c>
      <c r="C6049" s="117">
        <v>14650.64</v>
      </c>
    </row>
    <row r="6050" spans="1:3" x14ac:dyDescent="0.25">
      <c r="A6050" s="115">
        <v>4201700</v>
      </c>
      <c r="B6050" s="115" t="s">
        <v>5811</v>
      </c>
      <c r="C6050" s="117">
        <v>14650.64</v>
      </c>
    </row>
    <row r="6051" spans="1:3" x14ac:dyDescent="0.25">
      <c r="A6051" s="115">
        <v>4201585</v>
      </c>
      <c r="B6051" s="115" t="s">
        <v>5812</v>
      </c>
      <c r="C6051" s="117">
        <v>124.23</v>
      </c>
    </row>
    <row r="6052" spans="1:3" x14ac:dyDescent="0.25">
      <c r="A6052" s="115">
        <v>4201590</v>
      </c>
      <c r="B6052" s="115" t="s">
        <v>5813</v>
      </c>
      <c r="C6052" s="117">
        <v>124.23</v>
      </c>
    </row>
    <row r="6053" spans="1:3" x14ac:dyDescent="0.25">
      <c r="A6053" s="115">
        <v>4201581</v>
      </c>
      <c r="B6053" s="115" t="s">
        <v>5814</v>
      </c>
      <c r="C6053" s="117">
        <v>115.16</v>
      </c>
    </row>
    <row r="6054" spans="1:3" x14ac:dyDescent="0.25">
      <c r="A6054" s="115">
        <v>4201588</v>
      </c>
      <c r="B6054" s="115" t="s">
        <v>5815</v>
      </c>
      <c r="C6054" s="117">
        <v>124.23</v>
      </c>
    </row>
    <row r="6055" spans="1:3" x14ac:dyDescent="0.25">
      <c r="A6055" s="115">
        <v>4201587</v>
      </c>
      <c r="B6055" s="115" t="s">
        <v>5816</v>
      </c>
      <c r="C6055" s="117">
        <v>124.23</v>
      </c>
    </row>
    <row r="6056" spans="1:3" x14ac:dyDescent="0.25">
      <c r="A6056" s="115">
        <v>4201583</v>
      </c>
      <c r="B6056" s="115" t="s">
        <v>5817</v>
      </c>
      <c r="C6056" s="117">
        <v>164.52</v>
      </c>
    </row>
    <row r="6057" spans="1:3" x14ac:dyDescent="0.25">
      <c r="A6057" s="115">
        <v>4201580</v>
      </c>
      <c r="B6057" s="115" t="s">
        <v>5818</v>
      </c>
      <c r="C6057" s="117">
        <v>164.52</v>
      </c>
    </row>
    <row r="6058" spans="1:3" x14ac:dyDescent="0.25">
      <c r="A6058" s="115">
        <v>4201584</v>
      </c>
      <c r="B6058" s="115" t="s">
        <v>5819</v>
      </c>
      <c r="C6058" s="117">
        <v>124.23</v>
      </c>
    </row>
    <row r="6059" spans="1:3" x14ac:dyDescent="0.25">
      <c r="A6059" s="115">
        <v>4201586</v>
      </c>
      <c r="B6059" s="115" t="s">
        <v>5820</v>
      </c>
      <c r="C6059" s="117">
        <v>124.23</v>
      </c>
    </row>
    <row r="6060" spans="1:3" x14ac:dyDescent="0.25">
      <c r="A6060" s="115">
        <v>4201582</v>
      </c>
      <c r="B6060" s="115" t="s">
        <v>5821</v>
      </c>
      <c r="C6060" s="117">
        <v>164.52</v>
      </c>
    </row>
    <row r="6061" spans="1:3" x14ac:dyDescent="0.25">
      <c r="A6061" s="115">
        <v>4201589</v>
      </c>
      <c r="B6061" s="115" t="s">
        <v>5822</v>
      </c>
      <c r="C6061" s="117">
        <v>124.23</v>
      </c>
    </row>
    <row r="6062" spans="1:3" x14ac:dyDescent="0.25">
      <c r="A6062" s="115">
        <v>4204036</v>
      </c>
      <c r="B6062" s="115" t="s">
        <v>5823</v>
      </c>
      <c r="C6062" s="117">
        <v>251.24</v>
      </c>
    </row>
    <row r="6063" spans="1:3" x14ac:dyDescent="0.25">
      <c r="A6063" s="115">
        <v>4204072</v>
      </c>
      <c r="B6063" s="115" t="s">
        <v>5824</v>
      </c>
      <c r="C6063" s="117">
        <v>1044.94</v>
      </c>
    </row>
    <row r="6064" spans="1:3" x14ac:dyDescent="0.25">
      <c r="A6064" s="115">
        <v>4204023</v>
      </c>
      <c r="B6064" s="115" t="s">
        <v>5825</v>
      </c>
      <c r="C6064" s="117">
        <v>251.24</v>
      </c>
    </row>
    <row r="6065" spans="1:3" x14ac:dyDescent="0.25">
      <c r="A6065" s="115">
        <v>4204012</v>
      </c>
      <c r="B6065" s="115" t="s">
        <v>5826</v>
      </c>
      <c r="C6065" s="117">
        <v>251.24</v>
      </c>
    </row>
    <row r="6066" spans="1:3" x14ac:dyDescent="0.25">
      <c r="A6066" s="115">
        <v>4204025</v>
      </c>
      <c r="B6066" s="115" t="s">
        <v>5827</v>
      </c>
      <c r="C6066" s="117">
        <v>251.24</v>
      </c>
    </row>
    <row r="6067" spans="1:3" x14ac:dyDescent="0.25">
      <c r="A6067" s="115">
        <v>4204028</v>
      </c>
      <c r="B6067" s="115" t="s">
        <v>5828</v>
      </c>
      <c r="C6067" s="117">
        <v>251.24</v>
      </c>
    </row>
    <row r="6068" spans="1:3" x14ac:dyDescent="0.25">
      <c r="A6068" s="115">
        <v>4201596</v>
      </c>
      <c r="B6068" s="115" t="s">
        <v>5829</v>
      </c>
      <c r="C6068" s="117">
        <v>20.28</v>
      </c>
    </row>
    <row r="6069" spans="1:3" x14ac:dyDescent="0.25">
      <c r="A6069" s="115">
        <v>4201800</v>
      </c>
      <c r="B6069" s="115" t="s">
        <v>5830</v>
      </c>
      <c r="C6069" s="117">
        <v>404.88</v>
      </c>
    </row>
    <row r="6070" spans="1:3" x14ac:dyDescent="0.25">
      <c r="A6070" s="115">
        <v>4201926</v>
      </c>
      <c r="B6070" s="115" t="s">
        <v>5831</v>
      </c>
      <c r="C6070" s="117">
        <v>542.22</v>
      </c>
    </row>
    <row r="6071" spans="1:3" x14ac:dyDescent="0.25">
      <c r="A6071" s="115">
        <v>4201962</v>
      </c>
      <c r="B6071" s="115" t="s">
        <v>5832</v>
      </c>
      <c r="C6071" s="117">
        <v>542.22</v>
      </c>
    </row>
    <row r="6072" spans="1:3" x14ac:dyDescent="0.25">
      <c r="A6072" s="115">
        <v>4201983</v>
      </c>
      <c r="B6072" s="115" t="s">
        <v>5833</v>
      </c>
      <c r="C6072" s="117">
        <v>542.22</v>
      </c>
    </row>
    <row r="6073" spans="1:3" x14ac:dyDescent="0.25">
      <c r="A6073" s="115">
        <v>4201977</v>
      </c>
      <c r="B6073" s="115" t="s">
        <v>5834</v>
      </c>
      <c r="C6073" s="117">
        <v>542.22</v>
      </c>
    </row>
    <row r="6074" spans="1:3" x14ac:dyDescent="0.25">
      <c r="A6074" s="115">
        <v>4203004</v>
      </c>
      <c r="B6074" s="115" t="s">
        <v>5835</v>
      </c>
      <c r="C6074" s="117">
        <v>4519.21</v>
      </c>
    </row>
    <row r="6075" spans="1:3" x14ac:dyDescent="0.25">
      <c r="A6075" s="115">
        <v>4203005</v>
      </c>
      <c r="B6075" s="115" t="s">
        <v>5836</v>
      </c>
      <c r="C6075" s="117">
        <v>4519.21</v>
      </c>
    </row>
    <row r="6076" spans="1:3" x14ac:dyDescent="0.25">
      <c r="A6076" s="115">
        <v>4203011</v>
      </c>
      <c r="B6076" s="115" t="s">
        <v>5837</v>
      </c>
      <c r="C6076" s="117">
        <v>4519.21</v>
      </c>
    </row>
    <row r="6077" spans="1:3" x14ac:dyDescent="0.25">
      <c r="A6077" s="115">
        <v>4203012</v>
      </c>
      <c r="B6077" s="115" t="s">
        <v>5838</v>
      </c>
      <c r="C6077" s="117">
        <v>4519.21</v>
      </c>
    </row>
    <row r="6078" spans="1:3" x14ac:dyDescent="0.25">
      <c r="A6078" s="115">
        <v>4203013</v>
      </c>
      <c r="B6078" s="115" t="s">
        <v>5839</v>
      </c>
      <c r="C6078" s="117">
        <v>4519.21</v>
      </c>
    </row>
    <row r="6079" spans="1:3" x14ac:dyDescent="0.25">
      <c r="A6079" s="115">
        <v>4203015</v>
      </c>
      <c r="B6079" s="115" t="s">
        <v>5840</v>
      </c>
      <c r="C6079" s="117">
        <v>4519.21</v>
      </c>
    </row>
    <row r="6080" spans="1:3" x14ac:dyDescent="0.25">
      <c r="A6080" s="115">
        <v>4203016</v>
      </c>
      <c r="B6080" s="115" t="s">
        <v>5841</v>
      </c>
      <c r="C6080" s="117">
        <v>4519.21</v>
      </c>
    </row>
    <row r="6081" spans="1:3" x14ac:dyDescent="0.25">
      <c r="A6081" s="115">
        <v>4203019</v>
      </c>
      <c r="B6081" s="115" t="s">
        <v>5842</v>
      </c>
      <c r="C6081" s="117">
        <v>4519.21</v>
      </c>
    </row>
    <row r="6082" spans="1:3" x14ac:dyDescent="0.25">
      <c r="A6082" s="115">
        <v>4203020</v>
      </c>
      <c r="B6082" s="115" t="s">
        <v>5843</v>
      </c>
      <c r="C6082" s="117">
        <v>4519.21</v>
      </c>
    </row>
    <row r="6083" spans="1:3" x14ac:dyDescent="0.25">
      <c r="A6083" s="115">
        <v>4203022</v>
      </c>
      <c r="B6083" s="115" t="s">
        <v>5844</v>
      </c>
      <c r="C6083" s="117">
        <v>4519.21</v>
      </c>
    </row>
    <row r="6084" spans="1:3" x14ac:dyDescent="0.25">
      <c r="A6084" s="115">
        <v>4203023</v>
      </c>
      <c r="B6084" s="115" t="s">
        <v>5845</v>
      </c>
      <c r="C6084" s="117">
        <v>4519.21</v>
      </c>
    </row>
    <row r="6085" spans="1:3" x14ac:dyDescent="0.25">
      <c r="A6085" s="115">
        <v>4203024</v>
      </c>
      <c r="B6085" s="115" t="s">
        <v>5846</v>
      </c>
      <c r="C6085" s="117">
        <v>4519.21</v>
      </c>
    </row>
    <row r="6086" spans="1:3" x14ac:dyDescent="0.25">
      <c r="A6086" s="115">
        <v>4203025</v>
      </c>
      <c r="B6086" s="115" t="s">
        <v>5847</v>
      </c>
      <c r="C6086" s="117">
        <v>4519.21</v>
      </c>
    </row>
    <row r="6087" spans="1:3" x14ac:dyDescent="0.25">
      <c r="A6087" s="115">
        <v>4203026</v>
      </c>
      <c r="B6087" s="115" t="s">
        <v>5848</v>
      </c>
      <c r="C6087" s="117">
        <v>4519.21</v>
      </c>
    </row>
    <row r="6088" spans="1:3" x14ac:dyDescent="0.25">
      <c r="A6088" s="115">
        <v>4203027</v>
      </c>
      <c r="B6088" s="115" t="s">
        <v>5849</v>
      </c>
      <c r="C6088" s="117">
        <v>4519.21</v>
      </c>
    </row>
    <row r="6089" spans="1:3" x14ac:dyDescent="0.25">
      <c r="A6089" s="115">
        <v>4203030</v>
      </c>
      <c r="B6089" s="115" t="s">
        <v>5850</v>
      </c>
      <c r="C6089" s="117">
        <v>4519.21</v>
      </c>
    </row>
    <row r="6090" spans="1:3" x14ac:dyDescent="0.25">
      <c r="A6090" s="115">
        <v>4203032</v>
      </c>
      <c r="B6090" s="115" t="s">
        <v>5851</v>
      </c>
      <c r="C6090" s="117">
        <v>4519.21</v>
      </c>
    </row>
    <row r="6091" spans="1:3" x14ac:dyDescent="0.25">
      <c r="A6091" s="115">
        <v>4203033</v>
      </c>
      <c r="B6091" s="115" t="s">
        <v>5852</v>
      </c>
      <c r="C6091" s="117">
        <v>4519.21</v>
      </c>
    </row>
    <row r="6092" spans="1:3" x14ac:dyDescent="0.25">
      <c r="A6092" s="115">
        <v>4203034</v>
      </c>
      <c r="B6092" s="115" t="s">
        <v>5853</v>
      </c>
      <c r="C6092" s="117">
        <v>4519.21</v>
      </c>
    </row>
    <row r="6093" spans="1:3" x14ac:dyDescent="0.25">
      <c r="A6093" s="115">
        <v>4203037</v>
      </c>
      <c r="B6093" s="115" t="s">
        <v>5854</v>
      </c>
      <c r="C6093" s="117">
        <v>4519.21</v>
      </c>
    </row>
    <row r="6094" spans="1:3" x14ac:dyDescent="0.25">
      <c r="A6094" s="115">
        <v>4203031</v>
      </c>
      <c r="B6094" s="115" t="s">
        <v>5855</v>
      </c>
      <c r="C6094" s="117">
        <v>4519.21</v>
      </c>
    </row>
    <row r="6095" spans="1:3" x14ac:dyDescent="0.25">
      <c r="A6095" s="115">
        <v>4203035</v>
      </c>
      <c r="B6095" s="115" t="s">
        <v>5856</v>
      </c>
      <c r="C6095" s="117">
        <v>4519.21</v>
      </c>
    </row>
    <row r="6096" spans="1:3" x14ac:dyDescent="0.25">
      <c r="A6096" s="115">
        <v>4203036</v>
      </c>
      <c r="B6096" s="115" t="s">
        <v>5857</v>
      </c>
      <c r="C6096" s="117">
        <v>4519.21</v>
      </c>
    </row>
    <row r="6097" spans="1:3" x14ac:dyDescent="0.25">
      <c r="A6097" s="115">
        <v>4203038</v>
      </c>
      <c r="B6097" s="115" t="s">
        <v>5858</v>
      </c>
      <c r="C6097" s="117">
        <v>4519.21</v>
      </c>
    </row>
    <row r="6098" spans="1:3" x14ac:dyDescent="0.25">
      <c r="A6098" s="115">
        <v>4203040</v>
      </c>
      <c r="B6098" s="115" t="s">
        <v>5859</v>
      </c>
      <c r="C6098" s="117">
        <v>4519.21</v>
      </c>
    </row>
    <row r="6099" spans="1:3" x14ac:dyDescent="0.25">
      <c r="A6099" s="115">
        <v>4203048</v>
      </c>
      <c r="B6099" s="115" t="s">
        <v>5860</v>
      </c>
      <c r="C6099" s="117">
        <v>4519.21</v>
      </c>
    </row>
    <row r="6100" spans="1:3" x14ac:dyDescent="0.25">
      <c r="A6100" s="115">
        <v>4201200</v>
      </c>
      <c r="B6100" s="115" t="s">
        <v>5861</v>
      </c>
      <c r="C6100" s="117">
        <v>13756.26</v>
      </c>
    </row>
    <row r="6101" spans="1:3" x14ac:dyDescent="0.25">
      <c r="A6101" s="115">
        <v>4201329</v>
      </c>
      <c r="B6101" s="115" t="s">
        <v>5862</v>
      </c>
      <c r="C6101" s="117">
        <v>5007.88</v>
      </c>
    </row>
    <row r="6102" spans="1:3" x14ac:dyDescent="0.25">
      <c r="A6102" s="115">
        <v>4201376</v>
      </c>
      <c r="B6102" s="115" t="s">
        <v>5863</v>
      </c>
      <c r="C6102" s="117">
        <v>5007.88</v>
      </c>
    </row>
    <row r="6103" spans="1:3" x14ac:dyDescent="0.25">
      <c r="A6103" s="115">
        <v>4201383</v>
      </c>
      <c r="B6103" s="115" t="s">
        <v>5864</v>
      </c>
      <c r="C6103" s="117">
        <v>5007.88</v>
      </c>
    </row>
    <row r="6104" spans="1:3" x14ac:dyDescent="0.25">
      <c r="A6104" s="115">
        <v>4201591</v>
      </c>
      <c r="B6104" s="115" t="s">
        <v>5865</v>
      </c>
      <c r="C6104" s="117">
        <v>164.51</v>
      </c>
    </row>
    <row r="6105" spans="1:3" x14ac:dyDescent="0.25">
      <c r="A6105" s="115">
        <v>4969803</v>
      </c>
      <c r="B6105" s="115" t="s">
        <v>5866</v>
      </c>
      <c r="C6105" s="117">
        <v>23175.919999999998</v>
      </c>
    </row>
    <row r="6106" spans="1:3" x14ac:dyDescent="0.25">
      <c r="A6106" s="115">
        <v>4204008</v>
      </c>
      <c r="B6106" s="115" t="s">
        <v>5867</v>
      </c>
      <c r="C6106" s="117">
        <v>3.8</v>
      </c>
    </row>
    <row r="6107" spans="1:3" x14ac:dyDescent="0.25">
      <c r="A6107" s="115">
        <v>4204004</v>
      </c>
      <c r="B6107" s="115" t="s">
        <v>5868</v>
      </c>
      <c r="C6107" s="117">
        <v>3.8</v>
      </c>
    </row>
    <row r="6108" spans="1:3" x14ac:dyDescent="0.25">
      <c r="A6108" s="115">
        <v>4204013</v>
      </c>
      <c r="B6108" s="115" t="s">
        <v>5869</v>
      </c>
      <c r="C6108" s="117">
        <v>28.93</v>
      </c>
    </row>
    <row r="6109" spans="1:3" x14ac:dyDescent="0.25">
      <c r="A6109" s="115">
        <v>4204005</v>
      </c>
      <c r="B6109" s="115" t="s">
        <v>5870</v>
      </c>
      <c r="C6109" s="117">
        <v>3.8</v>
      </c>
    </row>
    <row r="6110" spans="1:3" x14ac:dyDescent="0.25">
      <c r="A6110" s="115">
        <v>4204002</v>
      </c>
      <c r="B6110" s="115" t="s">
        <v>5871</v>
      </c>
      <c r="C6110" s="117">
        <v>3.8</v>
      </c>
    </row>
    <row r="6111" spans="1:3" x14ac:dyDescent="0.25">
      <c r="A6111" s="115">
        <v>4204021</v>
      </c>
      <c r="B6111" s="115" t="s">
        <v>5872</v>
      </c>
      <c r="C6111" s="117">
        <v>347.12</v>
      </c>
    </row>
    <row r="6112" spans="1:3" x14ac:dyDescent="0.25">
      <c r="A6112" s="115">
        <v>4204020</v>
      </c>
      <c r="B6112" s="115" t="s">
        <v>5873</v>
      </c>
      <c r="C6112" s="117">
        <v>347.12</v>
      </c>
    </row>
    <row r="6113" spans="1:3" x14ac:dyDescent="0.25">
      <c r="A6113" s="115">
        <v>4204003</v>
      </c>
      <c r="B6113" s="115" t="s">
        <v>5874</v>
      </c>
      <c r="C6113" s="117">
        <v>3.8</v>
      </c>
    </row>
    <row r="6114" spans="1:3" x14ac:dyDescent="0.25">
      <c r="A6114" s="115">
        <v>4204010</v>
      </c>
      <c r="B6114" s="115" t="s">
        <v>5875</v>
      </c>
      <c r="C6114" s="117">
        <v>3.8</v>
      </c>
    </row>
    <row r="6115" spans="1:3" x14ac:dyDescent="0.25">
      <c r="A6115" s="115">
        <v>4204016</v>
      </c>
      <c r="B6115" s="115" t="s">
        <v>5876</v>
      </c>
      <c r="C6115" s="117">
        <v>347.12</v>
      </c>
    </row>
    <row r="6116" spans="1:3" x14ac:dyDescent="0.25">
      <c r="A6116" s="115">
        <v>4204006</v>
      </c>
      <c r="B6116" s="115" t="s">
        <v>5877</v>
      </c>
      <c r="C6116" s="117">
        <v>3.8</v>
      </c>
    </row>
    <row r="6117" spans="1:3" x14ac:dyDescent="0.25">
      <c r="A6117" s="115">
        <v>4204029</v>
      </c>
      <c r="B6117" s="115" t="s">
        <v>5878</v>
      </c>
      <c r="C6117" s="117">
        <v>347.12</v>
      </c>
    </row>
    <row r="6118" spans="1:3" x14ac:dyDescent="0.25">
      <c r="A6118" s="115">
        <v>4204031</v>
      </c>
      <c r="B6118" s="115" t="s">
        <v>5879</v>
      </c>
      <c r="C6118" s="117">
        <v>347.12</v>
      </c>
    </row>
    <row r="6119" spans="1:3" x14ac:dyDescent="0.25">
      <c r="A6119" s="115">
        <v>4201009</v>
      </c>
      <c r="B6119" s="115" t="s">
        <v>5880</v>
      </c>
      <c r="C6119" s="117">
        <v>27.64</v>
      </c>
    </row>
    <row r="6120" spans="1:3" x14ac:dyDescent="0.25">
      <c r="A6120" s="115">
        <v>4203102</v>
      </c>
      <c r="B6120" s="115" t="s">
        <v>5881</v>
      </c>
      <c r="C6120" s="117">
        <v>27.64</v>
      </c>
    </row>
    <row r="6121" spans="1:3" x14ac:dyDescent="0.25">
      <c r="A6121" s="115">
        <v>4203104</v>
      </c>
      <c r="B6121" s="115" t="s">
        <v>5882</v>
      </c>
      <c r="C6121" s="117">
        <v>27.64</v>
      </c>
    </row>
    <row r="6122" spans="1:3" x14ac:dyDescent="0.25">
      <c r="A6122" s="115">
        <v>4201169</v>
      </c>
      <c r="B6122" s="115" t="s">
        <v>5883</v>
      </c>
      <c r="C6122" s="117">
        <v>27.64</v>
      </c>
    </row>
    <row r="6123" spans="1:3" x14ac:dyDescent="0.25">
      <c r="A6123" s="115">
        <v>4201016</v>
      </c>
      <c r="B6123" s="115" t="s">
        <v>5884</v>
      </c>
      <c r="C6123" s="117">
        <v>27.64</v>
      </c>
    </row>
    <row r="6124" spans="1:3" x14ac:dyDescent="0.25">
      <c r="A6124" s="115">
        <v>4201010</v>
      </c>
      <c r="B6124" s="115" t="s">
        <v>5885</v>
      </c>
      <c r="C6124" s="117">
        <v>27.64</v>
      </c>
    </row>
    <row r="6125" spans="1:3" x14ac:dyDescent="0.25">
      <c r="A6125" s="115">
        <v>4201160</v>
      </c>
      <c r="B6125" s="115" t="s">
        <v>5886</v>
      </c>
      <c r="C6125" s="117">
        <v>27.64</v>
      </c>
    </row>
    <row r="6126" spans="1:3" x14ac:dyDescent="0.25">
      <c r="A6126" s="115">
        <v>4203101</v>
      </c>
      <c r="B6126" s="115" t="s">
        <v>5887</v>
      </c>
      <c r="C6126" s="117">
        <v>27.64</v>
      </c>
    </row>
    <row r="6127" spans="1:3" x14ac:dyDescent="0.25">
      <c r="A6127" s="115">
        <v>4203167</v>
      </c>
      <c r="B6127" s="115" t="s">
        <v>5888</v>
      </c>
      <c r="C6127" s="117">
        <v>2549.63</v>
      </c>
    </row>
    <row r="6128" spans="1:3" x14ac:dyDescent="0.25">
      <c r="A6128" s="115">
        <v>4203183</v>
      </c>
      <c r="B6128" s="115" t="s">
        <v>5889</v>
      </c>
      <c r="C6128" s="117">
        <v>2549.63</v>
      </c>
    </row>
    <row r="6129" spans="1:3" x14ac:dyDescent="0.25">
      <c r="A6129" s="115">
        <v>4341100</v>
      </c>
      <c r="B6129" s="115" t="s">
        <v>5890</v>
      </c>
      <c r="C6129" s="117">
        <v>4549.33</v>
      </c>
    </row>
    <row r="6130" spans="1:3" x14ac:dyDescent="0.25">
      <c r="A6130" s="144" t="s">
        <v>5891</v>
      </c>
      <c r="B6130" s="145"/>
      <c r="C6130" s="145"/>
    </row>
    <row r="6131" spans="1:3" x14ac:dyDescent="0.25">
      <c r="A6131" s="115">
        <v>4021138</v>
      </c>
      <c r="B6131" s="115" t="s">
        <v>5892</v>
      </c>
      <c r="C6131" s="117">
        <v>3095.34</v>
      </c>
    </row>
    <row r="6132" spans="1:3" x14ac:dyDescent="0.25">
      <c r="A6132" s="115">
        <v>4021155</v>
      </c>
      <c r="B6132" s="115" t="s">
        <v>5893</v>
      </c>
      <c r="C6132" s="117">
        <v>928.6</v>
      </c>
    </row>
    <row r="6133" spans="1:3" x14ac:dyDescent="0.25">
      <c r="A6133" s="115">
        <v>4021139</v>
      </c>
      <c r="B6133" s="115" t="s">
        <v>5894</v>
      </c>
      <c r="C6133" s="117">
        <v>3095.34</v>
      </c>
    </row>
    <row r="6134" spans="1:3" x14ac:dyDescent="0.25">
      <c r="A6134" s="115">
        <v>4021777</v>
      </c>
      <c r="B6134" s="115" t="s">
        <v>5895</v>
      </c>
      <c r="C6134" s="117">
        <v>1649.87</v>
      </c>
    </row>
    <row r="6135" spans="1:3" x14ac:dyDescent="0.25">
      <c r="A6135" s="115">
        <v>4021792</v>
      </c>
      <c r="B6135" s="115" t="s">
        <v>5896</v>
      </c>
      <c r="C6135" s="117">
        <v>2398.71</v>
      </c>
    </row>
    <row r="6136" spans="1:3" x14ac:dyDescent="0.25">
      <c r="A6136" s="115">
        <v>4021770</v>
      </c>
      <c r="B6136" s="115" t="s">
        <v>5897</v>
      </c>
      <c r="C6136" s="117">
        <v>1649.87</v>
      </c>
    </row>
    <row r="6137" spans="1:3" x14ac:dyDescent="0.25">
      <c r="A6137" s="115">
        <v>4021794</v>
      </c>
      <c r="B6137" s="115" t="s">
        <v>5898</v>
      </c>
      <c r="C6137" s="117">
        <v>2398.71</v>
      </c>
    </row>
    <row r="6138" spans="1:3" x14ac:dyDescent="0.25">
      <c r="A6138" s="115">
        <v>4021775</v>
      </c>
      <c r="B6138" s="115" t="s">
        <v>5899</v>
      </c>
      <c r="C6138" s="117">
        <v>1649.87</v>
      </c>
    </row>
    <row r="6139" spans="1:3" x14ac:dyDescent="0.25">
      <c r="A6139" s="115">
        <v>4021791</v>
      </c>
      <c r="B6139" s="115" t="s">
        <v>5900</v>
      </c>
      <c r="C6139" s="117">
        <v>2398.71</v>
      </c>
    </row>
    <row r="6140" spans="1:3" x14ac:dyDescent="0.25">
      <c r="A6140" s="115">
        <v>4021779</v>
      </c>
      <c r="B6140" s="115" t="s">
        <v>5901</v>
      </c>
      <c r="C6140" s="117">
        <v>867.95</v>
      </c>
    </row>
    <row r="6141" spans="1:3" x14ac:dyDescent="0.25">
      <c r="A6141" s="115">
        <v>4021778</v>
      </c>
      <c r="B6141" s="115" t="s">
        <v>5902</v>
      </c>
      <c r="C6141" s="117">
        <v>867.95</v>
      </c>
    </row>
    <row r="6142" spans="1:3" x14ac:dyDescent="0.25">
      <c r="A6142" s="115">
        <v>4021776</v>
      </c>
      <c r="B6142" s="115" t="s">
        <v>5903</v>
      </c>
      <c r="C6142" s="117">
        <v>1649.87</v>
      </c>
    </row>
    <row r="6143" spans="1:3" x14ac:dyDescent="0.25">
      <c r="A6143" s="115">
        <v>4021702</v>
      </c>
      <c r="B6143" s="115" t="s">
        <v>5904</v>
      </c>
      <c r="C6143" s="117">
        <v>7514.44</v>
      </c>
    </row>
    <row r="6144" spans="1:3" x14ac:dyDescent="0.25">
      <c r="A6144" s="115">
        <v>4021707</v>
      </c>
      <c r="B6144" s="115" t="s">
        <v>5905</v>
      </c>
      <c r="C6144" s="117">
        <v>4755.51</v>
      </c>
    </row>
    <row r="6145" spans="1:3" x14ac:dyDescent="0.25">
      <c r="A6145" s="115">
        <v>4021772</v>
      </c>
      <c r="B6145" s="115" t="s">
        <v>5906</v>
      </c>
      <c r="C6145" s="117">
        <v>4755.51</v>
      </c>
    </row>
    <row r="6146" spans="1:3" x14ac:dyDescent="0.25">
      <c r="A6146" s="115">
        <v>4021796</v>
      </c>
      <c r="B6146" s="115" t="s">
        <v>5907</v>
      </c>
      <c r="C6146" s="117">
        <v>2254.33</v>
      </c>
    </row>
    <row r="6147" spans="1:3" x14ac:dyDescent="0.25">
      <c r="A6147" s="115">
        <v>4021793</v>
      </c>
      <c r="B6147" s="115" t="s">
        <v>5908</v>
      </c>
      <c r="C6147" s="117">
        <v>1734.1</v>
      </c>
    </row>
    <row r="6148" spans="1:3" x14ac:dyDescent="0.25">
      <c r="A6148" s="115">
        <v>4021750</v>
      </c>
      <c r="B6148" s="115" t="s">
        <v>5909</v>
      </c>
      <c r="C6148" s="117">
        <v>3425.74</v>
      </c>
    </row>
    <row r="6149" spans="1:3" x14ac:dyDescent="0.25">
      <c r="A6149" s="115">
        <v>4021730</v>
      </c>
      <c r="B6149" s="115" t="s">
        <v>5910</v>
      </c>
      <c r="C6149" s="117">
        <v>3425.74</v>
      </c>
    </row>
    <row r="6150" spans="1:3" x14ac:dyDescent="0.25">
      <c r="A6150" s="115">
        <v>4021795</v>
      </c>
      <c r="B6150" s="115" t="s">
        <v>5911</v>
      </c>
      <c r="C6150" s="117">
        <v>5780.34</v>
      </c>
    </row>
    <row r="6151" spans="1:3" x14ac:dyDescent="0.25">
      <c r="A6151" s="115">
        <v>4021771</v>
      </c>
      <c r="B6151" s="115" t="s">
        <v>5912</v>
      </c>
      <c r="C6151" s="117">
        <v>3425.74</v>
      </c>
    </row>
    <row r="6152" spans="1:3" x14ac:dyDescent="0.25">
      <c r="A6152" s="115">
        <v>4021705</v>
      </c>
      <c r="B6152" s="115" t="s">
        <v>5913</v>
      </c>
      <c r="C6152" s="117">
        <v>1426.65</v>
      </c>
    </row>
    <row r="6153" spans="1:3" x14ac:dyDescent="0.25">
      <c r="A6153" s="115">
        <v>4021703</v>
      </c>
      <c r="B6153" s="115" t="s">
        <v>5914</v>
      </c>
      <c r="C6153" s="117">
        <v>7514.44</v>
      </c>
    </row>
    <row r="6154" spans="1:3" x14ac:dyDescent="0.25">
      <c r="A6154" s="115">
        <v>4021708</v>
      </c>
      <c r="B6154" s="115" t="s">
        <v>5915</v>
      </c>
      <c r="C6154" s="117">
        <v>4755.51</v>
      </c>
    </row>
    <row r="6155" spans="1:3" x14ac:dyDescent="0.25">
      <c r="A6155" s="115">
        <v>4021774</v>
      </c>
      <c r="B6155" s="115" t="s">
        <v>5916</v>
      </c>
      <c r="C6155" s="117">
        <v>1426.65</v>
      </c>
    </row>
    <row r="6156" spans="1:3" x14ac:dyDescent="0.25">
      <c r="A6156" s="115">
        <v>4021999</v>
      </c>
      <c r="B6156" s="115" t="s">
        <v>5917</v>
      </c>
      <c r="C6156" s="117">
        <v>2254.33</v>
      </c>
    </row>
    <row r="6157" spans="1:3" x14ac:dyDescent="0.25">
      <c r="A6157" s="115">
        <v>4021704</v>
      </c>
      <c r="B6157" s="115" t="s">
        <v>5918</v>
      </c>
      <c r="C6157" s="117">
        <v>7514.44</v>
      </c>
    </row>
    <row r="6158" spans="1:3" x14ac:dyDescent="0.25">
      <c r="A6158" s="115">
        <v>4021709</v>
      </c>
      <c r="B6158" s="115" t="s">
        <v>5919</v>
      </c>
      <c r="C6158" s="117">
        <v>4755.51</v>
      </c>
    </row>
    <row r="6159" spans="1:3" x14ac:dyDescent="0.25">
      <c r="A6159" s="115">
        <v>4021773</v>
      </c>
      <c r="B6159" s="115" t="s">
        <v>5920</v>
      </c>
      <c r="C6159" s="117">
        <v>4755.51</v>
      </c>
    </row>
    <row r="6160" spans="1:3" x14ac:dyDescent="0.25">
      <c r="A6160" s="115">
        <v>4021797</v>
      </c>
      <c r="B6160" s="115" t="s">
        <v>5921</v>
      </c>
      <c r="C6160" s="117">
        <v>7514.44</v>
      </c>
    </row>
    <row r="6161" spans="1:3" x14ac:dyDescent="0.25">
      <c r="A6161" s="115">
        <v>4021701</v>
      </c>
      <c r="B6161" s="115" t="s">
        <v>5922</v>
      </c>
      <c r="C6161" s="117">
        <v>2254.33</v>
      </c>
    </row>
    <row r="6162" spans="1:3" x14ac:dyDescent="0.25">
      <c r="A6162" s="115">
        <v>4021706</v>
      </c>
      <c r="B6162" s="115" t="s">
        <v>5923</v>
      </c>
      <c r="C6162" s="117">
        <v>1426.65</v>
      </c>
    </row>
    <row r="6163" spans="1:3" x14ac:dyDescent="0.25">
      <c r="A6163" s="115">
        <v>4021712</v>
      </c>
      <c r="B6163" s="115" t="s">
        <v>5924</v>
      </c>
      <c r="C6163" s="117">
        <v>7514.44</v>
      </c>
    </row>
    <row r="6164" spans="1:3" x14ac:dyDescent="0.25">
      <c r="A6164" s="115">
        <v>4021715</v>
      </c>
      <c r="B6164" s="115" t="s">
        <v>5925</v>
      </c>
      <c r="C6164" s="117">
        <v>4755.51</v>
      </c>
    </row>
    <row r="6165" spans="1:3" x14ac:dyDescent="0.25">
      <c r="A6165" s="115">
        <v>4021741</v>
      </c>
      <c r="B6165" s="115" t="s">
        <v>5926</v>
      </c>
      <c r="C6165" s="117">
        <v>7514.44</v>
      </c>
    </row>
    <row r="6166" spans="1:3" x14ac:dyDescent="0.25">
      <c r="A6166" s="115">
        <v>4021740</v>
      </c>
      <c r="B6166" s="115" t="s">
        <v>5927</v>
      </c>
      <c r="C6166" s="117">
        <v>4755.51</v>
      </c>
    </row>
    <row r="6167" spans="1:3" x14ac:dyDescent="0.25">
      <c r="A6167" s="115">
        <v>4021711</v>
      </c>
      <c r="B6167" s="115" t="s">
        <v>5928</v>
      </c>
      <c r="C6167" s="117">
        <v>7514.44</v>
      </c>
    </row>
    <row r="6168" spans="1:3" x14ac:dyDescent="0.25">
      <c r="A6168" s="115">
        <v>4021760</v>
      </c>
      <c r="B6168" s="115" t="s">
        <v>5929</v>
      </c>
      <c r="C6168" s="117">
        <v>4755.51</v>
      </c>
    </row>
    <row r="6169" spans="1:3" x14ac:dyDescent="0.25">
      <c r="A6169" s="115">
        <v>4021901</v>
      </c>
      <c r="B6169" s="115" t="s">
        <v>5930</v>
      </c>
      <c r="C6169" s="117">
        <v>1634.51</v>
      </c>
    </row>
    <row r="6170" spans="1:3" x14ac:dyDescent="0.25">
      <c r="A6170" s="115">
        <v>4021941</v>
      </c>
      <c r="B6170" s="115" t="s">
        <v>5931</v>
      </c>
      <c r="C6170" s="117">
        <v>1583.7</v>
      </c>
    </row>
    <row r="6171" spans="1:3" x14ac:dyDescent="0.25">
      <c r="A6171" s="115">
        <v>4021943</v>
      </c>
      <c r="B6171" s="115" t="s">
        <v>5932</v>
      </c>
      <c r="C6171" s="117">
        <v>5448.38</v>
      </c>
    </row>
    <row r="6172" spans="1:3" x14ac:dyDescent="0.25">
      <c r="A6172" s="115">
        <v>4021945</v>
      </c>
      <c r="B6172" s="115" t="s">
        <v>5933</v>
      </c>
      <c r="C6172" s="117">
        <v>1634.51</v>
      </c>
    </row>
    <row r="6173" spans="1:3" x14ac:dyDescent="0.25">
      <c r="A6173" s="115">
        <v>4021511</v>
      </c>
      <c r="B6173" s="115" t="s">
        <v>5934</v>
      </c>
      <c r="C6173" s="117">
        <v>2254.33</v>
      </c>
    </row>
    <row r="6174" spans="1:3" x14ac:dyDescent="0.25">
      <c r="A6174" s="115">
        <v>4021942</v>
      </c>
      <c r="B6174" s="115" t="s">
        <v>5935</v>
      </c>
      <c r="C6174" s="117">
        <v>1583.7</v>
      </c>
    </row>
    <row r="6175" spans="1:3" x14ac:dyDescent="0.25">
      <c r="A6175" s="115">
        <v>4021506</v>
      </c>
      <c r="B6175" s="115" t="s">
        <v>5936</v>
      </c>
      <c r="C6175" s="117">
        <v>4755.51</v>
      </c>
    </row>
    <row r="6176" spans="1:3" x14ac:dyDescent="0.25">
      <c r="A6176" s="115">
        <v>4021505</v>
      </c>
      <c r="B6176" s="115" t="s">
        <v>5937</v>
      </c>
      <c r="C6176" s="117">
        <v>7514.44</v>
      </c>
    </row>
    <row r="6177" spans="1:3" x14ac:dyDescent="0.25">
      <c r="A6177" s="115">
        <v>4021902</v>
      </c>
      <c r="B6177" s="115" t="s">
        <v>5938</v>
      </c>
      <c r="C6177" s="117">
        <v>1634.51</v>
      </c>
    </row>
    <row r="6178" spans="1:3" x14ac:dyDescent="0.25">
      <c r="A6178" s="115">
        <v>4021944</v>
      </c>
      <c r="B6178" s="115" t="s">
        <v>5939</v>
      </c>
      <c r="C6178" s="117">
        <v>1634.51</v>
      </c>
    </row>
    <row r="6179" spans="1:3" x14ac:dyDescent="0.25">
      <c r="A6179" s="115">
        <v>4021509</v>
      </c>
      <c r="B6179" s="115" t="s">
        <v>5940</v>
      </c>
      <c r="C6179" s="117">
        <v>3025.27</v>
      </c>
    </row>
    <row r="6180" spans="1:3" x14ac:dyDescent="0.25">
      <c r="A6180" s="115">
        <v>4021542</v>
      </c>
      <c r="B6180" s="115" t="s">
        <v>5941</v>
      </c>
      <c r="C6180" s="117">
        <v>929.71</v>
      </c>
    </row>
    <row r="6181" spans="1:3" x14ac:dyDescent="0.25">
      <c r="A6181" s="115">
        <v>4021541</v>
      </c>
      <c r="B6181" s="115" t="s">
        <v>5942</v>
      </c>
      <c r="C6181" s="117">
        <v>3025.27</v>
      </c>
    </row>
    <row r="6182" spans="1:3" x14ac:dyDescent="0.25">
      <c r="A6182" s="115">
        <v>4021507</v>
      </c>
      <c r="B6182" s="115" t="s">
        <v>5943</v>
      </c>
      <c r="C6182" s="117">
        <v>907.58</v>
      </c>
    </row>
    <row r="6183" spans="1:3" x14ac:dyDescent="0.25">
      <c r="A6183" s="115">
        <v>4021516</v>
      </c>
      <c r="B6183" s="115" t="s">
        <v>5944</v>
      </c>
      <c r="C6183" s="117">
        <v>3025.27</v>
      </c>
    </row>
    <row r="6184" spans="1:3" x14ac:dyDescent="0.25">
      <c r="A6184" s="115">
        <v>4021510</v>
      </c>
      <c r="B6184" s="115" t="s">
        <v>5945</v>
      </c>
      <c r="C6184" s="117">
        <v>3025.27</v>
      </c>
    </row>
    <row r="6185" spans="1:3" x14ac:dyDescent="0.25">
      <c r="A6185" s="115">
        <v>4021503</v>
      </c>
      <c r="B6185" s="115" t="s">
        <v>5946</v>
      </c>
      <c r="C6185" s="117">
        <v>907.58</v>
      </c>
    </row>
    <row r="6186" spans="1:3" x14ac:dyDescent="0.25">
      <c r="A6186" s="115">
        <v>4021504</v>
      </c>
      <c r="B6186" s="115" t="s">
        <v>5947</v>
      </c>
      <c r="C6186" s="117">
        <v>907.58</v>
      </c>
    </row>
    <row r="6187" spans="1:3" x14ac:dyDescent="0.25">
      <c r="A6187" s="115">
        <v>4021508</v>
      </c>
      <c r="B6187" s="115" t="s">
        <v>5948</v>
      </c>
      <c r="C6187" s="117">
        <v>3025.27</v>
      </c>
    </row>
    <row r="6188" spans="1:3" x14ac:dyDescent="0.25">
      <c r="A6188" s="115">
        <v>4021515</v>
      </c>
      <c r="B6188" s="115" t="s">
        <v>5949</v>
      </c>
      <c r="C6188" s="117">
        <v>3025.27</v>
      </c>
    </row>
    <row r="6189" spans="1:3" x14ac:dyDescent="0.25">
      <c r="A6189" s="115">
        <v>4021590</v>
      </c>
      <c r="B6189" s="115" t="s">
        <v>5950</v>
      </c>
      <c r="C6189" s="117">
        <v>3025.27</v>
      </c>
    </row>
    <row r="6190" spans="1:3" x14ac:dyDescent="0.25">
      <c r="A6190" s="115">
        <v>4021512</v>
      </c>
      <c r="B6190" s="115" t="s">
        <v>5951</v>
      </c>
      <c r="C6190" s="117">
        <v>3025.27</v>
      </c>
    </row>
    <row r="6191" spans="1:3" x14ac:dyDescent="0.25">
      <c r="A6191" s="115">
        <v>4021909</v>
      </c>
      <c r="B6191" s="115" t="s">
        <v>5952</v>
      </c>
      <c r="C6191" s="117">
        <v>1634.51</v>
      </c>
    </row>
    <row r="6192" spans="1:3" x14ac:dyDescent="0.25">
      <c r="A6192" s="115">
        <v>4021946</v>
      </c>
      <c r="B6192" s="115" t="s">
        <v>5953</v>
      </c>
      <c r="C6192" s="117">
        <v>5448.38</v>
      </c>
    </row>
    <row r="6193" spans="1:3" x14ac:dyDescent="0.25">
      <c r="A6193" s="115">
        <v>4025122</v>
      </c>
      <c r="B6193" s="115" t="s">
        <v>5954</v>
      </c>
      <c r="C6193" s="117">
        <v>14632.52</v>
      </c>
    </row>
    <row r="6194" spans="1:3" x14ac:dyDescent="0.25">
      <c r="A6194" s="115">
        <v>4025121</v>
      </c>
      <c r="B6194" s="115" t="s">
        <v>5955</v>
      </c>
      <c r="C6194" s="117">
        <v>8329.2800000000007</v>
      </c>
    </row>
    <row r="6195" spans="1:3" x14ac:dyDescent="0.25">
      <c r="A6195" s="115">
        <v>4024131</v>
      </c>
      <c r="B6195" s="115" t="s">
        <v>5956</v>
      </c>
      <c r="C6195" s="117">
        <v>2498.7800000000002</v>
      </c>
    </row>
    <row r="6196" spans="1:3" x14ac:dyDescent="0.25">
      <c r="A6196" s="115">
        <v>4028118</v>
      </c>
      <c r="B6196" s="115" t="s">
        <v>5957</v>
      </c>
      <c r="C6196" s="117">
        <v>14632.52</v>
      </c>
    </row>
    <row r="6197" spans="1:3" x14ac:dyDescent="0.25">
      <c r="A6197" s="115">
        <v>4024134</v>
      </c>
      <c r="B6197" s="115" t="s">
        <v>5958</v>
      </c>
      <c r="C6197" s="117">
        <v>14069.73</v>
      </c>
    </row>
    <row r="6198" spans="1:3" x14ac:dyDescent="0.25">
      <c r="A6198" s="115">
        <v>4024145</v>
      </c>
      <c r="B6198" s="115" t="s">
        <v>5959</v>
      </c>
      <c r="C6198" s="117">
        <v>10130.200000000001</v>
      </c>
    </row>
    <row r="6199" spans="1:3" x14ac:dyDescent="0.25">
      <c r="A6199" s="115">
        <v>4024103</v>
      </c>
      <c r="B6199" s="115" t="s">
        <v>5960</v>
      </c>
      <c r="C6199" s="117">
        <v>3106.6</v>
      </c>
    </row>
    <row r="6200" spans="1:3" x14ac:dyDescent="0.25">
      <c r="A6200" s="115">
        <v>4025155</v>
      </c>
      <c r="B6200" s="115" t="s">
        <v>5961</v>
      </c>
      <c r="C6200" s="117">
        <v>7879.05</v>
      </c>
    </row>
    <row r="6201" spans="1:3" x14ac:dyDescent="0.25">
      <c r="A6201" s="115">
        <v>4025147</v>
      </c>
      <c r="B6201" s="115" t="s">
        <v>5962</v>
      </c>
      <c r="C6201" s="117">
        <v>8554.4</v>
      </c>
    </row>
    <row r="6202" spans="1:3" x14ac:dyDescent="0.25">
      <c r="A6202" s="115">
        <v>4025137</v>
      </c>
      <c r="B6202" s="115" t="s">
        <v>5963</v>
      </c>
      <c r="C6202" s="117">
        <v>2363.71</v>
      </c>
    </row>
    <row r="6203" spans="1:3" x14ac:dyDescent="0.25">
      <c r="A6203" s="115">
        <v>4024155</v>
      </c>
      <c r="B6203" s="115" t="s">
        <v>5964</v>
      </c>
      <c r="C6203" s="117">
        <v>5853.01</v>
      </c>
    </row>
    <row r="6204" spans="1:3" x14ac:dyDescent="0.25">
      <c r="A6204" s="115">
        <v>4024238</v>
      </c>
      <c r="B6204" s="115" t="s">
        <v>5965</v>
      </c>
      <c r="C6204" s="117">
        <v>5853.01</v>
      </c>
    </row>
    <row r="6205" spans="1:3" x14ac:dyDescent="0.25">
      <c r="A6205" s="115">
        <v>4024239</v>
      </c>
      <c r="B6205" s="115" t="s">
        <v>5966</v>
      </c>
      <c r="C6205" s="117">
        <v>5853.01</v>
      </c>
    </row>
    <row r="6206" spans="1:3" x14ac:dyDescent="0.25">
      <c r="A6206" s="115">
        <v>4024147</v>
      </c>
      <c r="B6206" s="115" t="s">
        <v>5967</v>
      </c>
      <c r="C6206" s="117">
        <v>6933.56</v>
      </c>
    </row>
    <row r="6207" spans="1:3" x14ac:dyDescent="0.25">
      <c r="A6207" s="115">
        <v>4024140</v>
      </c>
      <c r="B6207" s="115" t="s">
        <v>5968</v>
      </c>
      <c r="C6207" s="117">
        <v>2701.39</v>
      </c>
    </row>
    <row r="6208" spans="1:3" x14ac:dyDescent="0.25">
      <c r="A6208" s="115">
        <v>4024137</v>
      </c>
      <c r="B6208" s="115" t="s">
        <v>5969</v>
      </c>
      <c r="C6208" s="117">
        <v>1755.9</v>
      </c>
    </row>
    <row r="6209" spans="1:3" x14ac:dyDescent="0.25">
      <c r="A6209" s="115">
        <v>4024240</v>
      </c>
      <c r="B6209" s="115" t="s">
        <v>5970</v>
      </c>
      <c r="C6209" s="117">
        <v>1587.07</v>
      </c>
    </row>
    <row r="6210" spans="1:3" x14ac:dyDescent="0.25">
      <c r="A6210" s="115">
        <v>4024241</v>
      </c>
      <c r="B6210" s="115" t="s">
        <v>5971</v>
      </c>
      <c r="C6210" s="117">
        <v>12944.15</v>
      </c>
    </row>
    <row r="6211" spans="1:3" x14ac:dyDescent="0.25">
      <c r="A6211" s="115">
        <v>4024242</v>
      </c>
      <c r="B6211" s="115" t="s">
        <v>5972</v>
      </c>
      <c r="C6211" s="117">
        <v>12944.15</v>
      </c>
    </row>
    <row r="6212" spans="1:3" x14ac:dyDescent="0.25">
      <c r="A6212" s="115">
        <v>4023238</v>
      </c>
      <c r="B6212" s="115" t="s">
        <v>5973</v>
      </c>
      <c r="C6212" s="117">
        <v>1654.6</v>
      </c>
    </row>
    <row r="6213" spans="1:3" x14ac:dyDescent="0.25">
      <c r="A6213" s="115">
        <v>4023239</v>
      </c>
      <c r="B6213" s="115" t="s">
        <v>5974</v>
      </c>
      <c r="C6213" s="117">
        <v>5515.33</v>
      </c>
    </row>
    <row r="6214" spans="1:3" x14ac:dyDescent="0.25">
      <c r="A6214" s="115">
        <v>4023147</v>
      </c>
      <c r="B6214" s="115" t="s">
        <v>5975</v>
      </c>
      <c r="C6214" s="117">
        <v>1941.62</v>
      </c>
    </row>
    <row r="6215" spans="1:3" x14ac:dyDescent="0.25">
      <c r="A6215" s="115">
        <v>4023155</v>
      </c>
      <c r="B6215" s="115" t="s">
        <v>5976</v>
      </c>
      <c r="C6215" s="117">
        <v>1654.6</v>
      </c>
    </row>
    <row r="6216" spans="1:3" x14ac:dyDescent="0.25">
      <c r="A6216" s="115">
        <v>4023137</v>
      </c>
      <c r="B6216" s="115" t="s">
        <v>5977</v>
      </c>
      <c r="C6216" s="117">
        <v>1654.6</v>
      </c>
    </row>
    <row r="6217" spans="1:3" x14ac:dyDescent="0.25">
      <c r="A6217" s="115">
        <v>4029155</v>
      </c>
      <c r="B6217" s="115" t="s">
        <v>5978</v>
      </c>
      <c r="C6217" s="117">
        <v>4727.43</v>
      </c>
    </row>
    <row r="6218" spans="1:3" x14ac:dyDescent="0.25">
      <c r="A6218" s="115">
        <v>4022239</v>
      </c>
      <c r="B6218" s="115" t="s">
        <v>5979</v>
      </c>
      <c r="C6218" s="117">
        <v>4727.43</v>
      </c>
    </row>
    <row r="6219" spans="1:3" x14ac:dyDescent="0.25">
      <c r="A6219" s="115">
        <v>4025152</v>
      </c>
      <c r="B6219" s="115" t="s">
        <v>5980</v>
      </c>
      <c r="C6219" s="117">
        <v>2566.3200000000002</v>
      </c>
    </row>
    <row r="6220" spans="1:3" x14ac:dyDescent="0.25">
      <c r="A6220" s="115">
        <v>4025238</v>
      </c>
      <c r="B6220" s="115" t="s">
        <v>5981</v>
      </c>
      <c r="C6220" s="117">
        <v>7879.05</v>
      </c>
    </row>
    <row r="6221" spans="1:3" x14ac:dyDescent="0.25">
      <c r="A6221" s="115">
        <v>4025239</v>
      </c>
      <c r="B6221" s="115" t="s">
        <v>5982</v>
      </c>
      <c r="C6221" s="117">
        <v>2363.71</v>
      </c>
    </row>
    <row r="6222" spans="1:3" x14ac:dyDescent="0.25">
      <c r="A6222" s="115">
        <v>4025240</v>
      </c>
      <c r="B6222" s="115" t="s">
        <v>5983</v>
      </c>
      <c r="C6222" s="117">
        <v>2161.11</v>
      </c>
    </row>
    <row r="6223" spans="1:3" x14ac:dyDescent="0.25">
      <c r="A6223" s="115">
        <v>4021154</v>
      </c>
      <c r="B6223" s="115" t="s">
        <v>5984</v>
      </c>
      <c r="C6223" s="117">
        <v>3095.34</v>
      </c>
    </row>
    <row r="6224" spans="1:3" x14ac:dyDescent="0.25">
      <c r="A6224" s="115">
        <v>4029138</v>
      </c>
      <c r="B6224" s="115" t="s">
        <v>5985</v>
      </c>
      <c r="C6224" s="117">
        <v>928.6</v>
      </c>
    </row>
    <row r="6225" spans="1:3" x14ac:dyDescent="0.25">
      <c r="A6225" s="115">
        <v>4021156</v>
      </c>
      <c r="B6225" s="115" t="s">
        <v>5986</v>
      </c>
      <c r="C6225" s="117">
        <v>854.31</v>
      </c>
    </row>
    <row r="6226" spans="1:3" x14ac:dyDescent="0.25">
      <c r="A6226" s="115">
        <v>4021137</v>
      </c>
      <c r="B6226" s="115" t="s">
        <v>5987</v>
      </c>
      <c r="C6226" s="117">
        <v>854.31</v>
      </c>
    </row>
    <row r="6227" spans="1:3" x14ac:dyDescent="0.25">
      <c r="A6227" s="115">
        <v>4029147</v>
      </c>
      <c r="B6227" s="115" t="s">
        <v>5988</v>
      </c>
      <c r="C6227" s="117">
        <v>1654.6</v>
      </c>
    </row>
    <row r="6228" spans="1:3" x14ac:dyDescent="0.25">
      <c r="A6228" s="115">
        <v>4022238</v>
      </c>
      <c r="B6228" s="115" t="s">
        <v>5989</v>
      </c>
      <c r="C6228" s="117">
        <v>4727.43</v>
      </c>
    </row>
    <row r="6229" spans="1:3" x14ac:dyDescent="0.25">
      <c r="A6229" s="115">
        <v>4023153</v>
      </c>
      <c r="B6229" s="115" t="s">
        <v>5990</v>
      </c>
      <c r="C6229" s="117">
        <v>1688.37</v>
      </c>
    </row>
    <row r="6230" spans="1:3" x14ac:dyDescent="0.25">
      <c r="A6230" s="115">
        <v>4029137</v>
      </c>
      <c r="B6230" s="115" t="s">
        <v>5991</v>
      </c>
      <c r="C6230" s="117">
        <v>4727.43</v>
      </c>
    </row>
    <row r="6231" spans="1:3" x14ac:dyDescent="0.25">
      <c r="A6231" s="115">
        <v>4020903</v>
      </c>
      <c r="B6231" s="115" t="s">
        <v>5992</v>
      </c>
      <c r="C6231" s="117">
        <v>2540.14</v>
      </c>
    </row>
    <row r="6232" spans="1:3" x14ac:dyDescent="0.25">
      <c r="A6232" s="115">
        <v>4020913</v>
      </c>
      <c r="B6232" s="115" t="s">
        <v>5993</v>
      </c>
      <c r="C6232" s="117">
        <v>3305.23</v>
      </c>
    </row>
    <row r="6233" spans="1:3" x14ac:dyDescent="0.25">
      <c r="A6233" s="115">
        <v>4020917</v>
      </c>
      <c r="B6233" s="115" t="s">
        <v>5994</v>
      </c>
      <c r="C6233" s="117">
        <v>8467.14</v>
      </c>
    </row>
    <row r="6234" spans="1:3" x14ac:dyDescent="0.25">
      <c r="A6234" s="115">
        <v>4020920</v>
      </c>
      <c r="B6234" s="115" t="s">
        <v>5995</v>
      </c>
      <c r="C6234" s="117">
        <v>8467.14</v>
      </c>
    </row>
    <row r="6235" spans="1:3" x14ac:dyDescent="0.25">
      <c r="A6235" s="115">
        <v>4020921</v>
      </c>
      <c r="B6235" s="115" t="s">
        <v>5996</v>
      </c>
      <c r="C6235" s="117">
        <v>2540.14</v>
      </c>
    </row>
    <row r="6236" spans="1:3" x14ac:dyDescent="0.25">
      <c r="A6236" s="115">
        <v>4020915</v>
      </c>
      <c r="B6236" s="115" t="s">
        <v>5997</v>
      </c>
      <c r="C6236" s="117">
        <v>11017.43</v>
      </c>
    </row>
    <row r="6237" spans="1:3" x14ac:dyDescent="0.25">
      <c r="A6237" s="115">
        <v>4020919</v>
      </c>
      <c r="B6237" s="115" t="s">
        <v>5998</v>
      </c>
      <c r="C6237" s="117">
        <v>8467.14</v>
      </c>
    </row>
    <row r="6238" spans="1:3" x14ac:dyDescent="0.25">
      <c r="A6238" s="115">
        <v>4020909</v>
      </c>
      <c r="B6238" s="115" t="s">
        <v>5999</v>
      </c>
      <c r="C6238" s="117">
        <v>11017.43</v>
      </c>
    </row>
    <row r="6239" spans="1:3" x14ac:dyDescent="0.25">
      <c r="A6239" s="115">
        <v>4020901</v>
      </c>
      <c r="B6239" s="115" t="s">
        <v>6000</v>
      </c>
      <c r="C6239" s="117">
        <v>8467.14</v>
      </c>
    </row>
    <row r="6240" spans="1:3" x14ac:dyDescent="0.25">
      <c r="A6240" s="115">
        <v>4020914</v>
      </c>
      <c r="B6240" s="115" t="s">
        <v>6001</v>
      </c>
      <c r="C6240" s="117">
        <v>11017.43</v>
      </c>
    </row>
    <row r="6241" spans="1:3" x14ac:dyDescent="0.25">
      <c r="A6241" s="115">
        <v>4020916</v>
      </c>
      <c r="B6241" s="115" t="s">
        <v>6002</v>
      </c>
      <c r="C6241" s="117">
        <v>2899.85</v>
      </c>
    </row>
    <row r="6242" spans="1:3" x14ac:dyDescent="0.25">
      <c r="A6242" s="115">
        <v>4020904</v>
      </c>
      <c r="B6242" s="115" t="s">
        <v>6003</v>
      </c>
      <c r="C6242" s="117">
        <v>6701.13</v>
      </c>
    </row>
    <row r="6243" spans="1:3" x14ac:dyDescent="0.25">
      <c r="A6243" s="115">
        <v>4020911</v>
      </c>
      <c r="B6243" s="115" t="s">
        <v>6004</v>
      </c>
      <c r="C6243" s="117">
        <v>3305.23</v>
      </c>
    </row>
    <row r="6244" spans="1:3" x14ac:dyDescent="0.25">
      <c r="A6244" s="115">
        <v>4020918</v>
      </c>
      <c r="B6244" s="115" t="s">
        <v>6005</v>
      </c>
      <c r="C6244" s="117">
        <v>2540.14</v>
      </c>
    </row>
    <row r="6245" spans="1:3" x14ac:dyDescent="0.25">
      <c r="A6245" s="115">
        <v>4020908</v>
      </c>
      <c r="B6245" s="115" t="s">
        <v>6006</v>
      </c>
      <c r="C6245" s="117">
        <v>1599.45</v>
      </c>
    </row>
    <row r="6246" spans="1:3" x14ac:dyDescent="0.25">
      <c r="A6246" s="115">
        <v>4020907</v>
      </c>
      <c r="B6246" s="115" t="s">
        <v>6007</v>
      </c>
      <c r="C6246" s="117">
        <v>1522.23</v>
      </c>
    </row>
    <row r="6247" spans="1:3" x14ac:dyDescent="0.25">
      <c r="A6247" s="115">
        <v>4020930</v>
      </c>
      <c r="B6247" s="115" t="s">
        <v>6008</v>
      </c>
      <c r="C6247" s="117">
        <v>2450.46</v>
      </c>
    </row>
    <row r="6248" spans="1:3" x14ac:dyDescent="0.25">
      <c r="A6248" s="115">
        <v>4024312</v>
      </c>
      <c r="B6248" s="115" t="s">
        <v>6009</v>
      </c>
      <c r="C6248" s="117">
        <v>2069.2399999999998</v>
      </c>
    </row>
    <row r="6249" spans="1:3" x14ac:dyDescent="0.25">
      <c r="A6249" s="115">
        <v>4020924</v>
      </c>
      <c r="B6249" s="115" t="s">
        <v>6010</v>
      </c>
      <c r="C6249" s="117">
        <v>8467.14</v>
      </c>
    </row>
    <row r="6250" spans="1:3" x14ac:dyDescent="0.25">
      <c r="A6250" s="115">
        <v>4024003</v>
      </c>
      <c r="B6250" s="115" t="s">
        <v>6011</v>
      </c>
      <c r="C6250" s="117">
        <v>4969.32</v>
      </c>
    </row>
    <row r="6251" spans="1:3" x14ac:dyDescent="0.25">
      <c r="A6251" s="115">
        <v>4020927</v>
      </c>
      <c r="B6251" s="115" t="s">
        <v>6012</v>
      </c>
      <c r="C6251" s="117">
        <v>6668.04</v>
      </c>
    </row>
    <row r="6252" spans="1:3" x14ac:dyDescent="0.25">
      <c r="A6252" s="115">
        <v>4020923</v>
      </c>
      <c r="B6252" s="115" t="s">
        <v>6013</v>
      </c>
      <c r="C6252" s="117">
        <v>2450.46</v>
      </c>
    </row>
    <row r="6253" spans="1:3" x14ac:dyDescent="0.25">
      <c r="A6253" s="115">
        <v>4024303</v>
      </c>
      <c r="B6253" s="115" t="s">
        <v>6014</v>
      </c>
      <c r="C6253" s="117">
        <v>6897.48</v>
      </c>
    </row>
    <row r="6254" spans="1:3" x14ac:dyDescent="0.25">
      <c r="A6254" s="115">
        <v>4020925</v>
      </c>
      <c r="B6254" s="115" t="s">
        <v>6015</v>
      </c>
      <c r="C6254" s="117">
        <v>8467.14</v>
      </c>
    </row>
    <row r="6255" spans="1:3" x14ac:dyDescent="0.25">
      <c r="A6255" s="115">
        <v>4024004</v>
      </c>
      <c r="B6255" s="115" t="s">
        <v>6016</v>
      </c>
      <c r="C6255" s="117">
        <v>1490.79</v>
      </c>
    </row>
    <row r="6256" spans="1:3" x14ac:dyDescent="0.25">
      <c r="A6256" s="115">
        <v>4024311</v>
      </c>
      <c r="B6256" s="115" t="s">
        <v>6017</v>
      </c>
      <c r="C6256" s="117">
        <v>456.67</v>
      </c>
    </row>
    <row r="6257" spans="1:3" x14ac:dyDescent="0.25">
      <c r="A6257" s="115">
        <v>4024005</v>
      </c>
      <c r="B6257" s="115" t="s">
        <v>6018</v>
      </c>
      <c r="C6257" s="117">
        <v>4707.8900000000003</v>
      </c>
    </row>
    <row r="6258" spans="1:3" x14ac:dyDescent="0.25">
      <c r="A6258" s="115">
        <v>4024006</v>
      </c>
      <c r="B6258" s="115" t="s">
        <v>6019</v>
      </c>
      <c r="C6258" s="117">
        <v>1490.79</v>
      </c>
    </row>
    <row r="6259" spans="1:3" x14ac:dyDescent="0.25">
      <c r="A6259" s="115">
        <v>4020926</v>
      </c>
      <c r="B6259" s="115" t="s">
        <v>6020</v>
      </c>
      <c r="C6259" s="117">
        <v>2010.34</v>
      </c>
    </row>
    <row r="6260" spans="1:3" x14ac:dyDescent="0.25">
      <c r="A6260" s="115">
        <v>4024007</v>
      </c>
      <c r="B6260" s="115" t="s">
        <v>6021</v>
      </c>
      <c r="C6260" s="117">
        <v>1412.37</v>
      </c>
    </row>
    <row r="6261" spans="1:3" x14ac:dyDescent="0.25">
      <c r="A6261" s="115">
        <v>4024310</v>
      </c>
      <c r="B6261" s="115" t="s">
        <v>6022</v>
      </c>
      <c r="C6261" s="117">
        <v>2069.2399999999998</v>
      </c>
    </row>
    <row r="6262" spans="1:3" x14ac:dyDescent="0.25">
      <c r="A6262" s="115">
        <v>4024008</v>
      </c>
      <c r="B6262" s="115" t="s">
        <v>6023</v>
      </c>
      <c r="C6262" s="117">
        <v>1490.79</v>
      </c>
    </row>
    <row r="6263" spans="1:3" x14ac:dyDescent="0.25">
      <c r="A6263" s="115">
        <v>4024009</v>
      </c>
      <c r="B6263" s="115" t="s">
        <v>6024</v>
      </c>
      <c r="C6263" s="117">
        <v>1490.79</v>
      </c>
    </row>
    <row r="6264" spans="1:3" x14ac:dyDescent="0.25">
      <c r="A6264" s="115">
        <v>4020928</v>
      </c>
      <c r="B6264" s="115" t="s">
        <v>6025</v>
      </c>
      <c r="C6264" s="117">
        <v>6668.04</v>
      </c>
    </row>
    <row r="6265" spans="1:3" x14ac:dyDescent="0.25">
      <c r="A6265" s="115">
        <v>4020929</v>
      </c>
      <c r="B6265" s="115" t="s">
        <v>6026</v>
      </c>
      <c r="C6265" s="117">
        <v>7420.33</v>
      </c>
    </row>
    <row r="6266" spans="1:3" x14ac:dyDescent="0.25">
      <c r="A6266" s="115">
        <v>4020309</v>
      </c>
      <c r="B6266" s="115" t="s">
        <v>6027</v>
      </c>
      <c r="C6266" s="117">
        <v>1357.74</v>
      </c>
    </row>
    <row r="6267" spans="1:3" x14ac:dyDescent="0.25">
      <c r="A6267" s="115">
        <v>4020302</v>
      </c>
      <c r="B6267" s="115" t="s">
        <v>6028</v>
      </c>
      <c r="C6267" s="117">
        <v>2197.4499999999998</v>
      </c>
    </row>
    <row r="6268" spans="1:3" x14ac:dyDescent="0.25">
      <c r="A6268" s="115">
        <v>4020332</v>
      </c>
      <c r="B6268" s="115" t="s">
        <v>6029</v>
      </c>
      <c r="C6268" s="117">
        <v>8898.43</v>
      </c>
    </row>
    <row r="6269" spans="1:3" x14ac:dyDescent="0.25">
      <c r="A6269" s="115">
        <v>4020310</v>
      </c>
      <c r="B6269" s="115" t="s">
        <v>6030</v>
      </c>
      <c r="C6269" s="117">
        <v>2669.53</v>
      </c>
    </row>
    <row r="6270" spans="1:3" x14ac:dyDescent="0.25">
      <c r="A6270" s="115">
        <v>4020308</v>
      </c>
      <c r="B6270" s="115" t="s">
        <v>6031</v>
      </c>
      <c r="C6270" s="117">
        <v>1850.71</v>
      </c>
    </row>
    <row r="6271" spans="1:3" x14ac:dyDescent="0.25">
      <c r="A6271" s="115">
        <v>4020330</v>
      </c>
      <c r="B6271" s="115" t="s">
        <v>6032</v>
      </c>
      <c r="C6271" s="117">
        <v>2711.3</v>
      </c>
    </row>
    <row r="6272" spans="1:3" x14ac:dyDescent="0.25">
      <c r="A6272" s="115">
        <v>4020304</v>
      </c>
      <c r="B6272" s="115" t="s">
        <v>6033</v>
      </c>
      <c r="C6272" s="117">
        <v>2164.0300000000002</v>
      </c>
    </row>
    <row r="6273" spans="1:3" x14ac:dyDescent="0.25">
      <c r="A6273" s="115">
        <v>4020307</v>
      </c>
      <c r="B6273" s="115" t="s">
        <v>6034</v>
      </c>
      <c r="C6273" s="117">
        <v>1658.53</v>
      </c>
    </row>
    <row r="6274" spans="1:3" x14ac:dyDescent="0.25">
      <c r="A6274" s="115">
        <v>4020922</v>
      </c>
      <c r="B6274" s="115" t="s">
        <v>6035</v>
      </c>
      <c r="C6274" s="117">
        <v>8168.21</v>
      </c>
    </row>
    <row r="6275" spans="1:3" x14ac:dyDescent="0.25">
      <c r="A6275" s="115">
        <v>4029503</v>
      </c>
      <c r="B6275" s="115" t="s">
        <v>6036</v>
      </c>
      <c r="C6275" s="117">
        <v>32.25</v>
      </c>
    </row>
    <row r="6276" spans="1:3" x14ac:dyDescent="0.25">
      <c r="A6276" s="115">
        <v>4029502</v>
      </c>
      <c r="B6276" s="115" t="s">
        <v>6037</v>
      </c>
      <c r="C6276" s="117">
        <v>16.8</v>
      </c>
    </row>
    <row r="6277" spans="1:3" x14ac:dyDescent="0.25">
      <c r="A6277" s="115">
        <v>4029501</v>
      </c>
      <c r="B6277" s="115" t="s">
        <v>6038</v>
      </c>
      <c r="C6277" s="117">
        <v>13.99</v>
      </c>
    </row>
    <row r="6278" spans="1:3" x14ac:dyDescent="0.25">
      <c r="A6278" s="115">
        <v>4029504</v>
      </c>
      <c r="B6278" s="115" t="s">
        <v>6039</v>
      </c>
      <c r="C6278" s="117">
        <v>70.17</v>
      </c>
    </row>
    <row r="6279" spans="1:3" x14ac:dyDescent="0.25">
      <c r="A6279" s="115">
        <v>4029603</v>
      </c>
      <c r="B6279" s="115" t="s">
        <v>6040</v>
      </c>
      <c r="C6279" s="117">
        <v>205.51</v>
      </c>
    </row>
    <row r="6280" spans="1:3" x14ac:dyDescent="0.25">
      <c r="A6280" s="115">
        <v>4029801</v>
      </c>
      <c r="B6280" s="115" t="s">
        <v>6041</v>
      </c>
      <c r="C6280" s="117">
        <v>156.68</v>
      </c>
    </row>
    <row r="6281" spans="1:3" x14ac:dyDescent="0.25">
      <c r="A6281" s="115">
        <v>4029802</v>
      </c>
      <c r="B6281" s="115" t="s">
        <v>6042</v>
      </c>
      <c r="C6281" s="117">
        <v>260.02999999999997</v>
      </c>
    </row>
    <row r="6282" spans="1:3" x14ac:dyDescent="0.25">
      <c r="A6282" s="115">
        <v>4029803</v>
      </c>
      <c r="B6282" s="115" t="s">
        <v>6043</v>
      </c>
      <c r="C6282" s="117">
        <v>1389.05</v>
      </c>
    </row>
    <row r="6283" spans="1:3" x14ac:dyDescent="0.25">
      <c r="A6283" s="115">
        <v>4029804</v>
      </c>
      <c r="B6283" s="115" t="s">
        <v>6044</v>
      </c>
      <c r="C6283" s="117">
        <v>395</v>
      </c>
    </row>
    <row r="6284" spans="1:3" x14ac:dyDescent="0.25">
      <c r="A6284" s="115">
        <v>4029760</v>
      </c>
      <c r="B6284" s="115" t="s">
        <v>6045</v>
      </c>
      <c r="C6284" s="117">
        <v>839.55</v>
      </c>
    </row>
    <row r="6285" spans="1:3" x14ac:dyDescent="0.25">
      <c r="A6285" s="144" t="s">
        <v>6046</v>
      </c>
      <c r="B6285" s="145"/>
      <c r="C6285" s="145"/>
    </row>
    <row r="6286" spans="1:3" x14ac:dyDescent="0.25">
      <c r="A6286" s="115">
        <v>4264050</v>
      </c>
      <c r="B6286" s="115" t="s">
        <v>6047</v>
      </c>
      <c r="C6286" s="117">
        <v>2268.88</v>
      </c>
    </row>
    <row r="6287" spans="1:3" x14ac:dyDescent="0.25">
      <c r="A6287" s="115">
        <v>4264010</v>
      </c>
      <c r="B6287" s="115" t="s">
        <v>6048</v>
      </c>
      <c r="C6287" s="117">
        <v>383.27</v>
      </c>
    </row>
    <row r="6288" spans="1:3" x14ac:dyDescent="0.25">
      <c r="A6288" s="115">
        <v>4260402</v>
      </c>
      <c r="B6288" s="115" t="s">
        <v>6049</v>
      </c>
      <c r="C6288" s="117">
        <v>575.70000000000005</v>
      </c>
    </row>
    <row r="6289" spans="1:3" x14ac:dyDescent="0.25">
      <c r="A6289" s="115">
        <v>4264021</v>
      </c>
      <c r="B6289" s="115" t="s">
        <v>6050</v>
      </c>
      <c r="C6289" s="117">
        <v>791.21</v>
      </c>
    </row>
    <row r="6290" spans="1:3" x14ac:dyDescent="0.25">
      <c r="A6290" s="115">
        <v>4264020</v>
      </c>
      <c r="B6290" s="115" t="s">
        <v>6051</v>
      </c>
      <c r="C6290" s="117">
        <v>520.48</v>
      </c>
    </row>
    <row r="6291" spans="1:3" x14ac:dyDescent="0.25">
      <c r="A6291" s="115">
        <v>4260403</v>
      </c>
      <c r="B6291" s="115" t="s">
        <v>6052</v>
      </c>
      <c r="C6291" s="117">
        <v>815.31</v>
      </c>
    </row>
    <row r="6292" spans="1:3" x14ac:dyDescent="0.25">
      <c r="A6292" s="115">
        <v>4264031</v>
      </c>
      <c r="B6292" s="115" t="s">
        <v>6053</v>
      </c>
      <c r="C6292" s="117">
        <v>883.99</v>
      </c>
    </row>
    <row r="6293" spans="1:3" x14ac:dyDescent="0.25">
      <c r="A6293" s="115">
        <v>4264030</v>
      </c>
      <c r="B6293" s="115" t="s">
        <v>6054</v>
      </c>
      <c r="C6293" s="117">
        <v>575.70000000000005</v>
      </c>
    </row>
    <row r="6294" spans="1:3" x14ac:dyDescent="0.25">
      <c r="A6294" s="115">
        <v>4264041</v>
      </c>
      <c r="B6294" s="115" t="s">
        <v>6055</v>
      </c>
      <c r="C6294" s="117">
        <v>1013.73</v>
      </c>
    </row>
    <row r="6295" spans="1:3" x14ac:dyDescent="0.25">
      <c r="A6295" s="115">
        <v>4264040</v>
      </c>
      <c r="B6295" s="115" t="s">
        <v>6056</v>
      </c>
      <c r="C6295" s="117">
        <v>735.65</v>
      </c>
    </row>
    <row r="6296" spans="1:3" x14ac:dyDescent="0.25">
      <c r="A6296" s="115">
        <v>4264061</v>
      </c>
      <c r="B6296" s="115" t="s">
        <v>6057</v>
      </c>
      <c r="C6296" s="117">
        <v>1255.32</v>
      </c>
    </row>
    <row r="6297" spans="1:3" x14ac:dyDescent="0.25">
      <c r="A6297" s="115">
        <v>4264060</v>
      </c>
      <c r="B6297" s="115" t="s">
        <v>6058</v>
      </c>
      <c r="C6297" s="117">
        <v>878.16</v>
      </c>
    </row>
    <row r="6298" spans="1:3" x14ac:dyDescent="0.25">
      <c r="A6298" s="115">
        <v>4260501</v>
      </c>
      <c r="B6298" s="115" t="s">
        <v>6059</v>
      </c>
      <c r="C6298" s="117">
        <v>1654.6</v>
      </c>
    </row>
    <row r="6299" spans="1:3" x14ac:dyDescent="0.25">
      <c r="A6299" s="144" t="s">
        <v>6060</v>
      </c>
      <c r="B6299" s="145"/>
      <c r="C6299" s="145"/>
    </row>
    <row r="6300" spans="1:3" x14ac:dyDescent="0.25">
      <c r="A6300" s="115">
        <v>4481723</v>
      </c>
      <c r="B6300" s="115" t="s">
        <v>6061</v>
      </c>
      <c r="C6300" s="117">
        <v>212.15</v>
      </c>
    </row>
    <row r="6301" spans="1:3" x14ac:dyDescent="0.25">
      <c r="A6301" s="115">
        <v>4481736</v>
      </c>
      <c r="B6301" s="115" t="s">
        <v>6062</v>
      </c>
      <c r="C6301" s="117">
        <v>2834.59</v>
      </c>
    </row>
    <row r="6302" spans="1:3" x14ac:dyDescent="0.25">
      <c r="A6302" s="115">
        <v>4481100</v>
      </c>
      <c r="B6302" s="115" t="s">
        <v>6063</v>
      </c>
      <c r="C6302" s="117">
        <v>177.11</v>
      </c>
    </row>
    <row r="6303" spans="1:3" x14ac:dyDescent="0.25">
      <c r="A6303" s="115">
        <v>4481200</v>
      </c>
      <c r="B6303" s="115" t="s">
        <v>6064</v>
      </c>
      <c r="C6303" s="117">
        <v>118.21</v>
      </c>
    </row>
    <row r="6304" spans="1:3" x14ac:dyDescent="0.25">
      <c r="A6304" s="115">
        <v>4481300</v>
      </c>
      <c r="B6304" s="115" t="s">
        <v>6065</v>
      </c>
      <c r="C6304" s="117">
        <v>193.15</v>
      </c>
    </row>
    <row r="6305" spans="1:3" x14ac:dyDescent="0.25">
      <c r="A6305" s="115">
        <v>4481775</v>
      </c>
      <c r="B6305" s="115" t="s">
        <v>6066</v>
      </c>
      <c r="C6305" s="117">
        <v>2834.59</v>
      </c>
    </row>
    <row r="6306" spans="1:3" x14ac:dyDescent="0.25">
      <c r="A6306" s="115">
        <v>4481600</v>
      </c>
      <c r="B6306" s="115" t="s">
        <v>6067</v>
      </c>
      <c r="C6306" s="117">
        <v>1633.44</v>
      </c>
    </row>
    <row r="6307" spans="1:3" x14ac:dyDescent="0.25">
      <c r="A6307" s="115">
        <v>4481500</v>
      </c>
      <c r="B6307" s="115" t="s">
        <v>6068</v>
      </c>
      <c r="C6307" s="117">
        <v>1450.25</v>
      </c>
    </row>
    <row r="6308" spans="1:3" x14ac:dyDescent="0.25">
      <c r="A6308" s="115">
        <v>4481400</v>
      </c>
      <c r="B6308" s="115" t="s">
        <v>6069</v>
      </c>
      <c r="C6308" s="117">
        <v>1651.15</v>
      </c>
    </row>
    <row r="6309" spans="1:3" x14ac:dyDescent="0.25">
      <c r="A6309" s="115">
        <v>4481401</v>
      </c>
      <c r="B6309" s="115" t="s">
        <v>6070</v>
      </c>
      <c r="C6309" s="117">
        <v>3135.01</v>
      </c>
    </row>
    <row r="6310" spans="1:3" x14ac:dyDescent="0.25">
      <c r="A6310" s="144" t="s">
        <v>6071</v>
      </c>
      <c r="B6310" s="145"/>
      <c r="C6310" s="145"/>
    </row>
    <row r="6311" spans="1:3" x14ac:dyDescent="0.25">
      <c r="A6311" s="115">
        <v>4629890</v>
      </c>
      <c r="B6311" s="115" t="s">
        <v>6072</v>
      </c>
      <c r="C6311" s="117">
        <v>6501.16</v>
      </c>
    </row>
    <row r="6312" spans="1:3" x14ac:dyDescent="0.25">
      <c r="A6312" s="115">
        <v>4629810</v>
      </c>
      <c r="B6312" s="115" t="s">
        <v>6073</v>
      </c>
      <c r="C6312" s="117">
        <v>5803.86</v>
      </c>
    </row>
    <row r="6313" spans="1:3" x14ac:dyDescent="0.25">
      <c r="A6313" s="115">
        <v>4629800</v>
      </c>
      <c r="B6313" s="115" t="s">
        <v>6074</v>
      </c>
      <c r="C6313" s="117">
        <v>5801.99</v>
      </c>
    </row>
    <row r="6314" spans="1:3" x14ac:dyDescent="0.25">
      <c r="A6314" s="115">
        <v>4629898</v>
      </c>
      <c r="B6314" s="115" t="s">
        <v>6075</v>
      </c>
      <c r="C6314" s="117">
        <v>10444.700000000001</v>
      </c>
    </row>
    <row r="6315" spans="1:3" x14ac:dyDescent="0.25">
      <c r="A6315" s="144" t="s">
        <v>6076</v>
      </c>
      <c r="B6315" s="145"/>
      <c r="C6315" s="145"/>
    </row>
    <row r="6316" spans="1:3" x14ac:dyDescent="0.25">
      <c r="A6316" s="115">
        <v>4682026</v>
      </c>
      <c r="B6316" s="115" t="s">
        <v>6077</v>
      </c>
      <c r="C6316" s="117">
        <v>180.3</v>
      </c>
    </row>
    <row r="6317" spans="1:3" x14ac:dyDescent="0.25">
      <c r="A6317" s="115">
        <v>4682029</v>
      </c>
      <c r="B6317" s="115" t="s">
        <v>6078</v>
      </c>
      <c r="C6317" s="117">
        <v>180.3</v>
      </c>
    </row>
    <row r="6318" spans="1:3" x14ac:dyDescent="0.25">
      <c r="A6318" s="115">
        <v>4682024</v>
      </c>
      <c r="B6318" s="115" t="s">
        <v>6079</v>
      </c>
      <c r="C6318" s="117">
        <v>71.459999999999994</v>
      </c>
    </row>
    <row r="6319" spans="1:3" x14ac:dyDescent="0.25">
      <c r="A6319" s="115">
        <v>4682000</v>
      </c>
      <c r="B6319" s="115" t="s">
        <v>6080</v>
      </c>
      <c r="C6319" s="117">
        <v>180.3</v>
      </c>
    </row>
    <row r="6320" spans="1:3" x14ac:dyDescent="0.25">
      <c r="A6320" s="115">
        <v>4682063</v>
      </c>
      <c r="B6320" s="115" t="s">
        <v>6081</v>
      </c>
      <c r="C6320" s="117">
        <v>180.3</v>
      </c>
    </row>
    <row r="6321" spans="1:3" x14ac:dyDescent="0.25">
      <c r="A6321" s="115">
        <v>4682075</v>
      </c>
      <c r="B6321" s="115" t="s">
        <v>6082</v>
      </c>
      <c r="C6321" s="117">
        <v>232.89</v>
      </c>
    </row>
    <row r="6322" spans="1:3" x14ac:dyDescent="0.25">
      <c r="A6322" s="115">
        <v>4682076</v>
      </c>
      <c r="B6322" s="115" t="s">
        <v>6083</v>
      </c>
      <c r="C6322" s="117">
        <v>180.3</v>
      </c>
    </row>
    <row r="6323" spans="1:3" x14ac:dyDescent="0.25">
      <c r="A6323" s="115">
        <v>4682083</v>
      </c>
      <c r="B6323" s="115" t="s">
        <v>6084</v>
      </c>
      <c r="C6323" s="117">
        <v>180.3</v>
      </c>
    </row>
    <row r="6324" spans="1:3" x14ac:dyDescent="0.25">
      <c r="A6324" s="115">
        <v>4681726</v>
      </c>
      <c r="B6324" s="115" t="s">
        <v>6085</v>
      </c>
      <c r="C6324" s="117">
        <v>189.32</v>
      </c>
    </row>
    <row r="6325" spans="1:3" x14ac:dyDescent="0.25">
      <c r="A6325" s="115">
        <v>4681729</v>
      </c>
      <c r="B6325" s="115" t="s">
        <v>6086</v>
      </c>
      <c r="C6325" s="117">
        <v>189.32</v>
      </c>
    </row>
    <row r="6326" spans="1:3" x14ac:dyDescent="0.25">
      <c r="A6326" s="115">
        <v>4681724</v>
      </c>
      <c r="B6326" s="115" t="s">
        <v>6087</v>
      </c>
      <c r="C6326" s="117">
        <v>247.69</v>
      </c>
    </row>
    <row r="6327" spans="1:3" x14ac:dyDescent="0.25">
      <c r="A6327" s="115">
        <v>4681736</v>
      </c>
      <c r="B6327" s="115" t="s">
        <v>6088</v>
      </c>
      <c r="C6327" s="117">
        <v>247.69</v>
      </c>
    </row>
    <row r="6328" spans="1:3" x14ac:dyDescent="0.25">
      <c r="A6328" s="115">
        <v>4681763</v>
      </c>
      <c r="B6328" s="115" t="s">
        <v>6089</v>
      </c>
      <c r="C6328" s="117">
        <v>189.32</v>
      </c>
    </row>
    <row r="6329" spans="1:3" x14ac:dyDescent="0.25">
      <c r="A6329" s="115">
        <v>4681775</v>
      </c>
      <c r="B6329" s="115" t="s">
        <v>6090</v>
      </c>
      <c r="C6329" s="117">
        <v>247.69</v>
      </c>
    </row>
    <row r="6330" spans="1:3" x14ac:dyDescent="0.25">
      <c r="A6330" s="115">
        <v>4681776</v>
      </c>
      <c r="B6330" s="115" t="s">
        <v>6091</v>
      </c>
      <c r="C6330" s="117">
        <v>189.32</v>
      </c>
    </row>
    <row r="6331" spans="1:3" x14ac:dyDescent="0.25">
      <c r="A6331" s="115">
        <v>4681783</v>
      </c>
      <c r="B6331" s="115" t="s">
        <v>6092</v>
      </c>
      <c r="C6331" s="117">
        <v>189.32</v>
      </c>
    </row>
    <row r="6332" spans="1:3" x14ac:dyDescent="0.25">
      <c r="A6332" s="115">
        <v>4681226</v>
      </c>
      <c r="B6332" s="115" t="s">
        <v>6093</v>
      </c>
      <c r="C6332" s="117">
        <v>82.64</v>
      </c>
    </row>
    <row r="6333" spans="1:3" x14ac:dyDescent="0.25">
      <c r="A6333" s="115">
        <v>4681229</v>
      </c>
      <c r="B6333" s="115" t="s">
        <v>6094</v>
      </c>
      <c r="C6333" s="117">
        <v>82.64</v>
      </c>
    </row>
    <row r="6334" spans="1:3" x14ac:dyDescent="0.25">
      <c r="A6334" s="115">
        <v>4681224</v>
      </c>
      <c r="B6334" s="115" t="s">
        <v>6095</v>
      </c>
      <c r="C6334" s="117">
        <v>101.65</v>
      </c>
    </row>
    <row r="6335" spans="1:3" x14ac:dyDescent="0.25">
      <c r="A6335" s="115">
        <v>4681236</v>
      </c>
      <c r="B6335" s="115" t="s">
        <v>6096</v>
      </c>
      <c r="C6335" s="117">
        <v>101.65</v>
      </c>
    </row>
    <row r="6336" spans="1:3" x14ac:dyDescent="0.25">
      <c r="A6336" s="115">
        <v>4681263</v>
      </c>
      <c r="B6336" s="115" t="s">
        <v>6097</v>
      </c>
      <c r="C6336" s="117">
        <v>82.64</v>
      </c>
    </row>
    <row r="6337" spans="1:3" x14ac:dyDescent="0.25">
      <c r="A6337" s="115">
        <v>4681275</v>
      </c>
      <c r="B6337" s="115" t="s">
        <v>6098</v>
      </c>
      <c r="C6337" s="117">
        <v>101.65</v>
      </c>
    </row>
    <row r="6338" spans="1:3" x14ac:dyDescent="0.25">
      <c r="A6338" s="115">
        <v>4681276</v>
      </c>
      <c r="B6338" s="115" t="s">
        <v>6099</v>
      </c>
      <c r="C6338" s="117">
        <v>82.64</v>
      </c>
    </row>
    <row r="6339" spans="1:3" x14ac:dyDescent="0.25">
      <c r="A6339" s="115">
        <v>4681283</v>
      </c>
      <c r="B6339" s="115" t="s">
        <v>6100</v>
      </c>
      <c r="C6339" s="117">
        <v>82.64</v>
      </c>
    </row>
    <row r="6340" spans="1:3" x14ac:dyDescent="0.25">
      <c r="A6340" s="115">
        <v>4683503</v>
      </c>
      <c r="B6340" s="115" t="s">
        <v>6101</v>
      </c>
      <c r="C6340" s="117">
        <v>588.91999999999996</v>
      </c>
    </row>
    <row r="6341" spans="1:3" x14ac:dyDescent="0.25">
      <c r="A6341" s="115">
        <v>4683500</v>
      </c>
      <c r="B6341" s="115" t="s">
        <v>6102</v>
      </c>
      <c r="C6341" s="117">
        <v>588.91999999999996</v>
      </c>
    </row>
    <row r="6342" spans="1:3" x14ac:dyDescent="0.25">
      <c r="A6342" s="115">
        <v>4683502</v>
      </c>
      <c r="B6342" s="115" t="s">
        <v>6103</v>
      </c>
      <c r="C6342" s="117">
        <v>695.99</v>
      </c>
    </row>
    <row r="6343" spans="1:3" x14ac:dyDescent="0.25">
      <c r="A6343" s="115">
        <v>4683501</v>
      </c>
      <c r="B6343" s="115" t="s">
        <v>6104</v>
      </c>
      <c r="C6343" s="117">
        <v>695.99</v>
      </c>
    </row>
    <row r="6344" spans="1:3" x14ac:dyDescent="0.25">
      <c r="A6344" s="115">
        <v>4686100</v>
      </c>
      <c r="B6344" s="115" t="s">
        <v>6105</v>
      </c>
      <c r="C6344" s="117">
        <v>691.8</v>
      </c>
    </row>
    <row r="6345" spans="1:3" x14ac:dyDescent="0.25">
      <c r="A6345" s="115">
        <v>4686104</v>
      </c>
      <c r="B6345" s="115" t="s">
        <v>6106</v>
      </c>
      <c r="C6345" s="117">
        <v>552.96</v>
      </c>
    </row>
    <row r="6346" spans="1:3" x14ac:dyDescent="0.25">
      <c r="A6346" s="115">
        <v>4686000</v>
      </c>
      <c r="B6346" s="115" t="s">
        <v>6107</v>
      </c>
      <c r="C6346" s="117">
        <v>613.1</v>
      </c>
    </row>
    <row r="6347" spans="1:3" x14ac:dyDescent="0.25">
      <c r="A6347" s="115">
        <v>4683724</v>
      </c>
      <c r="B6347" s="115" t="s">
        <v>6108</v>
      </c>
      <c r="C6347" s="117">
        <v>676.28</v>
      </c>
    </row>
    <row r="6348" spans="1:3" x14ac:dyDescent="0.25">
      <c r="A6348" s="115">
        <v>4683763</v>
      </c>
      <c r="B6348" s="115" t="s">
        <v>6109</v>
      </c>
      <c r="C6348" s="117">
        <v>788.99</v>
      </c>
    </row>
    <row r="6349" spans="1:3" x14ac:dyDescent="0.25">
      <c r="A6349" s="115">
        <v>4683506</v>
      </c>
      <c r="B6349" s="115" t="s">
        <v>6110</v>
      </c>
      <c r="C6349" s="117">
        <v>440.14</v>
      </c>
    </row>
    <row r="6350" spans="1:3" x14ac:dyDescent="0.25">
      <c r="A6350" s="115">
        <v>4683504</v>
      </c>
      <c r="B6350" s="115" t="s">
        <v>6111</v>
      </c>
      <c r="C6350" s="117">
        <v>570.32000000000005</v>
      </c>
    </row>
    <row r="6351" spans="1:3" x14ac:dyDescent="0.25">
      <c r="A6351" s="115">
        <v>4683505</v>
      </c>
      <c r="B6351" s="115" t="s">
        <v>6112</v>
      </c>
      <c r="C6351" s="117">
        <v>281.07</v>
      </c>
    </row>
    <row r="6352" spans="1:3" x14ac:dyDescent="0.25">
      <c r="A6352" s="115">
        <v>4683704</v>
      </c>
      <c r="B6352" s="115" t="s">
        <v>6113</v>
      </c>
      <c r="C6352" s="117">
        <v>686.42</v>
      </c>
    </row>
    <row r="6353" spans="1:3" x14ac:dyDescent="0.25">
      <c r="A6353" s="115">
        <v>4683710</v>
      </c>
      <c r="B6353" s="115" t="s">
        <v>6114</v>
      </c>
      <c r="C6353" s="117">
        <v>514.82000000000005</v>
      </c>
    </row>
    <row r="6354" spans="1:3" x14ac:dyDescent="0.25">
      <c r="A6354" s="115">
        <v>4683705</v>
      </c>
      <c r="B6354" s="115" t="s">
        <v>6115</v>
      </c>
      <c r="C6354" s="117">
        <v>514.82000000000005</v>
      </c>
    </row>
    <row r="6355" spans="1:3" x14ac:dyDescent="0.25">
      <c r="A6355" s="115">
        <v>4683700</v>
      </c>
      <c r="B6355" s="115" t="s">
        <v>6116</v>
      </c>
      <c r="C6355" s="117">
        <v>828.24</v>
      </c>
    </row>
    <row r="6356" spans="1:3" x14ac:dyDescent="0.25">
      <c r="A6356" s="115">
        <v>3683701</v>
      </c>
      <c r="B6356" s="115" t="s">
        <v>6117</v>
      </c>
      <c r="C6356" s="117">
        <v>828.24</v>
      </c>
    </row>
    <row r="6357" spans="1:3" x14ac:dyDescent="0.25">
      <c r="A6357" s="115">
        <v>4683638</v>
      </c>
      <c r="B6357" s="115" t="s">
        <v>6118</v>
      </c>
      <c r="C6357" s="117">
        <v>650.91</v>
      </c>
    </row>
    <row r="6358" spans="1:3" x14ac:dyDescent="0.25">
      <c r="A6358" s="115">
        <v>4683687</v>
      </c>
      <c r="B6358" s="115" t="s">
        <v>6119</v>
      </c>
      <c r="C6358" s="117">
        <v>650.91</v>
      </c>
    </row>
    <row r="6359" spans="1:3" x14ac:dyDescent="0.25">
      <c r="A6359" s="115">
        <v>4683838</v>
      </c>
      <c r="B6359" s="115" t="s">
        <v>6120</v>
      </c>
      <c r="C6359" s="117">
        <v>456.26</v>
      </c>
    </row>
    <row r="6360" spans="1:3" x14ac:dyDescent="0.25">
      <c r="A6360" s="115">
        <v>4683887</v>
      </c>
      <c r="B6360" s="115" t="s">
        <v>6121</v>
      </c>
      <c r="C6360" s="117">
        <v>456.26</v>
      </c>
    </row>
    <row r="6361" spans="1:3" x14ac:dyDescent="0.25">
      <c r="A6361" s="115">
        <v>4683987</v>
      </c>
      <c r="B6361" s="115" t="s">
        <v>6122</v>
      </c>
      <c r="C6361" s="117">
        <v>784.2</v>
      </c>
    </row>
    <row r="6362" spans="1:3" x14ac:dyDescent="0.25">
      <c r="A6362" s="115">
        <v>4683938</v>
      </c>
      <c r="B6362" s="115" t="s">
        <v>6123</v>
      </c>
      <c r="C6362" s="117">
        <v>784.2</v>
      </c>
    </row>
    <row r="6363" spans="1:3" x14ac:dyDescent="0.25">
      <c r="A6363" s="115">
        <v>4683403</v>
      </c>
      <c r="B6363" s="115" t="s">
        <v>6124</v>
      </c>
      <c r="C6363" s="117">
        <v>1577.98</v>
      </c>
    </row>
    <row r="6364" spans="1:3" x14ac:dyDescent="0.25">
      <c r="A6364" s="115">
        <v>4683402</v>
      </c>
      <c r="B6364" s="115" t="s">
        <v>6125</v>
      </c>
      <c r="C6364" s="117">
        <v>1183.49</v>
      </c>
    </row>
    <row r="6365" spans="1:3" x14ac:dyDescent="0.25">
      <c r="A6365" s="115">
        <v>4683401</v>
      </c>
      <c r="B6365" s="115" t="s">
        <v>6126</v>
      </c>
      <c r="C6365" s="117">
        <v>1859.77</v>
      </c>
    </row>
    <row r="6366" spans="1:3" x14ac:dyDescent="0.25">
      <c r="A6366" s="115">
        <v>4683400</v>
      </c>
      <c r="B6366" s="115" t="s">
        <v>6127</v>
      </c>
      <c r="C6366" s="117">
        <v>1182.3699999999999</v>
      </c>
    </row>
    <row r="6367" spans="1:3" x14ac:dyDescent="0.25">
      <c r="A6367" s="115">
        <v>4681001</v>
      </c>
      <c r="B6367" s="115" t="s">
        <v>6128</v>
      </c>
      <c r="C6367" s="117">
        <v>52.08</v>
      </c>
    </row>
    <row r="6368" spans="1:3" x14ac:dyDescent="0.25">
      <c r="A6368" s="115">
        <v>4681012</v>
      </c>
      <c r="B6368" s="115" t="s">
        <v>6129</v>
      </c>
      <c r="C6368" s="117">
        <v>68.209999999999994</v>
      </c>
    </row>
    <row r="6369" spans="1:3" x14ac:dyDescent="0.25">
      <c r="A6369" s="115">
        <v>4681240</v>
      </c>
      <c r="B6369" s="115" t="s">
        <v>6130</v>
      </c>
      <c r="C6369" s="117">
        <v>28.91</v>
      </c>
    </row>
    <row r="6370" spans="1:3" x14ac:dyDescent="0.25">
      <c r="A6370" s="115">
        <v>4681375</v>
      </c>
      <c r="B6370" s="115" t="s">
        <v>6131</v>
      </c>
      <c r="C6370" s="117">
        <v>49.76</v>
      </c>
    </row>
    <row r="6371" spans="1:3" x14ac:dyDescent="0.25">
      <c r="A6371" s="115">
        <v>4681327</v>
      </c>
      <c r="B6371" s="115" t="s">
        <v>6132</v>
      </c>
      <c r="C6371" s="117">
        <v>61.37</v>
      </c>
    </row>
    <row r="6372" spans="1:3" x14ac:dyDescent="0.25">
      <c r="A6372" s="115">
        <v>4681395</v>
      </c>
      <c r="B6372" s="115" t="s">
        <v>6133</v>
      </c>
      <c r="C6372" s="117">
        <v>48.93</v>
      </c>
    </row>
    <row r="6373" spans="1:3" x14ac:dyDescent="0.25">
      <c r="A6373" s="115">
        <v>4681475</v>
      </c>
      <c r="B6373" s="115" t="s">
        <v>6134</v>
      </c>
      <c r="C6373" s="117">
        <v>43.04</v>
      </c>
    </row>
    <row r="6374" spans="1:3" x14ac:dyDescent="0.25">
      <c r="A6374" s="115">
        <v>4681500</v>
      </c>
      <c r="B6374" s="115" t="s">
        <v>6135</v>
      </c>
      <c r="C6374" s="117">
        <v>37.229999999999997</v>
      </c>
    </row>
    <row r="6375" spans="1:3" x14ac:dyDescent="0.25">
      <c r="A6375" s="115">
        <v>4681578</v>
      </c>
      <c r="B6375" s="115" t="s">
        <v>6136</v>
      </c>
      <c r="C6375" s="117">
        <v>41.92</v>
      </c>
    </row>
    <row r="6376" spans="1:3" x14ac:dyDescent="0.25">
      <c r="A6376" s="115">
        <v>4681585</v>
      </c>
      <c r="B6376" s="115" t="s">
        <v>6137</v>
      </c>
      <c r="C6376" s="117">
        <v>38.06</v>
      </c>
    </row>
    <row r="6377" spans="1:3" x14ac:dyDescent="0.25">
      <c r="A6377" s="115">
        <v>4681595</v>
      </c>
      <c r="B6377" s="115" t="s">
        <v>6138</v>
      </c>
      <c r="C6377" s="117">
        <v>41.73</v>
      </c>
    </row>
    <row r="6378" spans="1:3" x14ac:dyDescent="0.25">
      <c r="A6378" s="115">
        <v>4682675</v>
      </c>
      <c r="B6378" s="115" t="s">
        <v>6139</v>
      </c>
      <c r="C6378" s="117">
        <v>70.8</v>
      </c>
    </row>
    <row r="6379" spans="1:3" x14ac:dyDescent="0.25">
      <c r="A6379" s="115">
        <v>4682677</v>
      </c>
      <c r="B6379" s="115" t="s">
        <v>6140</v>
      </c>
      <c r="C6379" s="117">
        <v>114.99</v>
      </c>
    </row>
    <row r="6380" spans="1:3" x14ac:dyDescent="0.25">
      <c r="A6380" s="115">
        <v>4682678</v>
      </c>
      <c r="B6380" s="115" t="s">
        <v>6141</v>
      </c>
      <c r="C6380" s="117">
        <v>143.19999999999999</v>
      </c>
    </row>
    <row r="6381" spans="1:3" x14ac:dyDescent="0.25">
      <c r="A6381" s="115">
        <v>4682679</v>
      </c>
      <c r="B6381" s="115" t="s">
        <v>6142</v>
      </c>
      <c r="C6381" s="117">
        <v>156.56</v>
      </c>
    </row>
    <row r="6382" spans="1:3" x14ac:dyDescent="0.25">
      <c r="A6382" s="115">
        <v>4682681</v>
      </c>
      <c r="B6382" s="115" t="s">
        <v>6143</v>
      </c>
      <c r="C6382" s="117">
        <v>190.7</v>
      </c>
    </row>
    <row r="6383" spans="1:3" x14ac:dyDescent="0.25">
      <c r="A6383" s="115">
        <v>4682682</v>
      </c>
      <c r="B6383" s="115" t="s">
        <v>6144</v>
      </c>
      <c r="C6383" s="117">
        <v>124.87</v>
      </c>
    </row>
    <row r="6384" spans="1:3" x14ac:dyDescent="0.25">
      <c r="A6384" s="115">
        <v>4682621</v>
      </c>
      <c r="B6384" s="115" t="s">
        <v>6145</v>
      </c>
      <c r="C6384" s="117">
        <v>45.48</v>
      </c>
    </row>
    <row r="6385" spans="1:3" x14ac:dyDescent="0.25">
      <c r="A6385" s="115">
        <v>4682622</v>
      </c>
      <c r="B6385" s="115" t="s">
        <v>6146</v>
      </c>
      <c r="C6385" s="117">
        <v>50.93</v>
      </c>
    </row>
    <row r="6386" spans="1:3" x14ac:dyDescent="0.25">
      <c r="A6386" s="115">
        <v>4682623</v>
      </c>
      <c r="B6386" s="115" t="s">
        <v>6147</v>
      </c>
      <c r="C6386" s="117">
        <v>50.93</v>
      </c>
    </row>
    <row r="6387" spans="1:3" x14ac:dyDescent="0.25">
      <c r="A6387" s="115">
        <v>4682624</v>
      </c>
      <c r="B6387" s="115" t="s">
        <v>6148</v>
      </c>
      <c r="C6387" s="117">
        <v>53.85</v>
      </c>
    </row>
    <row r="6388" spans="1:3" x14ac:dyDescent="0.25">
      <c r="A6388" s="115">
        <v>4682625</v>
      </c>
      <c r="B6388" s="115" t="s">
        <v>6149</v>
      </c>
      <c r="C6388" s="117">
        <v>64.34</v>
      </c>
    </row>
    <row r="6389" spans="1:3" x14ac:dyDescent="0.25">
      <c r="A6389" s="115">
        <v>4682626</v>
      </c>
      <c r="B6389" s="115" t="s">
        <v>6150</v>
      </c>
      <c r="C6389" s="117">
        <v>72.63</v>
      </c>
    </row>
    <row r="6390" spans="1:3" x14ac:dyDescent="0.25">
      <c r="A6390" s="115">
        <v>4682628</v>
      </c>
      <c r="B6390" s="115" t="s">
        <v>6151</v>
      </c>
      <c r="C6390" s="117">
        <v>100.71</v>
      </c>
    </row>
    <row r="6391" spans="1:3" x14ac:dyDescent="0.25">
      <c r="A6391" s="115">
        <v>4682630</v>
      </c>
      <c r="B6391" s="115" t="s">
        <v>6152</v>
      </c>
      <c r="C6391" s="117">
        <v>133.94999999999999</v>
      </c>
    </row>
    <row r="6392" spans="1:3" x14ac:dyDescent="0.25">
      <c r="A6392" s="115">
        <v>4682631</v>
      </c>
      <c r="B6392" s="115" t="s">
        <v>6153</v>
      </c>
      <c r="C6392" s="117">
        <v>222.24</v>
      </c>
    </row>
    <row r="6393" spans="1:3" x14ac:dyDescent="0.25">
      <c r="A6393" s="115">
        <v>4682632</v>
      </c>
      <c r="B6393" s="115" t="s">
        <v>6154</v>
      </c>
      <c r="C6393" s="117">
        <v>93.79</v>
      </c>
    </row>
    <row r="6394" spans="1:3" x14ac:dyDescent="0.25">
      <c r="A6394" s="115">
        <v>4682627</v>
      </c>
      <c r="B6394" s="115" t="s">
        <v>6155</v>
      </c>
      <c r="C6394" s="117">
        <v>86.98</v>
      </c>
    </row>
    <row r="6395" spans="1:3" x14ac:dyDescent="0.25">
      <c r="A6395" s="115">
        <v>4682629</v>
      </c>
      <c r="B6395" s="115" t="s">
        <v>6156</v>
      </c>
      <c r="C6395" s="117">
        <v>113.81</v>
      </c>
    </row>
    <row r="6396" spans="1:3" x14ac:dyDescent="0.25">
      <c r="A6396" s="115">
        <v>4681107</v>
      </c>
      <c r="B6396" s="115" t="s">
        <v>6157</v>
      </c>
      <c r="C6396" s="117">
        <v>41.04</v>
      </c>
    </row>
    <row r="6397" spans="1:3" x14ac:dyDescent="0.25">
      <c r="A6397" s="115">
        <v>4721200</v>
      </c>
      <c r="B6397" s="115" t="s">
        <v>6158</v>
      </c>
      <c r="C6397" s="117">
        <v>11.77</v>
      </c>
    </row>
    <row r="6398" spans="1:3" x14ac:dyDescent="0.25">
      <c r="A6398" s="144" t="s">
        <v>6159</v>
      </c>
      <c r="B6398" s="145"/>
      <c r="C6398" s="145"/>
    </row>
    <row r="6399" spans="1:3" x14ac:dyDescent="0.25">
      <c r="A6399" s="115">
        <v>4674402</v>
      </c>
      <c r="B6399" s="115" t="s">
        <v>6160</v>
      </c>
      <c r="C6399" s="117">
        <v>2196.94</v>
      </c>
    </row>
    <row r="6400" spans="1:3" x14ac:dyDescent="0.25">
      <c r="A6400" s="115">
        <v>4674401</v>
      </c>
      <c r="B6400" s="115" t="s">
        <v>6161</v>
      </c>
      <c r="C6400" s="117">
        <v>3337.6</v>
      </c>
    </row>
    <row r="6401" spans="1:3" x14ac:dyDescent="0.25">
      <c r="A6401" s="115">
        <v>4674400</v>
      </c>
      <c r="B6401" s="115" t="s">
        <v>6162</v>
      </c>
      <c r="C6401" s="117">
        <v>2073.1999999999998</v>
      </c>
    </row>
    <row r="6402" spans="1:3" x14ac:dyDescent="0.25">
      <c r="A6402" s="115">
        <v>3313100</v>
      </c>
      <c r="B6402" s="115" t="s">
        <v>6163</v>
      </c>
      <c r="C6402" s="117">
        <v>6363.98</v>
      </c>
    </row>
    <row r="6403" spans="1:3" x14ac:dyDescent="0.25">
      <c r="A6403" s="115">
        <v>4674000</v>
      </c>
      <c r="B6403" s="115" t="s">
        <v>6164</v>
      </c>
      <c r="C6403" s="117">
        <v>4964.49</v>
      </c>
    </row>
    <row r="6404" spans="1:3" x14ac:dyDescent="0.25">
      <c r="A6404" s="115">
        <v>4672103</v>
      </c>
      <c r="B6404" s="115" t="s">
        <v>6165</v>
      </c>
      <c r="C6404" s="117">
        <v>658.6</v>
      </c>
    </row>
    <row r="6405" spans="1:3" x14ac:dyDescent="0.25">
      <c r="A6405" s="115">
        <v>4672102</v>
      </c>
      <c r="B6405" s="115" t="s">
        <v>6166</v>
      </c>
      <c r="C6405" s="117">
        <v>658.6</v>
      </c>
    </row>
    <row r="6406" spans="1:3" x14ac:dyDescent="0.25">
      <c r="A6406" s="115">
        <v>4672101</v>
      </c>
      <c r="B6406" s="115" t="s">
        <v>6167</v>
      </c>
      <c r="C6406" s="117">
        <v>658.6</v>
      </c>
    </row>
    <row r="6407" spans="1:3" x14ac:dyDescent="0.25">
      <c r="A6407" s="115">
        <v>4672201</v>
      </c>
      <c r="B6407" s="115" t="s">
        <v>6168</v>
      </c>
      <c r="C6407" s="117">
        <v>591.30999999999995</v>
      </c>
    </row>
    <row r="6408" spans="1:3" x14ac:dyDescent="0.25">
      <c r="A6408" s="115">
        <v>4672100</v>
      </c>
      <c r="B6408" s="115" t="s">
        <v>6169</v>
      </c>
      <c r="C6408" s="117">
        <v>936.71</v>
      </c>
    </row>
    <row r="6409" spans="1:3" x14ac:dyDescent="0.25">
      <c r="A6409" s="115">
        <v>4671138</v>
      </c>
      <c r="B6409" s="115" t="s">
        <v>6170</v>
      </c>
      <c r="C6409" s="117">
        <v>376.86</v>
      </c>
    </row>
    <row r="6410" spans="1:3" x14ac:dyDescent="0.25">
      <c r="A6410" s="115">
        <v>4671157</v>
      </c>
      <c r="B6410" s="115" t="s">
        <v>6171</v>
      </c>
      <c r="C6410" s="117">
        <v>1832.93</v>
      </c>
    </row>
    <row r="6411" spans="1:3" x14ac:dyDescent="0.25">
      <c r="A6411" s="115">
        <v>4671100</v>
      </c>
      <c r="B6411" s="115" t="s">
        <v>6172</v>
      </c>
      <c r="C6411" s="117">
        <v>1384.49</v>
      </c>
    </row>
    <row r="6412" spans="1:3" x14ac:dyDescent="0.25">
      <c r="A6412" s="115">
        <v>4671009</v>
      </c>
      <c r="B6412" s="115" t="s">
        <v>6173</v>
      </c>
      <c r="C6412" s="117">
        <v>250.17</v>
      </c>
    </row>
    <row r="6413" spans="1:3" x14ac:dyDescent="0.25">
      <c r="A6413" s="115">
        <v>4671142</v>
      </c>
      <c r="B6413" s="115" t="s">
        <v>6174</v>
      </c>
      <c r="C6413" s="117">
        <v>250.17</v>
      </c>
    </row>
    <row r="6414" spans="1:3" x14ac:dyDescent="0.25">
      <c r="A6414" s="115">
        <v>4671104</v>
      </c>
      <c r="B6414" s="115" t="s">
        <v>6175</v>
      </c>
      <c r="C6414" s="117">
        <v>250.17</v>
      </c>
    </row>
    <row r="6415" spans="1:3" x14ac:dyDescent="0.25">
      <c r="A6415" s="115">
        <v>4671010</v>
      </c>
      <c r="B6415" s="115" t="s">
        <v>6176</v>
      </c>
      <c r="C6415" s="117">
        <v>250.17</v>
      </c>
    </row>
    <row r="6416" spans="1:3" x14ac:dyDescent="0.25">
      <c r="A6416" s="115">
        <v>4671141</v>
      </c>
      <c r="B6416" s="115" t="s">
        <v>6177</v>
      </c>
      <c r="C6416" s="117">
        <v>250.17</v>
      </c>
    </row>
    <row r="6417" spans="1:3" x14ac:dyDescent="0.25">
      <c r="A6417" s="115">
        <v>4671022</v>
      </c>
      <c r="B6417" s="115" t="s">
        <v>6178</v>
      </c>
      <c r="C6417" s="117">
        <v>1731.97</v>
      </c>
    </row>
    <row r="6418" spans="1:3" x14ac:dyDescent="0.25">
      <c r="A6418" s="115">
        <v>4671019</v>
      </c>
      <c r="B6418" s="115" t="s">
        <v>6179</v>
      </c>
      <c r="C6418" s="117">
        <v>1731.97</v>
      </c>
    </row>
    <row r="6419" spans="1:3" x14ac:dyDescent="0.25">
      <c r="A6419" s="115">
        <v>4671021</v>
      </c>
      <c r="B6419" s="115" t="s">
        <v>6180</v>
      </c>
      <c r="C6419" s="117">
        <v>1731.97</v>
      </c>
    </row>
    <row r="6420" spans="1:3" x14ac:dyDescent="0.25">
      <c r="A6420" s="115">
        <v>4671032</v>
      </c>
      <c r="B6420" s="115" t="s">
        <v>6181</v>
      </c>
      <c r="C6420" s="117">
        <v>1731.97</v>
      </c>
    </row>
    <row r="6421" spans="1:3" x14ac:dyDescent="0.25">
      <c r="A6421" s="115">
        <v>4671023</v>
      </c>
      <c r="B6421" s="115" t="s">
        <v>6182</v>
      </c>
      <c r="C6421" s="117">
        <v>1731.97</v>
      </c>
    </row>
    <row r="6422" spans="1:3" x14ac:dyDescent="0.25">
      <c r="A6422" s="115">
        <v>4671026</v>
      </c>
      <c r="B6422" s="115" t="s">
        <v>6183</v>
      </c>
      <c r="C6422" s="117">
        <v>1731.97</v>
      </c>
    </row>
    <row r="6423" spans="1:3" x14ac:dyDescent="0.25">
      <c r="A6423" s="115">
        <v>4671025</v>
      </c>
      <c r="B6423" s="115" t="s">
        <v>6184</v>
      </c>
      <c r="C6423" s="117">
        <v>1731.97</v>
      </c>
    </row>
    <row r="6424" spans="1:3" x14ac:dyDescent="0.25">
      <c r="A6424" s="115">
        <v>4671024</v>
      </c>
      <c r="B6424" s="115" t="s">
        <v>6185</v>
      </c>
      <c r="C6424" s="117">
        <v>1731.97</v>
      </c>
    </row>
    <row r="6425" spans="1:3" x14ac:dyDescent="0.25">
      <c r="A6425" s="115">
        <v>4671028</v>
      </c>
      <c r="B6425" s="115" t="s">
        <v>6186</v>
      </c>
      <c r="C6425" s="117">
        <v>1731.97</v>
      </c>
    </row>
    <row r="6426" spans="1:3" x14ac:dyDescent="0.25">
      <c r="A6426" s="115">
        <v>4671027</v>
      </c>
      <c r="B6426" s="115" t="s">
        <v>6187</v>
      </c>
      <c r="C6426" s="117">
        <v>1731.97</v>
      </c>
    </row>
    <row r="6427" spans="1:3" x14ac:dyDescent="0.25">
      <c r="A6427" s="115">
        <v>4671029</v>
      </c>
      <c r="B6427" s="115" t="s">
        <v>6188</v>
      </c>
      <c r="C6427" s="117">
        <v>1731.97</v>
      </c>
    </row>
    <row r="6428" spans="1:3" x14ac:dyDescent="0.25">
      <c r="A6428" s="115">
        <v>4675002</v>
      </c>
      <c r="B6428" s="115" t="s">
        <v>6189</v>
      </c>
      <c r="C6428" s="117">
        <v>161.11000000000001</v>
      </c>
    </row>
    <row r="6429" spans="1:3" x14ac:dyDescent="0.25">
      <c r="A6429" s="115">
        <v>4675006</v>
      </c>
      <c r="B6429" s="115" t="s">
        <v>6190</v>
      </c>
      <c r="C6429" s="117">
        <v>401.78</v>
      </c>
    </row>
    <row r="6430" spans="1:3" x14ac:dyDescent="0.25">
      <c r="A6430" s="115">
        <v>4675003</v>
      </c>
      <c r="B6430" s="115" t="s">
        <v>6191</v>
      </c>
      <c r="C6430" s="117">
        <v>161.11000000000001</v>
      </c>
    </row>
    <row r="6431" spans="1:3" x14ac:dyDescent="0.25">
      <c r="A6431" s="115">
        <v>4675005</v>
      </c>
      <c r="B6431" s="115" t="s">
        <v>6192</v>
      </c>
      <c r="C6431" s="117">
        <v>401.78</v>
      </c>
    </row>
    <row r="6432" spans="1:3" x14ac:dyDescent="0.25">
      <c r="A6432" s="115">
        <v>4675004</v>
      </c>
      <c r="B6432" s="115" t="s">
        <v>11605</v>
      </c>
      <c r="C6432" s="117">
        <v>727.46</v>
      </c>
    </row>
    <row r="6433" spans="1:3" x14ac:dyDescent="0.25">
      <c r="A6433" s="115">
        <v>3220621</v>
      </c>
      <c r="B6433" s="115" t="s">
        <v>6193</v>
      </c>
      <c r="C6433" s="117">
        <v>727.46</v>
      </c>
    </row>
    <row r="6434" spans="1:3" x14ac:dyDescent="0.25">
      <c r="A6434" s="115">
        <v>3220613</v>
      </c>
      <c r="B6434" s="115" t="s">
        <v>6194</v>
      </c>
      <c r="C6434" s="117">
        <v>727.46</v>
      </c>
    </row>
    <row r="6435" spans="1:3" x14ac:dyDescent="0.25">
      <c r="A6435" s="115">
        <v>3220630</v>
      </c>
      <c r="B6435" s="115" t="s">
        <v>11606</v>
      </c>
      <c r="C6435" s="117">
        <v>839.38</v>
      </c>
    </row>
    <row r="6436" spans="1:3" x14ac:dyDescent="0.25">
      <c r="A6436" s="115">
        <v>3220624</v>
      </c>
      <c r="B6436" s="115" t="s">
        <v>11607</v>
      </c>
      <c r="C6436" s="117">
        <v>839.38</v>
      </c>
    </row>
    <row r="6437" spans="1:3" x14ac:dyDescent="0.25">
      <c r="A6437" s="115">
        <v>3220616</v>
      </c>
      <c r="B6437" s="115" t="s">
        <v>6195</v>
      </c>
      <c r="C6437" s="117">
        <v>248.46</v>
      </c>
    </row>
    <row r="6438" spans="1:3" x14ac:dyDescent="0.25">
      <c r="A6438" s="115">
        <v>3220629</v>
      </c>
      <c r="B6438" s="115" t="s">
        <v>11608</v>
      </c>
      <c r="C6438" s="117">
        <v>727.46</v>
      </c>
    </row>
    <row r="6439" spans="1:3" x14ac:dyDescent="0.25">
      <c r="A6439" s="115">
        <v>3220601</v>
      </c>
      <c r="B6439" s="115" t="s">
        <v>6196</v>
      </c>
      <c r="C6439" s="117">
        <v>248.45</v>
      </c>
    </row>
    <row r="6440" spans="1:3" x14ac:dyDescent="0.25">
      <c r="A6440" s="115">
        <v>3220625</v>
      </c>
      <c r="B6440" s="115" t="s">
        <v>11609</v>
      </c>
      <c r="C6440" s="117">
        <v>727.46</v>
      </c>
    </row>
    <row r="6441" spans="1:3" x14ac:dyDescent="0.25">
      <c r="A6441" s="115">
        <v>3220620</v>
      </c>
      <c r="B6441" s="115" t="s">
        <v>6197</v>
      </c>
      <c r="C6441" s="117">
        <v>727.46</v>
      </c>
    </row>
    <row r="6442" spans="1:3" x14ac:dyDescent="0.25">
      <c r="A6442" s="115">
        <v>3220626</v>
      </c>
      <c r="B6442" s="115" t="s">
        <v>11610</v>
      </c>
      <c r="C6442" s="117">
        <v>839.38</v>
      </c>
    </row>
    <row r="6443" spans="1:3" x14ac:dyDescent="0.25">
      <c r="A6443" s="115">
        <v>3220615</v>
      </c>
      <c r="B6443" s="115" t="s">
        <v>6198</v>
      </c>
      <c r="C6443" s="117">
        <v>248.46</v>
      </c>
    </row>
    <row r="6444" spans="1:3" x14ac:dyDescent="0.25">
      <c r="A6444" s="115">
        <v>3220617</v>
      </c>
      <c r="B6444" s="115" t="s">
        <v>6199</v>
      </c>
      <c r="C6444" s="117">
        <v>727.46</v>
      </c>
    </row>
    <row r="6445" spans="1:3" x14ac:dyDescent="0.25">
      <c r="A6445" s="115">
        <v>3220627</v>
      </c>
      <c r="B6445" s="115" t="s">
        <v>11611</v>
      </c>
      <c r="C6445" s="117">
        <v>727.46</v>
      </c>
    </row>
    <row r="6446" spans="1:3" x14ac:dyDescent="0.25">
      <c r="A6446" s="115">
        <v>3220619</v>
      </c>
      <c r="B6446" s="115" t="s">
        <v>6200</v>
      </c>
      <c r="C6446" s="117">
        <v>248.46</v>
      </c>
    </row>
    <row r="6447" spans="1:3" x14ac:dyDescent="0.25">
      <c r="A6447" s="115">
        <v>3220628</v>
      </c>
      <c r="B6447" s="115" t="s">
        <v>11612</v>
      </c>
      <c r="C6447" s="117">
        <v>727.46</v>
      </c>
    </row>
    <row r="6448" spans="1:3" x14ac:dyDescent="0.25">
      <c r="A6448" s="115">
        <v>3220618</v>
      </c>
      <c r="B6448" s="115" t="s">
        <v>6201</v>
      </c>
      <c r="C6448" s="117">
        <v>727.46</v>
      </c>
    </row>
    <row r="6449" spans="1:3" x14ac:dyDescent="0.25">
      <c r="A6449" s="115">
        <v>3220622</v>
      </c>
      <c r="B6449" s="115" t="s">
        <v>11613</v>
      </c>
      <c r="C6449" s="117">
        <v>839.38</v>
      </c>
    </row>
    <row r="6450" spans="1:3" x14ac:dyDescent="0.25">
      <c r="A6450" s="115">
        <v>3220614</v>
      </c>
      <c r="B6450" s="115" t="s">
        <v>6202</v>
      </c>
      <c r="C6450" s="117">
        <v>248.46</v>
      </c>
    </row>
    <row r="6451" spans="1:3" x14ac:dyDescent="0.25">
      <c r="A6451" s="115">
        <v>3220623</v>
      </c>
      <c r="B6451" s="115" t="s">
        <v>11614</v>
      </c>
      <c r="C6451" s="117">
        <v>839.38</v>
      </c>
    </row>
    <row r="6452" spans="1:3" x14ac:dyDescent="0.25">
      <c r="A6452" s="144" t="s">
        <v>6203</v>
      </c>
      <c r="B6452" s="145"/>
      <c r="C6452" s="145"/>
    </row>
    <row r="6453" spans="1:3" x14ac:dyDescent="0.25">
      <c r="A6453" s="115">
        <v>4666158</v>
      </c>
      <c r="B6453" s="115" t="s">
        <v>11961</v>
      </c>
      <c r="C6453" s="117">
        <v>5623.14</v>
      </c>
    </row>
    <row r="6454" spans="1:3" x14ac:dyDescent="0.25">
      <c r="A6454" s="115">
        <v>4665076</v>
      </c>
      <c r="B6454" s="115" t="s">
        <v>6204</v>
      </c>
      <c r="C6454" s="117">
        <v>137.88</v>
      </c>
    </row>
    <row r="6455" spans="1:3" x14ac:dyDescent="0.25">
      <c r="A6455" s="115">
        <v>4666037</v>
      </c>
      <c r="B6455" s="115" t="s">
        <v>6205</v>
      </c>
      <c r="C6455" s="117">
        <v>410.18</v>
      </c>
    </row>
    <row r="6456" spans="1:3" x14ac:dyDescent="0.25">
      <c r="A6456" s="115">
        <v>4666137</v>
      </c>
      <c r="B6456" s="115" t="s">
        <v>6206</v>
      </c>
      <c r="C6456" s="117">
        <v>570.32000000000005</v>
      </c>
    </row>
    <row r="6457" spans="1:3" x14ac:dyDescent="0.25">
      <c r="A6457" s="115">
        <v>4666044</v>
      </c>
      <c r="B6457" s="115" t="s">
        <v>6207</v>
      </c>
      <c r="C6457" s="117">
        <v>1119.8900000000001</v>
      </c>
    </row>
    <row r="6458" spans="1:3" x14ac:dyDescent="0.25">
      <c r="A6458" s="115">
        <v>4666157</v>
      </c>
      <c r="B6458" s="115" t="s">
        <v>6208</v>
      </c>
      <c r="C6458" s="117">
        <v>593.33000000000004</v>
      </c>
    </row>
    <row r="6459" spans="1:3" x14ac:dyDescent="0.25">
      <c r="A6459" s="115">
        <v>4666180</v>
      </c>
      <c r="B6459" s="115" t="s">
        <v>6209</v>
      </c>
      <c r="C6459" s="117">
        <v>11786.05</v>
      </c>
    </row>
    <row r="6460" spans="1:3" x14ac:dyDescent="0.25">
      <c r="A6460" s="115">
        <v>4666360</v>
      </c>
      <c r="B6460" s="115" t="s">
        <v>6210</v>
      </c>
      <c r="C6460" s="117">
        <v>5762.12</v>
      </c>
    </row>
    <row r="6461" spans="1:3" x14ac:dyDescent="0.25">
      <c r="A6461" s="115">
        <v>4666359</v>
      </c>
      <c r="B6461" s="115" t="s">
        <v>6211</v>
      </c>
      <c r="C6461" s="117">
        <v>12155.67</v>
      </c>
    </row>
    <row r="6462" spans="1:3" x14ac:dyDescent="0.25">
      <c r="A6462" s="115">
        <v>4666358</v>
      </c>
      <c r="B6462" s="115" t="s">
        <v>6212</v>
      </c>
      <c r="C6462" s="117">
        <v>17180.919999999998</v>
      </c>
    </row>
    <row r="6463" spans="1:3" x14ac:dyDescent="0.25">
      <c r="A6463" s="115">
        <v>4661176</v>
      </c>
      <c r="B6463" s="115" t="s">
        <v>6213</v>
      </c>
      <c r="C6463" s="117">
        <v>265.58999999999997</v>
      </c>
    </row>
    <row r="6464" spans="1:3" x14ac:dyDescent="0.25">
      <c r="A6464" s="115">
        <v>4662100</v>
      </c>
      <c r="B6464" s="115" t="s">
        <v>6214</v>
      </c>
      <c r="C6464" s="117">
        <v>729.41</v>
      </c>
    </row>
    <row r="6465" spans="1:3" x14ac:dyDescent="0.25">
      <c r="A6465" s="115">
        <v>4662200</v>
      </c>
      <c r="B6465" s="115" t="s">
        <v>6215</v>
      </c>
      <c r="C6465" s="117">
        <v>86.36</v>
      </c>
    </row>
    <row r="6466" spans="1:3" x14ac:dyDescent="0.25">
      <c r="A6466" s="115">
        <v>4662300</v>
      </c>
      <c r="B6466" s="115" t="s">
        <v>6216</v>
      </c>
      <c r="C6466" s="117">
        <v>70.260000000000005</v>
      </c>
    </row>
    <row r="6467" spans="1:3" x14ac:dyDescent="0.25">
      <c r="A6467" s="115">
        <v>4662400</v>
      </c>
      <c r="B6467" s="115" t="s">
        <v>6217</v>
      </c>
      <c r="C6467" s="117">
        <v>84.16</v>
      </c>
    </row>
    <row r="6468" spans="1:3" x14ac:dyDescent="0.25">
      <c r="A6468" s="115">
        <v>4662700</v>
      </c>
      <c r="B6468" s="115" t="s">
        <v>6218</v>
      </c>
      <c r="C6468" s="117">
        <v>109.53</v>
      </c>
    </row>
    <row r="6469" spans="1:3" x14ac:dyDescent="0.25">
      <c r="A6469" s="115">
        <v>4663057</v>
      </c>
      <c r="B6469" s="115" t="s">
        <v>6219</v>
      </c>
      <c r="C6469" s="117">
        <v>304.94</v>
      </c>
    </row>
    <row r="6470" spans="1:3" x14ac:dyDescent="0.25">
      <c r="A6470" s="115">
        <v>4663074</v>
      </c>
      <c r="B6470" s="115" t="s">
        <v>6220</v>
      </c>
      <c r="C6470" s="117">
        <v>125.98</v>
      </c>
    </row>
    <row r="6471" spans="1:3" x14ac:dyDescent="0.25">
      <c r="A6471" s="115">
        <v>4663076</v>
      </c>
      <c r="B6471" s="115" t="s">
        <v>6221</v>
      </c>
      <c r="C6471" s="117">
        <v>88.19</v>
      </c>
    </row>
    <row r="6472" spans="1:3" x14ac:dyDescent="0.25">
      <c r="A6472" s="115">
        <v>4666057</v>
      </c>
      <c r="B6472" s="115" t="s">
        <v>6222</v>
      </c>
      <c r="C6472" s="117">
        <v>1231.95</v>
      </c>
    </row>
    <row r="6473" spans="1:3" x14ac:dyDescent="0.25">
      <c r="A6473" s="144" t="s">
        <v>6223</v>
      </c>
      <c r="B6473" s="145"/>
      <c r="C6473" s="145"/>
    </row>
    <row r="6474" spans="1:3" x14ac:dyDescent="0.25">
      <c r="A6474" s="115">
        <v>4706100</v>
      </c>
      <c r="B6474" s="115" t="s">
        <v>6224</v>
      </c>
      <c r="C6474" s="117">
        <v>1256.3</v>
      </c>
    </row>
    <row r="6475" spans="1:3" x14ac:dyDescent="0.25">
      <c r="A6475" s="115">
        <v>4706200</v>
      </c>
      <c r="B6475" s="115" t="s">
        <v>6225</v>
      </c>
      <c r="C6475" s="117">
        <v>2512.6</v>
      </c>
    </row>
    <row r="6476" spans="1:3" x14ac:dyDescent="0.25">
      <c r="A6476" s="115">
        <v>4702201</v>
      </c>
      <c r="B6476" s="115" t="s">
        <v>6226</v>
      </c>
      <c r="C6476" s="117">
        <v>2175.44</v>
      </c>
    </row>
    <row r="6477" spans="1:3" x14ac:dyDescent="0.25">
      <c r="A6477" s="115">
        <v>4702200</v>
      </c>
      <c r="B6477" s="115" t="s">
        <v>6227</v>
      </c>
      <c r="C6477" s="117">
        <v>2175.44</v>
      </c>
    </row>
    <row r="6478" spans="1:3" x14ac:dyDescent="0.25">
      <c r="A6478" s="115">
        <v>4702400</v>
      </c>
      <c r="B6478" s="115" t="s">
        <v>6228</v>
      </c>
      <c r="C6478" s="117">
        <v>768.32</v>
      </c>
    </row>
    <row r="6479" spans="1:3" x14ac:dyDescent="0.25">
      <c r="A6479" s="115">
        <v>4702300</v>
      </c>
      <c r="B6479" s="115" t="s">
        <v>6229</v>
      </c>
      <c r="C6479" s="117">
        <v>575.59</v>
      </c>
    </row>
    <row r="6480" spans="1:3" x14ac:dyDescent="0.25">
      <c r="A6480" s="115">
        <v>4703004</v>
      </c>
      <c r="B6480" s="115" t="s">
        <v>6230</v>
      </c>
      <c r="C6480" s="117">
        <v>768.32</v>
      </c>
    </row>
    <row r="6481" spans="1:3" x14ac:dyDescent="0.25">
      <c r="A6481" s="115">
        <v>4704500</v>
      </c>
      <c r="B6481" s="115" t="s">
        <v>6231</v>
      </c>
      <c r="C6481" s="117">
        <v>3324.27</v>
      </c>
    </row>
    <row r="6482" spans="1:3" x14ac:dyDescent="0.25">
      <c r="A6482" s="115">
        <v>4701200</v>
      </c>
      <c r="B6482" s="115" t="s">
        <v>6232</v>
      </c>
      <c r="C6482" s="117">
        <v>2756.3</v>
      </c>
    </row>
    <row r="6483" spans="1:3" x14ac:dyDescent="0.25">
      <c r="A6483" s="115">
        <v>4701700</v>
      </c>
      <c r="B6483" s="115" t="s">
        <v>6233</v>
      </c>
      <c r="C6483" s="117">
        <v>614.02</v>
      </c>
    </row>
    <row r="6484" spans="1:3" x14ac:dyDescent="0.25">
      <c r="A6484" s="115">
        <v>4701400</v>
      </c>
      <c r="B6484" s="115" t="s">
        <v>6234</v>
      </c>
      <c r="C6484" s="117">
        <v>1228.05</v>
      </c>
    </row>
    <row r="6485" spans="1:3" x14ac:dyDescent="0.25">
      <c r="A6485" s="115">
        <v>4701800</v>
      </c>
      <c r="B6485" s="115" t="s">
        <v>6235</v>
      </c>
      <c r="C6485" s="117">
        <v>955.16</v>
      </c>
    </row>
    <row r="6486" spans="1:3" x14ac:dyDescent="0.25">
      <c r="A6486" s="115">
        <v>4701300</v>
      </c>
      <c r="B6486" s="115" t="s">
        <v>6236</v>
      </c>
      <c r="C6486" s="117">
        <v>470</v>
      </c>
    </row>
    <row r="6487" spans="1:3" x14ac:dyDescent="0.25">
      <c r="A6487" s="115">
        <v>4702000</v>
      </c>
      <c r="B6487" s="115" t="s">
        <v>6237</v>
      </c>
      <c r="C6487" s="117">
        <v>614.02</v>
      </c>
    </row>
    <row r="6488" spans="1:3" x14ac:dyDescent="0.25">
      <c r="A6488" s="115">
        <v>4701900</v>
      </c>
      <c r="B6488" s="115" t="s">
        <v>6238</v>
      </c>
      <c r="C6488" s="117">
        <v>470</v>
      </c>
    </row>
    <row r="6489" spans="1:3" x14ac:dyDescent="0.25">
      <c r="A6489" s="115">
        <v>4705800</v>
      </c>
      <c r="B6489" s="115" t="s">
        <v>6239</v>
      </c>
      <c r="C6489" s="117">
        <v>836.39</v>
      </c>
    </row>
    <row r="6490" spans="1:3" x14ac:dyDescent="0.25">
      <c r="A6490" s="115">
        <v>4705900</v>
      </c>
      <c r="B6490" s="115" t="s">
        <v>6240</v>
      </c>
      <c r="C6490" s="117">
        <v>1668.66</v>
      </c>
    </row>
    <row r="6491" spans="1:3" x14ac:dyDescent="0.25">
      <c r="A6491" s="115">
        <v>4707100</v>
      </c>
      <c r="B6491" s="115" t="s">
        <v>6241</v>
      </c>
      <c r="C6491" s="117">
        <v>503.04</v>
      </c>
    </row>
    <row r="6492" spans="1:3" x14ac:dyDescent="0.25">
      <c r="A6492" s="115">
        <v>4707400</v>
      </c>
      <c r="B6492" s="115" t="s">
        <v>6242</v>
      </c>
      <c r="C6492" s="117">
        <v>5470.86</v>
      </c>
    </row>
    <row r="6493" spans="1:3" x14ac:dyDescent="0.25">
      <c r="A6493" s="115">
        <v>4707200</v>
      </c>
      <c r="B6493" s="115" t="s">
        <v>6243</v>
      </c>
      <c r="C6493" s="117">
        <v>1014.44</v>
      </c>
    </row>
    <row r="6494" spans="1:3" x14ac:dyDescent="0.25">
      <c r="A6494" s="115">
        <v>4707300</v>
      </c>
      <c r="B6494" s="115" t="s">
        <v>6244</v>
      </c>
      <c r="C6494" s="117">
        <v>1515.25</v>
      </c>
    </row>
    <row r="6495" spans="1:3" x14ac:dyDescent="0.25">
      <c r="A6495" s="115">
        <v>4703815</v>
      </c>
      <c r="B6495" s="115" t="s">
        <v>6245</v>
      </c>
      <c r="C6495" s="117">
        <v>3604.84</v>
      </c>
    </row>
    <row r="6496" spans="1:3" x14ac:dyDescent="0.25">
      <c r="A6496" s="115">
        <v>4703819</v>
      </c>
      <c r="B6496" s="115" t="s">
        <v>6246</v>
      </c>
      <c r="C6496" s="117">
        <v>2165.9699999999998</v>
      </c>
    </row>
    <row r="6497" spans="1:3" x14ac:dyDescent="0.25">
      <c r="A6497" s="115">
        <v>4703818</v>
      </c>
      <c r="B6497" s="115" t="s">
        <v>6247</v>
      </c>
      <c r="C6497" s="117">
        <v>2165.9699999999998</v>
      </c>
    </row>
    <row r="6498" spans="1:3" x14ac:dyDescent="0.25">
      <c r="A6498" s="115">
        <v>4703812</v>
      </c>
      <c r="B6498" s="115" t="s">
        <v>6248</v>
      </c>
      <c r="C6498" s="117">
        <v>3604.84</v>
      </c>
    </row>
    <row r="6499" spans="1:3" x14ac:dyDescent="0.25">
      <c r="A6499" s="115">
        <v>4703831</v>
      </c>
      <c r="B6499" s="115" t="s">
        <v>6249</v>
      </c>
      <c r="C6499" s="117">
        <v>1631.33</v>
      </c>
    </row>
    <row r="6500" spans="1:3" x14ac:dyDescent="0.25">
      <c r="A6500" s="115">
        <v>4703817</v>
      </c>
      <c r="B6500" s="115" t="s">
        <v>6250</v>
      </c>
      <c r="C6500" s="117">
        <v>2165.9699999999998</v>
      </c>
    </row>
    <row r="6501" spans="1:3" x14ac:dyDescent="0.25">
      <c r="A6501" s="115">
        <v>4703813</v>
      </c>
      <c r="B6501" s="115" t="s">
        <v>6251</v>
      </c>
      <c r="C6501" s="117">
        <v>3604.84</v>
      </c>
    </row>
    <row r="6502" spans="1:3" x14ac:dyDescent="0.25">
      <c r="A6502" s="115">
        <v>4708000</v>
      </c>
      <c r="B6502" s="115" t="s">
        <v>6252</v>
      </c>
      <c r="C6502" s="117">
        <v>3043.75</v>
      </c>
    </row>
    <row r="6503" spans="1:3" x14ac:dyDescent="0.25">
      <c r="A6503" s="115">
        <v>4703825</v>
      </c>
      <c r="B6503" s="115" t="s">
        <v>6253</v>
      </c>
      <c r="C6503" s="117">
        <v>3049.34</v>
      </c>
    </row>
    <row r="6504" spans="1:3" x14ac:dyDescent="0.25">
      <c r="A6504" s="115">
        <v>4703824</v>
      </c>
      <c r="B6504" s="115" t="s">
        <v>6254</v>
      </c>
      <c r="C6504" s="117">
        <v>3049.34</v>
      </c>
    </row>
    <row r="6505" spans="1:3" x14ac:dyDescent="0.25">
      <c r="A6505" s="115">
        <v>4703615</v>
      </c>
      <c r="B6505" s="115" t="s">
        <v>6255</v>
      </c>
      <c r="C6505" s="117">
        <v>3598.07</v>
      </c>
    </row>
    <row r="6506" spans="1:3" x14ac:dyDescent="0.25">
      <c r="A6506" s="115">
        <v>4703613</v>
      </c>
      <c r="B6506" s="115" t="s">
        <v>6256</v>
      </c>
      <c r="C6506" s="117">
        <v>3598.07</v>
      </c>
    </row>
    <row r="6507" spans="1:3" x14ac:dyDescent="0.25">
      <c r="A6507" s="115">
        <v>4704700</v>
      </c>
      <c r="B6507" s="115" t="s">
        <v>6257</v>
      </c>
      <c r="C6507" s="117">
        <v>7562.71</v>
      </c>
    </row>
    <row r="6508" spans="1:3" x14ac:dyDescent="0.25">
      <c r="A6508" s="115">
        <v>4705100</v>
      </c>
      <c r="B6508" s="115" t="s">
        <v>6258</v>
      </c>
      <c r="C6508" s="117">
        <v>2077.67</v>
      </c>
    </row>
    <row r="6509" spans="1:3" x14ac:dyDescent="0.25">
      <c r="A6509" s="115">
        <v>4705200</v>
      </c>
      <c r="B6509" s="115" t="s">
        <v>6259</v>
      </c>
      <c r="C6509" s="117">
        <v>2077.67</v>
      </c>
    </row>
    <row r="6510" spans="1:3" x14ac:dyDescent="0.25">
      <c r="A6510" s="115">
        <v>4705500</v>
      </c>
      <c r="B6510" s="115" t="s">
        <v>6260</v>
      </c>
      <c r="C6510" s="117">
        <v>2160.7800000000002</v>
      </c>
    </row>
    <row r="6511" spans="1:3" x14ac:dyDescent="0.25">
      <c r="A6511" s="115">
        <v>4704801</v>
      </c>
      <c r="B6511" s="115" t="s">
        <v>6261</v>
      </c>
      <c r="C6511" s="117">
        <v>2243.88</v>
      </c>
    </row>
    <row r="6512" spans="1:3" x14ac:dyDescent="0.25">
      <c r="A6512" s="115">
        <v>4705300</v>
      </c>
      <c r="B6512" s="115" t="s">
        <v>6262</v>
      </c>
      <c r="C6512" s="117">
        <v>2077.67</v>
      </c>
    </row>
    <row r="6513" spans="1:3" x14ac:dyDescent="0.25">
      <c r="A6513" s="115">
        <v>4704300</v>
      </c>
      <c r="B6513" s="115" t="s">
        <v>6263</v>
      </c>
      <c r="C6513" s="117">
        <v>1038.83</v>
      </c>
    </row>
    <row r="6514" spans="1:3" x14ac:dyDescent="0.25">
      <c r="A6514" s="115">
        <v>4705510</v>
      </c>
      <c r="B6514" s="115" t="s">
        <v>6264</v>
      </c>
      <c r="C6514" s="117">
        <v>2077.67</v>
      </c>
    </row>
    <row r="6515" spans="1:3" x14ac:dyDescent="0.25">
      <c r="A6515" s="115">
        <v>4705000</v>
      </c>
      <c r="B6515" s="115" t="s">
        <v>6265</v>
      </c>
      <c r="C6515" s="117">
        <v>2077.67</v>
      </c>
    </row>
    <row r="6516" spans="1:3" x14ac:dyDescent="0.25">
      <c r="A6516" s="115">
        <v>4705400</v>
      </c>
      <c r="B6516" s="115" t="s">
        <v>6266</v>
      </c>
      <c r="C6516" s="117">
        <v>415.53</v>
      </c>
    </row>
    <row r="6517" spans="1:3" x14ac:dyDescent="0.25">
      <c r="A6517" s="115">
        <v>4705700</v>
      </c>
      <c r="B6517" s="115" t="s">
        <v>6267</v>
      </c>
      <c r="C6517" s="117">
        <v>498.64</v>
      </c>
    </row>
    <row r="6518" spans="1:3" x14ac:dyDescent="0.25">
      <c r="A6518" s="115">
        <v>4704600</v>
      </c>
      <c r="B6518" s="115" t="s">
        <v>6268</v>
      </c>
      <c r="C6518" s="117">
        <v>415.53</v>
      </c>
    </row>
    <row r="6519" spans="1:3" x14ac:dyDescent="0.25">
      <c r="A6519" s="115">
        <v>4705600</v>
      </c>
      <c r="B6519" s="115" t="s">
        <v>6269</v>
      </c>
      <c r="C6519" s="117">
        <v>2368.58</v>
      </c>
    </row>
    <row r="6520" spans="1:3" x14ac:dyDescent="0.25">
      <c r="A6520" s="115">
        <v>4707500</v>
      </c>
      <c r="B6520" s="115" t="s">
        <v>6270</v>
      </c>
      <c r="C6520" s="117">
        <v>1431.95</v>
      </c>
    </row>
    <row r="6521" spans="1:3" x14ac:dyDescent="0.25">
      <c r="A6521" s="115">
        <v>4704900</v>
      </c>
      <c r="B6521" s="115" t="s">
        <v>6271</v>
      </c>
      <c r="C6521" s="117">
        <v>540.19000000000005</v>
      </c>
    </row>
    <row r="6522" spans="1:3" x14ac:dyDescent="0.25">
      <c r="A6522" s="144" t="s">
        <v>6272</v>
      </c>
      <c r="B6522" s="145"/>
      <c r="C6522" s="145"/>
    </row>
    <row r="6523" spans="1:3" x14ac:dyDescent="0.25">
      <c r="A6523" s="115">
        <v>4303002</v>
      </c>
      <c r="B6523" s="115" t="s">
        <v>6273</v>
      </c>
      <c r="C6523" s="117">
        <v>14934.07</v>
      </c>
    </row>
    <row r="6524" spans="1:3" x14ac:dyDescent="0.25">
      <c r="A6524" s="115">
        <v>4303003</v>
      </c>
      <c r="B6524" s="115" t="s">
        <v>6274</v>
      </c>
      <c r="C6524" s="117">
        <v>14934.07</v>
      </c>
    </row>
    <row r="6525" spans="1:3" x14ac:dyDescent="0.25">
      <c r="A6525" s="115">
        <v>4224100</v>
      </c>
      <c r="B6525" s="115" t="s">
        <v>6275</v>
      </c>
      <c r="C6525" s="117">
        <v>11.55</v>
      </c>
    </row>
    <row r="6526" spans="1:3" x14ac:dyDescent="0.25">
      <c r="A6526" s="115">
        <v>4224300</v>
      </c>
      <c r="B6526" s="115" t="s">
        <v>6276</v>
      </c>
      <c r="C6526" s="117">
        <v>27.97</v>
      </c>
    </row>
    <row r="6527" spans="1:3" x14ac:dyDescent="0.25">
      <c r="A6527" s="115">
        <v>4223300</v>
      </c>
      <c r="B6527" s="115" t="s">
        <v>6277</v>
      </c>
      <c r="C6527" s="117">
        <v>27.48</v>
      </c>
    </row>
    <row r="6528" spans="1:3" x14ac:dyDescent="0.25">
      <c r="A6528" s="115">
        <v>4221100</v>
      </c>
      <c r="B6528" s="115" t="s">
        <v>6278</v>
      </c>
      <c r="C6528" s="117">
        <v>1.87</v>
      </c>
    </row>
    <row r="6529" spans="1:3" x14ac:dyDescent="0.25">
      <c r="A6529" s="115">
        <v>4223310</v>
      </c>
      <c r="B6529" s="115" t="s">
        <v>6279</v>
      </c>
      <c r="C6529" s="117">
        <v>2640.92</v>
      </c>
    </row>
    <row r="6530" spans="1:3" x14ac:dyDescent="0.25">
      <c r="A6530" s="115">
        <v>4301500</v>
      </c>
      <c r="B6530" s="115" t="s">
        <v>6280</v>
      </c>
      <c r="C6530" s="117">
        <v>4652.7700000000004</v>
      </c>
    </row>
    <row r="6531" spans="1:3" x14ac:dyDescent="0.25">
      <c r="A6531" s="115">
        <v>4301100</v>
      </c>
      <c r="B6531" s="115" t="s">
        <v>6281</v>
      </c>
      <c r="C6531" s="117">
        <v>8061.79</v>
      </c>
    </row>
    <row r="6532" spans="1:3" x14ac:dyDescent="0.25">
      <c r="A6532" s="115">
        <v>4301200</v>
      </c>
      <c r="B6532" s="115" t="s">
        <v>6282</v>
      </c>
      <c r="C6532" s="117">
        <v>8784.65</v>
      </c>
    </row>
    <row r="6533" spans="1:3" x14ac:dyDescent="0.25">
      <c r="A6533" s="115">
        <v>4301800</v>
      </c>
      <c r="B6533" s="115" t="s">
        <v>6283</v>
      </c>
      <c r="C6533" s="117">
        <v>5051.79</v>
      </c>
    </row>
    <row r="6534" spans="1:3" x14ac:dyDescent="0.25">
      <c r="A6534" s="115">
        <v>4301600</v>
      </c>
      <c r="B6534" s="115" t="s">
        <v>6284</v>
      </c>
      <c r="C6534" s="117">
        <v>6527.19</v>
      </c>
    </row>
    <row r="6535" spans="1:3" x14ac:dyDescent="0.25">
      <c r="A6535" s="115">
        <v>4301700</v>
      </c>
      <c r="B6535" s="115" t="s">
        <v>6285</v>
      </c>
      <c r="C6535" s="117">
        <v>6527.19</v>
      </c>
    </row>
    <row r="6536" spans="1:3" x14ac:dyDescent="0.25">
      <c r="A6536" s="115">
        <v>4302000</v>
      </c>
      <c r="B6536" s="115" t="s">
        <v>6286</v>
      </c>
      <c r="C6536" s="117">
        <v>7197.77</v>
      </c>
    </row>
    <row r="6537" spans="1:3" x14ac:dyDescent="0.25">
      <c r="A6537" s="144" t="s">
        <v>6287</v>
      </c>
      <c r="B6537" s="145"/>
      <c r="C6537" s="145"/>
    </row>
    <row r="6538" spans="1:3" x14ac:dyDescent="0.25">
      <c r="A6538" s="115">
        <v>4083403</v>
      </c>
      <c r="B6538" s="115" t="s">
        <v>12354</v>
      </c>
      <c r="C6538" s="117">
        <v>693.29</v>
      </c>
    </row>
    <row r="6539" spans="1:3" x14ac:dyDescent="0.25">
      <c r="A6539" s="115">
        <v>4083410</v>
      </c>
      <c r="B6539" s="115" t="s">
        <v>6288</v>
      </c>
      <c r="C6539" s="117">
        <v>502.17</v>
      </c>
    </row>
    <row r="6540" spans="1:3" x14ac:dyDescent="0.25">
      <c r="A6540" s="115">
        <v>4083412</v>
      </c>
      <c r="B6540" s="115" t="s">
        <v>6289</v>
      </c>
      <c r="C6540" s="117">
        <v>630.26</v>
      </c>
    </row>
    <row r="6541" spans="1:3" x14ac:dyDescent="0.25">
      <c r="A6541" s="115">
        <v>4082970</v>
      </c>
      <c r="B6541" s="115" t="s">
        <v>6290</v>
      </c>
      <c r="C6541" s="117">
        <v>890.94</v>
      </c>
    </row>
    <row r="6542" spans="1:3" x14ac:dyDescent="0.25">
      <c r="A6542" s="115">
        <v>4082967</v>
      </c>
      <c r="B6542" s="115" t="s">
        <v>6291</v>
      </c>
      <c r="C6542" s="117">
        <v>619.37</v>
      </c>
    </row>
    <row r="6543" spans="1:3" x14ac:dyDescent="0.25">
      <c r="A6543" s="115">
        <v>4082963</v>
      </c>
      <c r="B6543" s="115" t="s">
        <v>6292</v>
      </c>
      <c r="C6543" s="117">
        <v>439.25</v>
      </c>
    </row>
    <row r="6544" spans="1:3" x14ac:dyDescent="0.25">
      <c r="A6544" s="115">
        <v>4082955</v>
      </c>
      <c r="B6544" s="115" t="s">
        <v>6293</v>
      </c>
      <c r="C6544" s="117">
        <v>619.37</v>
      </c>
    </row>
    <row r="6545" spans="1:3" x14ac:dyDescent="0.25">
      <c r="A6545" s="115">
        <v>4082964</v>
      </c>
      <c r="B6545" s="115" t="s">
        <v>6294</v>
      </c>
      <c r="C6545" s="117">
        <v>890.94</v>
      </c>
    </row>
    <row r="6546" spans="1:3" x14ac:dyDescent="0.25">
      <c r="A6546" s="115">
        <v>4082960</v>
      </c>
      <c r="B6546" s="115" t="s">
        <v>6295</v>
      </c>
      <c r="C6546" s="117">
        <v>619.37</v>
      </c>
    </row>
    <row r="6547" spans="1:3" x14ac:dyDescent="0.25">
      <c r="A6547" s="115">
        <v>4082961</v>
      </c>
      <c r="B6547" s="115" t="s">
        <v>6296</v>
      </c>
      <c r="C6547" s="117">
        <v>630.26</v>
      </c>
    </row>
    <row r="6548" spans="1:3" x14ac:dyDescent="0.25">
      <c r="A6548" s="115">
        <v>4082959</v>
      </c>
      <c r="B6548" s="115" t="s">
        <v>6297</v>
      </c>
      <c r="C6548" s="117">
        <v>619.37</v>
      </c>
    </row>
    <row r="6549" spans="1:3" x14ac:dyDescent="0.25">
      <c r="A6549" s="115">
        <v>4082956</v>
      </c>
      <c r="B6549" s="115" t="s">
        <v>6298</v>
      </c>
      <c r="C6549" s="117">
        <v>890.94</v>
      </c>
    </row>
    <row r="6550" spans="1:3" x14ac:dyDescent="0.25">
      <c r="A6550" s="115">
        <v>4088015</v>
      </c>
      <c r="B6550" s="115" t="s">
        <v>6299</v>
      </c>
      <c r="C6550" s="117">
        <v>386.32</v>
      </c>
    </row>
    <row r="6551" spans="1:3" x14ac:dyDescent="0.25">
      <c r="A6551" s="115">
        <v>4082326</v>
      </c>
      <c r="B6551" s="115" t="s">
        <v>6300</v>
      </c>
      <c r="C6551" s="117">
        <v>317.38</v>
      </c>
    </row>
    <row r="6552" spans="1:3" x14ac:dyDescent="0.25">
      <c r="A6552" s="115">
        <v>4082350</v>
      </c>
      <c r="B6552" s="115" t="s">
        <v>6301</v>
      </c>
      <c r="C6552" s="117">
        <v>317.38</v>
      </c>
    </row>
    <row r="6553" spans="1:3" x14ac:dyDescent="0.25">
      <c r="A6553" s="115">
        <v>4082329</v>
      </c>
      <c r="B6553" s="115" t="s">
        <v>6302</v>
      </c>
      <c r="C6553" s="117">
        <v>317.38</v>
      </c>
    </row>
    <row r="6554" spans="1:3" x14ac:dyDescent="0.25">
      <c r="A6554" s="115">
        <v>4082290</v>
      </c>
      <c r="B6554" s="115" t="s">
        <v>6303</v>
      </c>
      <c r="C6554" s="117">
        <v>317.38</v>
      </c>
    </row>
    <row r="6555" spans="1:3" x14ac:dyDescent="0.25">
      <c r="A6555" s="115">
        <v>4082324</v>
      </c>
      <c r="B6555" s="115" t="s">
        <v>6304</v>
      </c>
      <c r="C6555" s="117">
        <v>92.38</v>
      </c>
    </row>
    <row r="6556" spans="1:3" x14ac:dyDescent="0.25">
      <c r="A6556" s="115">
        <v>4082299</v>
      </c>
      <c r="B6556" s="115" t="s">
        <v>6305</v>
      </c>
      <c r="C6556" s="117">
        <v>317.38</v>
      </c>
    </row>
    <row r="6557" spans="1:3" x14ac:dyDescent="0.25">
      <c r="A6557" s="115">
        <v>4082362</v>
      </c>
      <c r="B6557" s="115" t="s">
        <v>6306</v>
      </c>
      <c r="C6557" s="117">
        <v>317.38</v>
      </c>
    </row>
    <row r="6558" spans="1:3" x14ac:dyDescent="0.25">
      <c r="A6558" s="115">
        <v>4082331</v>
      </c>
      <c r="B6558" s="115" t="s">
        <v>6307</v>
      </c>
      <c r="C6558" s="117">
        <v>317.38</v>
      </c>
    </row>
    <row r="6559" spans="1:3" x14ac:dyDescent="0.25">
      <c r="A6559" s="115">
        <v>4082383</v>
      </c>
      <c r="B6559" s="115" t="s">
        <v>6308</v>
      </c>
      <c r="C6559" s="117">
        <v>317.38</v>
      </c>
    </row>
    <row r="6560" spans="1:3" x14ac:dyDescent="0.25">
      <c r="A6560" s="115">
        <v>4082354</v>
      </c>
      <c r="B6560" s="115" t="s">
        <v>6309</v>
      </c>
      <c r="C6560" s="117">
        <v>317.38</v>
      </c>
    </row>
    <row r="6561" spans="1:3" x14ac:dyDescent="0.25">
      <c r="A6561" s="115">
        <v>4082926</v>
      </c>
      <c r="B6561" s="115" t="s">
        <v>6310</v>
      </c>
      <c r="C6561" s="117">
        <v>383.18</v>
      </c>
    </row>
    <row r="6562" spans="1:3" x14ac:dyDescent="0.25">
      <c r="A6562" s="115">
        <v>4082929</v>
      </c>
      <c r="B6562" s="115" t="s">
        <v>6311</v>
      </c>
      <c r="C6562" s="117">
        <v>383.18</v>
      </c>
    </row>
    <row r="6563" spans="1:3" x14ac:dyDescent="0.25">
      <c r="A6563" s="115">
        <v>4082938</v>
      </c>
      <c r="B6563" s="115" t="s">
        <v>6312</v>
      </c>
      <c r="C6563" s="117">
        <v>383.18</v>
      </c>
    </row>
    <row r="6564" spans="1:3" x14ac:dyDescent="0.25">
      <c r="A6564" s="115">
        <v>4082962</v>
      </c>
      <c r="B6564" s="115" t="s">
        <v>6313</v>
      </c>
      <c r="C6564" s="117">
        <v>383.18</v>
      </c>
    </row>
    <row r="6565" spans="1:3" x14ac:dyDescent="0.25">
      <c r="A6565" s="115">
        <v>4082965</v>
      </c>
      <c r="B6565" s="115" t="s">
        <v>6314</v>
      </c>
      <c r="C6565" s="117">
        <v>125.58</v>
      </c>
    </row>
    <row r="6566" spans="1:3" x14ac:dyDescent="0.25">
      <c r="A6566" s="115">
        <v>4082976</v>
      </c>
      <c r="B6566" s="115" t="s">
        <v>6315</v>
      </c>
      <c r="C6566" s="117">
        <v>383.18</v>
      </c>
    </row>
    <row r="6567" spans="1:3" x14ac:dyDescent="0.25">
      <c r="A6567" s="115">
        <v>4082983</v>
      </c>
      <c r="B6567" s="115" t="s">
        <v>6316</v>
      </c>
      <c r="C6567" s="117">
        <v>383.18</v>
      </c>
    </row>
    <row r="6568" spans="1:3" x14ac:dyDescent="0.25">
      <c r="A6568" s="115">
        <v>4082954</v>
      </c>
      <c r="B6568" s="115" t="s">
        <v>6317</v>
      </c>
      <c r="C6568" s="117">
        <v>383.18</v>
      </c>
    </row>
    <row r="6569" spans="1:3" x14ac:dyDescent="0.25">
      <c r="A6569" s="115">
        <v>4089026</v>
      </c>
      <c r="B6569" s="115" t="s">
        <v>6318</v>
      </c>
      <c r="C6569" s="117">
        <v>394.33</v>
      </c>
    </row>
    <row r="6570" spans="1:3" x14ac:dyDescent="0.25">
      <c r="A6570" s="115">
        <v>4089029</v>
      </c>
      <c r="B6570" s="115" t="s">
        <v>6319</v>
      </c>
      <c r="C6570" s="117">
        <v>394.33</v>
      </c>
    </row>
    <row r="6571" spans="1:3" x14ac:dyDescent="0.25">
      <c r="A6571" s="115">
        <v>4089090</v>
      </c>
      <c r="B6571" s="115" t="s">
        <v>6320</v>
      </c>
      <c r="C6571" s="117">
        <v>394.33</v>
      </c>
    </row>
    <row r="6572" spans="1:3" x14ac:dyDescent="0.25">
      <c r="A6572" s="115">
        <v>4089099</v>
      </c>
      <c r="B6572" s="115" t="s">
        <v>6321</v>
      </c>
      <c r="C6572" s="117">
        <v>394.33</v>
      </c>
    </row>
    <row r="6573" spans="1:3" x14ac:dyDescent="0.25">
      <c r="A6573" s="115">
        <v>4089062</v>
      </c>
      <c r="B6573" s="115" t="s">
        <v>6322</v>
      </c>
      <c r="C6573" s="117">
        <v>394.33</v>
      </c>
    </row>
    <row r="6574" spans="1:3" x14ac:dyDescent="0.25">
      <c r="A6574" s="115">
        <v>4089031</v>
      </c>
      <c r="B6574" s="115" t="s">
        <v>6323</v>
      </c>
      <c r="C6574" s="117">
        <v>394.33</v>
      </c>
    </row>
    <row r="6575" spans="1:3" x14ac:dyDescent="0.25">
      <c r="A6575" s="115">
        <v>4089083</v>
      </c>
      <c r="B6575" s="115" t="s">
        <v>6324</v>
      </c>
      <c r="C6575" s="117">
        <v>394.33</v>
      </c>
    </row>
    <row r="6576" spans="1:3" x14ac:dyDescent="0.25">
      <c r="A6576" s="115">
        <v>4083698</v>
      </c>
      <c r="B6576" s="115" t="s">
        <v>6325</v>
      </c>
      <c r="C6576" s="117">
        <v>394.33</v>
      </c>
    </row>
    <row r="6577" spans="1:3" x14ac:dyDescent="0.25">
      <c r="A6577" s="115">
        <v>4082310</v>
      </c>
      <c r="B6577" s="115" t="s">
        <v>6326</v>
      </c>
      <c r="C6577" s="117">
        <v>809.95</v>
      </c>
    </row>
    <row r="6578" spans="1:3" x14ac:dyDescent="0.25">
      <c r="A6578" s="115">
        <v>4082400</v>
      </c>
      <c r="B6578" s="115" t="s">
        <v>6327</v>
      </c>
      <c r="C6578" s="117">
        <v>317.38</v>
      </c>
    </row>
    <row r="6579" spans="1:3" x14ac:dyDescent="0.25">
      <c r="A6579" s="115">
        <v>4083317</v>
      </c>
      <c r="B6579" s="115" t="s">
        <v>6328</v>
      </c>
      <c r="C6579" s="117">
        <v>263.76</v>
      </c>
    </row>
    <row r="6580" spans="1:3" x14ac:dyDescent="0.25">
      <c r="A6580" s="115">
        <v>4081001</v>
      </c>
      <c r="B6580" s="115" t="s">
        <v>6329</v>
      </c>
      <c r="C6580" s="117">
        <v>383.18</v>
      </c>
    </row>
    <row r="6581" spans="1:3" x14ac:dyDescent="0.25">
      <c r="A6581" s="115">
        <v>4081002</v>
      </c>
      <c r="B6581" s="115" t="s">
        <v>6330</v>
      </c>
      <c r="C6581" s="117">
        <v>383.18</v>
      </c>
    </row>
    <row r="6582" spans="1:3" x14ac:dyDescent="0.25">
      <c r="A6582" s="115">
        <v>4083446</v>
      </c>
      <c r="B6582" s="115" t="s">
        <v>6331</v>
      </c>
      <c r="C6582" s="117">
        <v>619.37</v>
      </c>
    </row>
    <row r="6583" spans="1:3" x14ac:dyDescent="0.25">
      <c r="A6583" s="115">
        <v>4083608</v>
      </c>
      <c r="B6583" s="115" t="s">
        <v>6332</v>
      </c>
      <c r="C6583" s="117">
        <v>630.26</v>
      </c>
    </row>
    <row r="6584" spans="1:3" x14ac:dyDescent="0.25">
      <c r="A6584" s="115">
        <v>4082953</v>
      </c>
      <c r="B6584" s="115" t="s">
        <v>6333</v>
      </c>
      <c r="C6584" s="117">
        <v>619.37</v>
      </c>
    </row>
    <row r="6585" spans="1:3" x14ac:dyDescent="0.25">
      <c r="A6585" s="115">
        <v>4082957</v>
      </c>
      <c r="B6585" s="115" t="s">
        <v>6334</v>
      </c>
      <c r="C6585" s="117">
        <v>619.37</v>
      </c>
    </row>
    <row r="6586" spans="1:3" x14ac:dyDescent="0.25">
      <c r="A6586" s="115">
        <v>4082941</v>
      </c>
      <c r="B6586" s="115" t="s">
        <v>6335</v>
      </c>
      <c r="C6586" s="117">
        <v>890.94</v>
      </c>
    </row>
    <row r="6587" spans="1:3" x14ac:dyDescent="0.25">
      <c r="A6587" s="115">
        <v>4083714</v>
      </c>
      <c r="B6587" s="115" t="s">
        <v>6336</v>
      </c>
      <c r="C6587" s="117">
        <v>206.04</v>
      </c>
    </row>
    <row r="6588" spans="1:3" x14ac:dyDescent="0.25">
      <c r="A6588" s="115">
        <v>4084002</v>
      </c>
      <c r="B6588" s="115" t="s">
        <v>6337</v>
      </c>
      <c r="C6588" s="117">
        <v>630.26</v>
      </c>
    </row>
    <row r="6589" spans="1:3" x14ac:dyDescent="0.25">
      <c r="A6589" s="115">
        <v>4083357</v>
      </c>
      <c r="B6589" s="115" t="s">
        <v>6338</v>
      </c>
      <c r="C6589" s="117">
        <v>101.68</v>
      </c>
    </row>
    <row r="6590" spans="1:3" x14ac:dyDescent="0.25">
      <c r="A6590" s="115">
        <v>4083003</v>
      </c>
      <c r="B6590" s="115" t="s">
        <v>6339</v>
      </c>
      <c r="C6590" s="117">
        <v>637.57000000000005</v>
      </c>
    </row>
    <row r="6591" spans="1:3" x14ac:dyDescent="0.25">
      <c r="A6591" s="115">
        <v>4085540</v>
      </c>
      <c r="B6591" s="115" t="s">
        <v>6340</v>
      </c>
      <c r="C6591" s="117">
        <v>552.41</v>
      </c>
    </row>
    <row r="6592" spans="1:3" x14ac:dyDescent="0.25">
      <c r="A6592" s="115">
        <v>4083621</v>
      </c>
      <c r="B6592" s="115" t="s">
        <v>6341</v>
      </c>
      <c r="C6592" s="117">
        <v>619.37</v>
      </c>
    </row>
    <row r="6593" spans="1:3" x14ac:dyDescent="0.25">
      <c r="A6593" s="115">
        <v>4082390</v>
      </c>
      <c r="B6593" s="115" t="s">
        <v>6342</v>
      </c>
      <c r="C6593" s="117">
        <v>890.94</v>
      </c>
    </row>
    <row r="6594" spans="1:3" x14ac:dyDescent="0.25">
      <c r="A6594" s="115">
        <v>4083715</v>
      </c>
      <c r="B6594" s="115" t="s">
        <v>6343</v>
      </c>
      <c r="C6594" s="117">
        <v>230.51</v>
      </c>
    </row>
    <row r="6595" spans="1:3" x14ac:dyDescent="0.25">
      <c r="A6595" s="115">
        <v>4083712</v>
      </c>
      <c r="B6595" s="115" t="s">
        <v>6344</v>
      </c>
      <c r="C6595" s="117">
        <v>184.03</v>
      </c>
    </row>
    <row r="6596" spans="1:3" x14ac:dyDescent="0.25">
      <c r="A6596" s="115">
        <v>4083365</v>
      </c>
      <c r="B6596" s="115" t="s">
        <v>6345</v>
      </c>
      <c r="C6596" s="117">
        <v>169.79</v>
      </c>
    </row>
    <row r="6597" spans="1:3" x14ac:dyDescent="0.25">
      <c r="A6597" s="115">
        <v>4083344</v>
      </c>
      <c r="B6597" s="115" t="s">
        <v>6346</v>
      </c>
      <c r="C6597" s="117">
        <v>439.25</v>
      </c>
    </row>
    <row r="6598" spans="1:3" x14ac:dyDescent="0.25">
      <c r="A6598" s="115">
        <v>4083510</v>
      </c>
      <c r="B6598" s="115" t="s">
        <v>6347</v>
      </c>
      <c r="C6598" s="117">
        <v>619.37</v>
      </c>
    </row>
    <row r="6599" spans="1:3" x14ac:dyDescent="0.25">
      <c r="A6599" s="115">
        <v>4083364</v>
      </c>
      <c r="B6599" s="115" t="s">
        <v>6348</v>
      </c>
      <c r="C6599" s="117">
        <v>890.94</v>
      </c>
    </row>
    <row r="6600" spans="1:3" x14ac:dyDescent="0.25">
      <c r="A6600" s="115">
        <v>4083610</v>
      </c>
      <c r="B6600" s="115" t="s">
        <v>6349</v>
      </c>
      <c r="C6600" s="117">
        <v>630.26</v>
      </c>
    </row>
    <row r="6601" spans="1:3" x14ac:dyDescent="0.25">
      <c r="A6601" s="115">
        <v>4083363</v>
      </c>
      <c r="B6601" s="115" t="s">
        <v>6350</v>
      </c>
      <c r="C6601" s="117">
        <v>619.37</v>
      </c>
    </row>
    <row r="6602" spans="1:3" x14ac:dyDescent="0.25">
      <c r="A6602" s="115">
        <v>4082327</v>
      </c>
      <c r="B6602" s="115" t="s">
        <v>6351</v>
      </c>
      <c r="C6602" s="117">
        <v>890.94</v>
      </c>
    </row>
    <row r="6603" spans="1:3" x14ac:dyDescent="0.25">
      <c r="A6603" s="115">
        <v>4082322</v>
      </c>
      <c r="B6603" s="115" t="s">
        <v>6352</v>
      </c>
      <c r="C6603" s="117">
        <v>619.37</v>
      </c>
    </row>
    <row r="6604" spans="1:3" x14ac:dyDescent="0.25">
      <c r="A6604" s="115">
        <v>4083355</v>
      </c>
      <c r="B6604" s="115" t="s">
        <v>6353</v>
      </c>
      <c r="C6604" s="117">
        <v>619.37</v>
      </c>
    </row>
    <row r="6605" spans="1:3" x14ac:dyDescent="0.25">
      <c r="A6605" s="115">
        <v>4083353</v>
      </c>
      <c r="B6605" s="115" t="s">
        <v>6354</v>
      </c>
      <c r="C6605" s="117">
        <v>890.94</v>
      </c>
    </row>
    <row r="6606" spans="1:3" x14ac:dyDescent="0.25">
      <c r="A6606" s="115">
        <v>4082701</v>
      </c>
      <c r="B6606" s="115" t="s">
        <v>6355</v>
      </c>
      <c r="C6606" s="117">
        <v>326.98</v>
      </c>
    </row>
    <row r="6607" spans="1:3" x14ac:dyDescent="0.25">
      <c r="A6607" s="115">
        <v>4082670</v>
      </c>
      <c r="B6607" s="115" t="s">
        <v>6356</v>
      </c>
      <c r="C6607" s="117">
        <v>319.2</v>
      </c>
    </row>
    <row r="6608" spans="1:3" x14ac:dyDescent="0.25">
      <c r="A6608" s="115">
        <v>4082600</v>
      </c>
      <c r="B6608" s="115" t="s">
        <v>6357</v>
      </c>
      <c r="C6608" s="117">
        <v>394.7</v>
      </c>
    </row>
    <row r="6609" spans="1:3" x14ac:dyDescent="0.25">
      <c r="A6609" s="115">
        <v>4082700</v>
      </c>
      <c r="B6609" s="115" t="s">
        <v>6358</v>
      </c>
      <c r="C6609" s="117">
        <v>356.9</v>
      </c>
    </row>
    <row r="6610" spans="1:3" x14ac:dyDescent="0.25">
      <c r="A6610" s="115">
        <v>4083264</v>
      </c>
      <c r="B6610" s="115" t="s">
        <v>6359</v>
      </c>
      <c r="C6610" s="117">
        <v>619.37</v>
      </c>
    </row>
    <row r="6611" spans="1:3" x14ac:dyDescent="0.25">
      <c r="A6611" s="115">
        <v>4083641</v>
      </c>
      <c r="B6611" s="115" t="s">
        <v>6360</v>
      </c>
      <c r="C6611" s="117">
        <v>630.26</v>
      </c>
    </row>
    <row r="6612" spans="1:3" x14ac:dyDescent="0.25">
      <c r="A6612" s="115">
        <v>4082308</v>
      </c>
      <c r="B6612" s="115" t="s">
        <v>12355</v>
      </c>
      <c r="C6612" s="117">
        <v>439.25</v>
      </c>
    </row>
    <row r="6613" spans="1:3" x14ac:dyDescent="0.25">
      <c r="A6613" s="115">
        <v>4083451</v>
      </c>
      <c r="B6613" s="115" t="s">
        <v>6361</v>
      </c>
      <c r="C6613" s="117">
        <v>502.17</v>
      </c>
    </row>
    <row r="6614" spans="1:3" x14ac:dyDescent="0.25">
      <c r="A6614" s="115">
        <v>4083616</v>
      </c>
      <c r="B6614" s="115" t="s">
        <v>6362</v>
      </c>
      <c r="C6614" s="117">
        <v>439.25</v>
      </c>
    </row>
    <row r="6615" spans="1:3" x14ac:dyDescent="0.25">
      <c r="A6615" s="115">
        <v>4083617</v>
      </c>
      <c r="B6615" s="115" t="s">
        <v>6363</v>
      </c>
      <c r="C6615" s="117">
        <v>890.94</v>
      </c>
    </row>
    <row r="6616" spans="1:3" x14ac:dyDescent="0.25">
      <c r="A6616" s="115">
        <v>4080501</v>
      </c>
      <c r="B6616" s="115" t="s">
        <v>6364</v>
      </c>
      <c r="C6616" s="117">
        <v>118</v>
      </c>
    </row>
    <row r="6617" spans="1:3" x14ac:dyDescent="0.25">
      <c r="A6617" s="115">
        <v>4083361</v>
      </c>
      <c r="B6617" s="115" t="s">
        <v>6365</v>
      </c>
      <c r="C6617" s="117">
        <v>439.25</v>
      </c>
    </row>
    <row r="6618" spans="1:3" x14ac:dyDescent="0.25">
      <c r="A6618" s="115">
        <v>4083348</v>
      </c>
      <c r="B6618" s="115" t="s">
        <v>6366</v>
      </c>
      <c r="C6618" s="117">
        <v>439.25</v>
      </c>
    </row>
    <row r="6619" spans="1:3" x14ac:dyDescent="0.25">
      <c r="A6619" s="115">
        <v>4083360</v>
      </c>
      <c r="B6619" s="115" t="s">
        <v>6367</v>
      </c>
      <c r="C6619" s="117">
        <v>619.37</v>
      </c>
    </row>
    <row r="6620" spans="1:3" x14ac:dyDescent="0.25">
      <c r="A6620" s="115">
        <v>4081420</v>
      </c>
      <c r="B6620" s="115" t="s">
        <v>6368</v>
      </c>
      <c r="C6620" s="117">
        <v>92.38</v>
      </c>
    </row>
    <row r="6621" spans="1:3" x14ac:dyDescent="0.25">
      <c r="A6621" s="115">
        <v>4083002</v>
      </c>
      <c r="B6621" s="115" t="s">
        <v>6369</v>
      </c>
      <c r="C6621" s="117">
        <v>637.57000000000005</v>
      </c>
    </row>
    <row r="6622" spans="1:3" x14ac:dyDescent="0.25">
      <c r="A6622" s="115">
        <v>4083359</v>
      </c>
      <c r="B6622" s="115" t="s">
        <v>6370</v>
      </c>
      <c r="C6622" s="117">
        <v>619.37</v>
      </c>
    </row>
    <row r="6623" spans="1:3" x14ac:dyDescent="0.25">
      <c r="A6623" s="115">
        <v>4083713</v>
      </c>
      <c r="B6623" s="115" t="s">
        <v>6371</v>
      </c>
      <c r="C6623" s="117">
        <v>296.23</v>
      </c>
    </row>
    <row r="6624" spans="1:3" x14ac:dyDescent="0.25">
      <c r="A6624" s="115">
        <v>4082332</v>
      </c>
      <c r="B6624" s="115" t="s">
        <v>6372</v>
      </c>
      <c r="C6624" s="117">
        <v>890.94</v>
      </c>
    </row>
    <row r="6625" spans="1:3" x14ac:dyDescent="0.25">
      <c r="A6625" s="115">
        <v>4082958</v>
      </c>
      <c r="B6625" s="115" t="s">
        <v>6373</v>
      </c>
      <c r="C6625" s="117">
        <v>619.37</v>
      </c>
    </row>
    <row r="6626" spans="1:3" x14ac:dyDescent="0.25">
      <c r="A6626" s="115">
        <v>4082334</v>
      </c>
      <c r="B6626" s="115" t="s">
        <v>12356</v>
      </c>
      <c r="C6626" s="117">
        <v>323.7</v>
      </c>
    </row>
    <row r="6627" spans="1:3" x14ac:dyDescent="0.25">
      <c r="A6627" s="115">
        <v>4084047</v>
      </c>
      <c r="B6627" s="115" t="s">
        <v>6374</v>
      </c>
      <c r="C6627" s="117">
        <v>97.24</v>
      </c>
    </row>
    <row r="6628" spans="1:3" x14ac:dyDescent="0.25">
      <c r="A6628" s="115">
        <v>4083368</v>
      </c>
      <c r="B6628" s="115" t="s">
        <v>6375</v>
      </c>
      <c r="C6628" s="117">
        <v>619.37</v>
      </c>
    </row>
    <row r="6629" spans="1:3" x14ac:dyDescent="0.25">
      <c r="A6629" s="115">
        <v>4082951</v>
      </c>
      <c r="B6629" s="115" t="s">
        <v>6376</v>
      </c>
      <c r="C6629" s="117">
        <v>619.37</v>
      </c>
    </row>
    <row r="6630" spans="1:3" x14ac:dyDescent="0.25">
      <c r="A6630" s="115">
        <v>4082312</v>
      </c>
      <c r="B6630" s="115" t="s">
        <v>12357</v>
      </c>
      <c r="C6630" s="117">
        <v>439.25</v>
      </c>
    </row>
    <row r="6631" spans="1:3" x14ac:dyDescent="0.25">
      <c r="A6631" s="115">
        <v>4083445</v>
      </c>
      <c r="B6631" s="115" t="s">
        <v>6377</v>
      </c>
      <c r="C6631" s="117">
        <v>151.91999999999999</v>
      </c>
    </row>
    <row r="6632" spans="1:3" x14ac:dyDescent="0.25">
      <c r="A6632" s="115">
        <v>4083604</v>
      </c>
      <c r="B6632" s="115" t="s">
        <v>6378</v>
      </c>
      <c r="C6632" s="117">
        <v>197.23</v>
      </c>
    </row>
    <row r="6633" spans="1:3" x14ac:dyDescent="0.25">
      <c r="A6633" s="115">
        <v>4083711</v>
      </c>
      <c r="B6633" s="115" t="s">
        <v>6379</v>
      </c>
      <c r="C6633" s="117">
        <v>552.41</v>
      </c>
    </row>
    <row r="6634" spans="1:3" x14ac:dyDescent="0.25">
      <c r="A6634" s="144" t="s">
        <v>6380</v>
      </c>
      <c r="B6634" s="145"/>
      <c r="C6634" s="145"/>
    </row>
    <row r="6635" spans="1:3" x14ac:dyDescent="0.25">
      <c r="A6635" s="115">
        <v>4106422</v>
      </c>
      <c r="B6635" s="115" t="s">
        <v>6381</v>
      </c>
      <c r="C6635" s="117">
        <v>382.18</v>
      </c>
    </row>
    <row r="6636" spans="1:3" x14ac:dyDescent="0.25">
      <c r="A6636" s="115">
        <v>4109579</v>
      </c>
      <c r="B6636" s="115" t="s">
        <v>6382</v>
      </c>
      <c r="C6636" s="117">
        <v>382.18</v>
      </c>
    </row>
    <row r="6637" spans="1:3" x14ac:dyDescent="0.25">
      <c r="A6637" s="115">
        <v>4107076</v>
      </c>
      <c r="B6637" s="115" t="s">
        <v>6383</v>
      </c>
      <c r="C6637" s="117">
        <v>382.18</v>
      </c>
    </row>
    <row r="6638" spans="1:3" x14ac:dyDescent="0.25">
      <c r="A6638" s="115">
        <v>4106034</v>
      </c>
      <c r="B6638" s="115" t="s">
        <v>6384</v>
      </c>
      <c r="C6638" s="117">
        <v>382.18</v>
      </c>
    </row>
    <row r="6639" spans="1:3" x14ac:dyDescent="0.25">
      <c r="A6639" s="115">
        <v>4109557</v>
      </c>
      <c r="B6639" s="115" t="s">
        <v>6385</v>
      </c>
      <c r="C6639" s="117">
        <v>382.18</v>
      </c>
    </row>
    <row r="6640" spans="1:3" x14ac:dyDescent="0.25">
      <c r="A6640" s="115">
        <v>4106022</v>
      </c>
      <c r="B6640" s="115" t="s">
        <v>6386</v>
      </c>
      <c r="C6640" s="117">
        <v>382.18</v>
      </c>
    </row>
    <row r="6641" spans="1:3" x14ac:dyDescent="0.25">
      <c r="A6641" s="115">
        <v>4106023</v>
      </c>
      <c r="B6641" s="115" t="s">
        <v>6387</v>
      </c>
      <c r="C6641" s="117">
        <v>382.18</v>
      </c>
    </row>
    <row r="6642" spans="1:3" x14ac:dyDescent="0.25">
      <c r="A6642" s="115">
        <v>4106025</v>
      </c>
      <c r="B6642" s="115" t="s">
        <v>6388</v>
      </c>
      <c r="C6642" s="117">
        <v>382.18</v>
      </c>
    </row>
    <row r="6643" spans="1:3" x14ac:dyDescent="0.25">
      <c r="A6643" s="115">
        <v>4106010</v>
      </c>
      <c r="B6643" s="115" t="s">
        <v>6389</v>
      </c>
      <c r="C6643" s="117">
        <v>382.18</v>
      </c>
    </row>
    <row r="6644" spans="1:3" x14ac:dyDescent="0.25">
      <c r="A6644" s="115">
        <v>4106029</v>
      </c>
      <c r="B6644" s="115" t="s">
        <v>6390</v>
      </c>
      <c r="C6644" s="117">
        <v>382.18</v>
      </c>
    </row>
    <row r="6645" spans="1:3" x14ac:dyDescent="0.25">
      <c r="A6645" s="115">
        <v>4106024</v>
      </c>
      <c r="B6645" s="115" t="s">
        <v>6391</v>
      </c>
      <c r="C6645" s="117">
        <v>382.18</v>
      </c>
    </row>
    <row r="6646" spans="1:3" x14ac:dyDescent="0.25">
      <c r="A6646" s="115">
        <v>4106028</v>
      </c>
      <c r="B6646" s="115" t="s">
        <v>6392</v>
      </c>
      <c r="C6646" s="117">
        <v>382.18</v>
      </c>
    </row>
    <row r="6647" spans="1:3" x14ac:dyDescent="0.25">
      <c r="A6647" s="115">
        <v>4106021</v>
      </c>
      <c r="B6647" s="115" t="s">
        <v>6393</v>
      </c>
      <c r="C6647" s="117">
        <v>382.18</v>
      </c>
    </row>
    <row r="6648" spans="1:3" x14ac:dyDescent="0.25">
      <c r="A6648" s="115">
        <v>4106027</v>
      </c>
      <c r="B6648" s="115" t="s">
        <v>6394</v>
      </c>
      <c r="C6648" s="117">
        <v>382.18</v>
      </c>
    </row>
    <row r="6649" spans="1:3" x14ac:dyDescent="0.25">
      <c r="A6649" s="115">
        <v>4106453</v>
      </c>
      <c r="B6649" s="115" t="s">
        <v>6395</v>
      </c>
      <c r="C6649" s="117">
        <v>382.18</v>
      </c>
    </row>
    <row r="6650" spans="1:3" x14ac:dyDescent="0.25">
      <c r="A6650" s="115">
        <v>4106032</v>
      </c>
      <c r="B6650" s="115" t="s">
        <v>6396</v>
      </c>
      <c r="C6650" s="117">
        <v>382.18</v>
      </c>
    </row>
    <row r="6651" spans="1:3" x14ac:dyDescent="0.25">
      <c r="A6651" s="115">
        <v>4109362</v>
      </c>
      <c r="B6651" s="115" t="s">
        <v>6397</v>
      </c>
      <c r="C6651" s="117">
        <v>93.87</v>
      </c>
    </row>
    <row r="6652" spans="1:3" x14ac:dyDescent="0.25">
      <c r="A6652" s="115">
        <v>4109383</v>
      </c>
      <c r="B6652" s="115" t="s">
        <v>6398</v>
      </c>
      <c r="C6652" s="117">
        <v>93.87</v>
      </c>
    </row>
    <row r="6653" spans="1:3" x14ac:dyDescent="0.25">
      <c r="A6653" s="115">
        <v>4109321</v>
      </c>
      <c r="B6653" s="115" t="s">
        <v>6399</v>
      </c>
      <c r="C6653" s="117">
        <v>134.1</v>
      </c>
    </row>
    <row r="6654" spans="1:3" x14ac:dyDescent="0.25">
      <c r="A6654" s="115">
        <v>4109463</v>
      </c>
      <c r="B6654" s="115" t="s">
        <v>6400</v>
      </c>
      <c r="C6654" s="117">
        <v>67.55</v>
      </c>
    </row>
    <row r="6655" spans="1:3" x14ac:dyDescent="0.25">
      <c r="A6655" s="115">
        <v>4109462</v>
      </c>
      <c r="B6655" s="115" t="s">
        <v>6401</v>
      </c>
      <c r="C6655" s="117">
        <v>67.55</v>
      </c>
    </row>
    <row r="6656" spans="1:3" x14ac:dyDescent="0.25">
      <c r="A6656" s="115">
        <v>4109483</v>
      </c>
      <c r="B6656" s="115" t="s">
        <v>6402</v>
      </c>
      <c r="C6656" s="117">
        <v>47.29</v>
      </c>
    </row>
    <row r="6657" spans="1:3" x14ac:dyDescent="0.25">
      <c r="A6657" s="115">
        <v>4109421</v>
      </c>
      <c r="B6657" s="115" t="s">
        <v>6403</v>
      </c>
      <c r="C6657" s="117">
        <v>67.55</v>
      </c>
    </row>
    <row r="6658" spans="1:3" x14ac:dyDescent="0.25">
      <c r="A6658" s="115">
        <v>4106421</v>
      </c>
      <c r="B6658" s="115" t="s">
        <v>6404</v>
      </c>
      <c r="C6658" s="117">
        <v>382.18</v>
      </c>
    </row>
    <row r="6659" spans="1:3" x14ac:dyDescent="0.25">
      <c r="A6659" s="115">
        <v>4106420</v>
      </c>
      <c r="B6659" s="115" t="s">
        <v>6405</v>
      </c>
      <c r="C6659" s="117">
        <v>382.18</v>
      </c>
    </row>
    <row r="6660" spans="1:3" x14ac:dyDescent="0.25">
      <c r="A6660" s="115">
        <v>4109575</v>
      </c>
      <c r="B6660" s="115" t="s">
        <v>6406</v>
      </c>
      <c r="C6660" s="117">
        <v>382.18</v>
      </c>
    </row>
    <row r="6661" spans="1:3" x14ac:dyDescent="0.25">
      <c r="A6661" s="115">
        <v>4109576</v>
      </c>
      <c r="B6661" s="115" t="s">
        <v>6407</v>
      </c>
      <c r="C6661" s="117">
        <v>382.18</v>
      </c>
    </row>
    <row r="6662" spans="1:3" x14ac:dyDescent="0.25">
      <c r="A6662" s="115">
        <v>4109584</v>
      </c>
      <c r="B6662" s="115" t="s">
        <v>6408</v>
      </c>
      <c r="C6662" s="117">
        <v>382.18</v>
      </c>
    </row>
    <row r="6663" spans="1:3" x14ac:dyDescent="0.25">
      <c r="A6663" s="115">
        <v>4109574</v>
      </c>
      <c r="B6663" s="115" t="s">
        <v>6409</v>
      </c>
      <c r="C6663" s="117">
        <v>382.18</v>
      </c>
    </row>
    <row r="6664" spans="1:3" x14ac:dyDescent="0.25">
      <c r="A6664" s="115">
        <v>4107077</v>
      </c>
      <c r="B6664" s="115" t="s">
        <v>6410</v>
      </c>
      <c r="C6664" s="117">
        <v>3821.76</v>
      </c>
    </row>
    <row r="6665" spans="1:3" x14ac:dyDescent="0.25">
      <c r="A6665" s="115">
        <v>4107054</v>
      </c>
      <c r="B6665" s="115" t="s">
        <v>6411</v>
      </c>
      <c r="C6665" s="117">
        <v>382.18</v>
      </c>
    </row>
    <row r="6666" spans="1:3" x14ac:dyDescent="0.25">
      <c r="A6666" s="115">
        <v>4106033</v>
      </c>
      <c r="B6666" s="115" t="s">
        <v>6412</v>
      </c>
      <c r="C6666" s="117">
        <v>382.18</v>
      </c>
    </row>
    <row r="6667" spans="1:3" x14ac:dyDescent="0.25">
      <c r="A6667" s="115">
        <v>4109573</v>
      </c>
      <c r="B6667" s="115" t="s">
        <v>6413</v>
      </c>
      <c r="C6667" s="117">
        <v>382.18</v>
      </c>
    </row>
    <row r="6668" spans="1:3" x14ac:dyDescent="0.25">
      <c r="A6668" s="115">
        <v>4109585</v>
      </c>
      <c r="B6668" s="115" t="s">
        <v>6414</v>
      </c>
      <c r="C6668" s="117">
        <v>382.18</v>
      </c>
    </row>
    <row r="6669" spans="1:3" x14ac:dyDescent="0.25">
      <c r="A6669" s="115">
        <v>4106113</v>
      </c>
      <c r="B6669" s="115" t="s">
        <v>6415</v>
      </c>
      <c r="C6669" s="117">
        <v>382.18</v>
      </c>
    </row>
    <row r="6670" spans="1:3" x14ac:dyDescent="0.25">
      <c r="A6670" s="115">
        <v>4106116</v>
      </c>
      <c r="B6670" s="115" t="s">
        <v>6416</v>
      </c>
      <c r="C6670" s="117">
        <v>3821.76</v>
      </c>
    </row>
    <row r="6671" spans="1:3" x14ac:dyDescent="0.25">
      <c r="A6671" s="115">
        <v>4106111</v>
      </c>
      <c r="B6671" s="115" t="s">
        <v>6417</v>
      </c>
      <c r="C6671" s="117">
        <v>382.18</v>
      </c>
    </row>
    <row r="6672" spans="1:3" x14ac:dyDescent="0.25">
      <c r="A6672" s="115">
        <v>4109580</v>
      </c>
      <c r="B6672" s="115" t="s">
        <v>6418</v>
      </c>
      <c r="C6672" s="117">
        <v>382.18</v>
      </c>
    </row>
    <row r="6673" spans="1:3" x14ac:dyDescent="0.25">
      <c r="A6673" s="115">
        <v>4109570</v>
      </c>
      <c r="B6673" s="115" t="s">
        <v>6419</v>
      </c>
      <c r="C6673" s="117">
        <v>382.18</v>
      </c>
    </row>
    <row r="6674" spans="1:3" x14ac:dyDescent="0.25">
      <c r="A6674" s="115">
        <v>4109582</v>
      </c>
      <c r="B6674" s="115" t="s">
        <v>6420</v>
      </c>
      <c r="C6674" s="117">
        <v>3821.76</v>
      </c>
    </row>
    <row r="6675" spans="1:3" x14ac:dyDescent="0.25">
      <c r="A6675" s="115">
        <v>4106051</v>
      </c>
      <c r="B6675" s="115" t="s">
        <v>6421</v>
      </c>
      <c r="C6675" s="117">
        <v>382.18</v>
      </c>
    </row>
    <row r="6676" spans="1:3" x14ac:dyDescent="0.25">
      <c r="A6676" s="115">
        <v>4109571</v>
      </c>
      <c r="B6676" s="115" t="s">
        <v>6422</v>
      </c>
      <c r="C6676" s="117">
        <v>382.18</v>
      </c>
    </row>
    <row r="6677" spans="1:3" x14ac:dyDescent="0.25">
      <c r="A6677" s="115">
        <v>4106026</v>
      </c>
      <c r="B6677" s="115" t="s">
        <v>6423</v>
      </c>
      <c r="C6677" s="117">
        <v>382.18</v>
      </c>
    </row>
    <row r="6678" spans="1:3" x14ac:dyDescent="0.25">
      <c r="A6678" s="115">
        <v>4106812</v>
      </c>
      <c r="B6678" s="115" t="s">
        <v>6424</v>
      </c>
      <c r="C6678" s="117">
        <v>382.18</v>
      </c>
    </row>
    <row r="6679" spans="1:3" x14ac:dyDescent="0.25">
      <c r="A6679" s="115">
        <v>4109504</v>
      </c>
      <c r="B6679" s="115" t="s">
        <v>6425</v>
      </c>
      <c r="C6679" s="117">
        <v>382.18</v>
      </c>
    </row>
    <row r="6680" spans="1:3" x14ac:dyDescent="0.25">
      <c r="A6680" s="115">
        <v>4105071</v>
      </c>
      <c r="B6680" s="115" t="s">
        <v>6426</v>
      </c>
      <c r="C6680" s="117">
        <v>382.18</v>
      </c>
    </row>
    <row r="6681" spans="1:3" x14ac:dyDescent="0.25">
      <c r="A6681" s="115">
        <v>4101026</v>
      </c>
      <c r="B6681" s="115" t="s">
        <v>6427</v>
      </c>
      <c r="C6681" s="117">
        <v>277.76</v>
      </c>
    </row>
    <row r="6682" spans="1:3" x14ac:dyDescent="0.25">
      <c r="A6682" s="115">
        <v>4101029</v>
      </c>
      <c r="B6682" s="115" t="s">
        <v>6428</v>
      </c>
      <c r="C6682" s="117">
        <v>277.76</v>
      </c>
    </row>
    <row r="6683" spans="1:3" x14ac:dyDescent="0.25">
      <c r="A6683" s="115">
        <v>4101174</v>
      </c>
      <c r="B6683" s="115" t="s">
        <v>6429</v>
      </c>
      <c r="C6683" s="117">
        <v>277.76</v>
      </c>
    </row>
    <row r="6684" spans="1:3" x14ac:dyDescent="0.25">
      <c r="A6684" s="115">
        <v>4101025</v>
      </c>
      <c r="B6684" s="115" t="s">
        <v>6430</v>
      </c>
      <c r="C6684" s="117">
        <v>208.72</v>
      </c>
    </row>
    <row r="6685" spans="1:3" x14ac:dyDescent="0.25">
      <c r="A6685" s="115">
        <v>4101023</v>
      </c>
      <c r="B6685" s="115" t="s">
        <v>6431</v>
      </c>
      <c r="C6685" s="117">
        <v>277.76</v>
      </c>
    </row>
    <row r="6686" spans="1:3" x14ac:dyDescent="0.25">
      <c r="A6686" s="115">
        <v>4101226</v>
      </c>
      <c r="B6686" s="115" t="s">
        <v>6432</v>
      </c>
      <c r="C6686" s="117">
        <v>599.61</v>
      </c>
    </row>
    <row r="6687" spans="1:3" x14ac:dyDescent="0.25">
      <c r="A6687" s="115">
        <v>4101238</v>
      </c>
      <c r="B6687" s="115" t="s">
        <v>6433</v>
      </c>
      <c r="C6687" s="117">
        <v>599.61</v>
      </c>
    </row>
    <row r="6688" spans="1:3" x14ac:dyDescent="0.25">
      <c r="A6688" s="115">
        <v>4101262</v>
      </c>
      <c r="B6688" s="115" t="s">
        <v>6434</v>
      </c>
      <c r="C6688" s="117">
        <v>599.61</v>
      </c>
    </row>
    <row r="6689" spans="1:3" x14ac:dyDescent="0.25">
      <c r="A6689" s="115">
        <v>4101283</v>
      </c>
      <c r="B6689" s="115" t="s">
        <v>6435</v>
      </c>
      <c r="C6689" s="117">
        <v>599.61</v>
      </c>
    </row>
    <row r="6690" spans="1:3" x14ac:dyDescent="0.25">
      <c r="A6690" s="115">
        <v>4101038</v>
      </c>
      <c r="B6690" s="115" t="s">
        <v>6436</v>
      </c>
      <c r="C6690" s="117">
        <v>277.76</v>
      </c>
    </row>
    <row r="6691" spans="1:3" x14ac:dyDescent="0.25">
      <c r="A6691" s="115">
        <v>4101044</v>
      </c>
      <c r="B6691" s="115" t="s">
        <v>6437</v>
      </c>
      <c r="C6691" s="117">
        <v>277.76</v>
      </c>
    </row>
    <row r="6692" spans="1:3" x14ac:dyDescent="0.25">
      <c r="A6692" s="115">
        <v>4101054</v>
      </c>
      <c r="B6692" s="115" t="s">
        <v>6438</v>
      </c>
      <c r="C6692" s="117">
        <v>277.76</v>
      </c>
    </row>
    <row r="6693" spans="1:3" x14ac:dyDescent="0.25">
      <c r="A6693" s="115">
        <v>4101068</v>
      </c>
      <c r="B6693" s="115" t="s">
        <v>6439</v>
      </c>
      <c r="C6693" s="117">
        <v>5555.26</v>
      </c>
    </row>
    <row r="6694" spans="1:3" x14ac:dyDescent="0.25">
      <c r="A6694" s="115">
        <v>4101067</v>
      </c>
      <c r="B6694" s="115" t="s">
        <v>6440</v>
      </c>
      <c r="C6694" s="117">
        <v>277.76</v>
      </c>
    </row>
    <row r="6695" spans="1:3" x14ac:dyDescent="0.25">
      <c r="A6695" s="115">
        <v>4101062</v>
      </c>
      <c r="B6695" s="115" t="s">
        <v>6441</v>
      </c>
      <c r="C6695" s="117">
        <v>277.76</v>
      </c>
    </row>
    <row r="6696" spans="1:3" x14ac:dyDescent="0.25">
      <c r="A6696" s="115">
        <v>4101063</v>
      </c>
      <c r="B6696" s="115" t="s">
        <v>6442</v>
      </c>
      <c r="C6696" s="117">
        <v>277.76</v>
      </c>
    </row>
    <row r="6697" spans="1:3" x14ac:dyDescent="0.25">
      <c r="A6697" s="115">
        <v>4101126</v>
      </c>
      <c r="B6697" s="115" t="s">
        <v>6443</v>
      </c>
      <c r="C6697" s="117">
        <v>277.76</v>
      </c>
    </row>
    <row r="6698" spans="1:3" x14ac:dyDescent="0.25">
      <c r="A6698" s="115">
        <v>4101123</v>
      </c>
      <c r="B6698" s="115" t="s">
        <v>6444</v>
      </c>
      <c r="C6698" s="117">
        <v>277.76</v>
      </c>
    </row>
    <row r="6699" spans="1:3" x14ac:dyDescent="0.25">
      <c r="A6699" s="115">
        <v>4101154</v>
      </c>
      <c r="B6699" s="115" t="s">
        <v>6445</v>
      </c>
      <c r="C6699" s="117">
        <v>277.76</v>
      </c>
    </row>
    <row r="6700" spans="1:3" x14ac:dyDescent="0.25">
      <c r="A6700" s="115">
        <v>4101172</v>
      </c>
      <c r="B6700" s="115" t="s">
        <v>6446</v>
      </c>
      <c r="C6700" s="117">
        <v>277.76</v>
      </c>
    </row>
    <row r="6701" spans="1:3" x14ac:dyDescent="0.25">
      <c r="A6701" s="115">
        <v>4101177</v>
      </c>
      <c r="B6701" s="115" t="s">
        <v>6447</v>
      </c>
      <c r="C6701" s="117">
        <v>277.76</v>
      </c>
    </row>
    <row r="6702" spans="1:3" x14ac:dyDescent="0.25">
      <c r="A6702" s="115">
        <v>4101188</v>
      </c>
      <c r="B6702" s="115" t="s">
        <v>6448</v>
      </c>
      <c r="C6702" s="117">
        <v>277.76</v>
      </c>
    </row>
    <row r="6703" spans="1:3" x14ac:dyDescent="0.25">
      <c r="A6703" s="115">
        <v>4101076</v>
      </c>
      <c r="B6703" s="115" t="s">
        <v>6449</v>
      </c>
      <c r="C6703" s="117">
        <v>277.76</v>
      </c>
    </row>
    <row r="6704" spans="1:3" x14ac:dyDescent="0.25">
      <c r="A6704" s="115">
        <v>4101077</v>
      </c>
      <c r="B6704" s="115" t="s">
        <v>6450</v>
      </c>
      <c r="C6704" s="117">
        <v>277.76</v>
      </c>
    </row>
    <row r="6705" spans="1:3" x14ac:dyDescent="0.25">
      <c r="A6705" s="115">
        <v>4101087</v>
      </c>
      <c r="B6705" s="115" t="s">
        <v>6451</v>
      </c>
      <c r="C6705" s="117">
        <v>277.76</v>
      </c>
    </row>
    <row r="6706" spans="1:3" x14ac:dyDescent="0.25">
      <c r="A6706" s="115">
        <v>4101089</v>
      </c>
      <c r="B6706" s="115" t="s">
        <v>6452</v>
      </c>
      <c r="C6706" s="117">
        <v>277.76</v>
      </c>
    </row>
    <row r="6707" spans="1:3" x14ac:dyDescent="0.25">
      <c r="A6707" s="115">
        <v>4101085</v>
      </c>
      <c r="B6707" s="115" t="s">
        <v>6453</v>
      </c>
      <c r="C6707" s="117">
        <v>5555.26</v>
      </c>
    </row>
    <row r="6708" spans="1:3" x14ac:dyDescent="0.25">
      <c r="A6708" s="115">
        <v>4101083</v>
      </c>
      <c r="B6708" s="115" t="s">
        <v>6454</v>
      </c>
      <c r="C6708" s="117">
        <v>277.76</v>
      </c>
    </row>
    <row r="6709" spans="1:3" x14ac:dyDescent="0.25">
      <c r="A6709" s="115">
        <v>4101084</v>
      </c>
      <c r="B6709" s="115" t="s">
        <v>6455</v>
      </c>
      <c r="C6709" s="117">
        <v>277.76</v>
      </c>
    </row>
    <row r="6710" spans="1:3" x14ac:dyDescent="0.25">
      <c r="A6710" s="115">
        <v>4101329</v>
      </c>
      <c r="B6710" s="115" t="s">
        <v>6456</v>
      </c>
      <c r="C6710" s="117">
        <v>842.51</v>
      </c>
    </row>
    <row r="6711" spans="1:3" x14ac:dyDescent="0.25">
      <c r="A6711" s="115">
        <v>4101336</v>
      </c>
      <c r="B6711" s="115" t="s">
        <v>6457</v>
      </c>
      <c r="C6711" s="117">
        <v>842.51</v>
      </c>
    </row>
    <row r="6712" spans="1:3" x14ac:dyDescent="0.25">
      <c r="A6712" s="115">
        <v>4101375</v>
      </c>
      <c r="B6712" s="115" t="s">
        <v>6458</v>
      </c>
      <c r="C6712" s="117">
        <v>842.51</v>
      </c>
    </row>
    <row r="6713" spans="1:3" x14ac:dyDescent="0.25">
      <c r="A6713" s="115">
        <v>4101376</v>
      </c>
      <c r="B6713" s="115" t="s">
        <v>6459</v>
      </c>
      <c r="C6713" s="117">
        <v>842.51</v>
      </c>
    </row>
    <row r="6714" spans="1:3" x14ac:dyDescent="0.25">
      <c r="A6714" s="115">
        <v>4101383</v>
      </c>
      <c r="B6714" s="115" t="s">
        <v>6460</v>
      </c>
      <c r="C6714" s="117">
        <v>842.51</v>
      </c>
    </row>
    <row r="6715" spans="1:3" x14ac:dyDescent="0.25">
      <c r="A6715" s="144" t="s">
        <v>6461</v>
      </c>
      <c r="B6715" s="145"/>
      <c r="C6715" s="145"/>
    </row>
    <row r="6716" spans="1:3" x14ac:dyDescent="0.25">
      <c r="A6716" s="115">
        <v>4362026</v>
      </c>
      <c r="B6716" s="115" t="s">
        <v>6462</v>
      </c>
      <c r="C6716" s="117">
        <v>463.38</v>
      </c>
    </row>
    <row r="6717" spans="1:3" x14ac:dyDescent="0.25">
      <c r="A6717" s="115">
        <v>4362029</v>
      </c>
      <c r="B6717" s="115" t="s">
        <v>6463</v>
      </c>
      <c r="C6717" s="117">
        <v>463.38</v>
      </c>
    </row>
    <row r="6718" spans="1:3" x14ac:dyDescent="0.25">
      <c r="A6718" s="115">
        <v>4361000</v>
      </c>
      <c r="B6718" s="115" t="s">
        <v>6464</v>
      </c>
      <c r="C6718" s="117">
        <v>550.35</v>
      </c>
    </row>
    <row r="6719" spans="1:3" x14ac:dyDescent="0.25">
      <c r="A6719" s="115">
        <v>4361025</v>
      </c>
      <c r="B6719" s="115" t="s">
        <v>6465</v>
      </c>
      <c r="C6719" s="117">
        <v>398.85</v>
      </c>
    </row>
    <row r="6720" spans="1:3" x14ac:dyDescent="0.25">
      <c r="A6720" s="115">
        <v>4362024</v>
      </c>
      <c r="B6720" s="115" t="s">
        <v>6466</v>
      </c>
      <c r="C6720" s="117">
        <v>463.38</v>
      </c>
    </row>
    <row r="6721" spans="1:3" x14ac:dyDescent="0.25">
      <c r="A6721" s="115">
        <v>4362023</v>
      </c>
      <c r="B6721" s="115" t="s">
        <v>6467</v>
      </c>
      <c r="C6721" s="117">
        <v>463.38</v>
      </c>
    </row>
    <row r="6722" spans="1:3" x14ac:dyDescent="0.25">
      <c r="A6722" s="115">
        <v>4364026</v>
      </c>
      <c r="B6722" s="115" t="s">
        <v>6468</v>
      </c>
      <c r="C6722" s="117">
        <v>2073.4</v>
      </c>
    </row>
    <row r="6723" spans="1:3" x14ac:dyDescent="0.25">
      <c r="A6723" s="115">
        <v>4364062</v>
      </c>
      <c r="B6723" s="115" t="s">
        <v>6469</v>
      </c>
      <c r="C6723" s="117">
        <v>2073.4</v>
      </c>
    </row>
    <row r="6724" spans="1:3" x14ac:dyDescent="0.25">
      <c r="A6724" s="115">
        <v>4362021</v>
      </c>
      <c r="B6724" s="115" t="s">
        <v>6470</v>
      </c>
      <c r="C6724" s="117">
        <v>20734.02</v>
      </c>
    </row>
    <row r="6725" spans="1:3" x14ac:dyDescent="0.25">
      <c r="A6725" s="115">
        <v>4362038</v>
      </c>
      <c r="B6725" s="115" t="s">
        <v>6471</v>
      </c>
      <c r="C6725" s="117">
        <v>463.38</v>
      </c>
    </row>
    <row r="6726" spans="1:3" x14ac:dyDescent="0.25">
      <c r="A6726" s="115">
        <v>4362044</v>
      </c>
      <c r="B6726" s="115" t="s">
        <v>6472</v>
      </c>
      <c r="C6726" s="117">
        <v>463.38</v>
      </c>
    </row>
    <row r="6727" spans="1:3" x14ac:dyDescent="0.25">
      <c r="A6727" s="115">
        <v>4362054</v>
      </c>
      <c r="B6727" s="115" t="s">
        <v>6473</v>
      </c>
      <c r="C6727" s="117">
        <v>463.38</v>
      </c>
    </row>
    <row r="6728" spans="1:3" x14ac:dyDescent="0.25">
      <c r="A6728" s="115">
        <v>4362067</v>
      </c>
      <c r="B6728" s="115" t="s">
        <v>6474</v>
      </c>
      <c r="C6728" s="117">
        <v>463.38</v>
      </c>
    </row>
    <row r="6729" spans="1:3" x14ac:dyDescent="0.25">
      <c r="A6729" s="115">
        <v>4364161</v>
      </c>
      <c r="B6729" s="115" t="s">
        <v>6475</v>
      </c>
      <c r="C6729" s="117">
        <v>20734.02</v>
      </c>
    </row>
    <row r="6730" spans="1:3" x14ac:dyDescent="0.25">
      <c r="A6730" s="115">
        <v>4362062</v>
      </c>
      <c r="B6730" s="115" t="s">
        <v>6476</v>
      </c>
      <c r="C6730" s="117">
        <v>463.38</v>
      </c>
    </row>
    <row r="6731" spans="1:3" x14ac:dyDescent="0.25">
      <c r="A6731" s="115">
        <v>4364503</v>
      </c>
      <c r="B6731" s="115" t="s">
        <v>6477</v>
      </c>
      <c r="C6731" s="117">
        <v>1708.63</v>
      </c>
    </row>
    <row r="6732" spans="1:3" x14ac:dyDescent="0.25">
      <c r="A6732" s="115">
        <v>4364510</v>
      </c>
      <c r="B6732" s="115" t="s">
        <v>6478</v>
      </c>
      <c r="C6732" s="117">
        <v>1708.63</v>
      </c>
    </row>
    <row r="6733" spans="1:3" x14ac:dyDescent="0.25">
      <c r="A6733" s="115">
        <v>4364505</v>
      </c>
      <c r="B6733" s="115" t="s">
        <v>6479</v>
      </c>
      <c r="C6733" s="117">
        <v>1708.63</v>
      </c>
    </row>
    <row r="6734" spans="1:3" x14ac:dyDescent="0.25">
      <c r="A6734" s="115">
        <v>4364509</v>
      </c>
      <c r="B6734" s="115" t="s">
        <v>6480</v>
      </c>
      <c r="C6734" s="117">
        <v>1708.63</v>
      </c>
    </row>
    <row r="6735" spans="1:3" x14ac:dyDescent="0.25">
      <c r="A6735" s="115">
        <v>4364508</v>
      </c>
      <c r="B6735" s="115" t="s">
        <v>6481</v>
      </c>
      <c r="C6735" s="117">
        <v>1708.63</v>
      </c>
    </row>
    <row r="6736" spans="1:3" x14ac:dyDescent="0.25">
      <c r="A6736" s="115">
        <v>4364502</v>
      </c>
      <c r="B6736" s="115" t="s">
        <v>6482</v>
      </c>
      <c r="C6736" s="117">
        <v>1708.63</v>
      </c>
    </row>
    <row r="6737" spans="1:3" x14ac:dyDescent="0.25">
      <c r="A6737" s="115">
        <v>4364507</v>
      </c>
      <c r="B6737" s="115" t="s">
        <v>6483</v>
      </c>
      <c r="C6737" s="117">
        <v>1708.63</v>
      </c>
    </row>
    <row r="6738" spans="1:3" x14ac:dyDescent="0.25">
      <c r="A6738" s="115">
        <v>4364504</v>
      </c>
      <c r="B6738" s="115" t="s">
        <v>6484</v>
      </c>
      <c r="C6738" s="117">
        <v>1708.63</v>
      </c>
    </row>
    <row r="6739" spans="1:3" x14ac:dyDescent="0.25">
      <c r="A6739" s="115">
        <v>4364511</v>
      </c>
      <c r="B6739" s="115" t="s">
        <v>6485</v>
      </c>
      <c r="C6739" s="117">
        <v>1708.63</v>
      </c>
    </row>
    <row r="6740" spans="1:3" x14ac:dyDescent="0.25">
      <c r="A6740" s="115">
        <v>4364506</v>
      </c>
      <c r="B6740" s="115" t="s">
        <v>6486</v>
      </c>
      <c r="C6740" s="117">
        <v>1708.63</v>
      </c>
    </row>
    <row r="6741" spans="1:3" x14ac:dyDescent="0.25">
      <c r="A6741" s="115">
        <v>4362063</v>
      </c>
      <c r="B6741" s="115" t="s">
        <v>6487</v>
      </c>
      <c r="C6741" s="117">
        <v>463.38</v>
      </c>
    </row>
    <row r="6742" spans="1:3" x14ac:dyDescent="0.25">
      <c r="A6742" s="115">
        <v>4364126</v>
      </c>
      <c r="B6742" s="115" t="s">
        <v>6488</v>
      </c>
      <c r="C6742" s="117">
        <v>463.38</v>
      </c>
    </row>
    <row r="6743" spans="1:3" x14ac:dyDescent="0.25">
      <c r="A6743" s="115">
        <v>4364123</v>
      </c>
      <c r="B6743" s="115" t="s">
        <v>6489</v>
      </c>
      <c r="C6743" s="117">
        <v>463.38</v>
      </c>
    </row>
    <row r="6744" spans="1:3" x14ac:dyDescent="0.25">
      <c r="A6744" s="115">
        <v>4364154</v>
      </c>
      <c r="B6744" s="115" t="s">
        <v>6490</v>
      </c>
      <c r="C6744" s="117">
        <v>9267.5400000000009</v>
      </c>
    </row>
    <row r="6745" spans="1:3" x14ac:dyDescent="0.25">
      <c r="A6745" s="115">
        <v>4364162</v>
      </c>
      <c r="B6745" s="115" t="s">
        <v>6491</v>
      </c>
      <c r="C6745" s="117">
        <v>463.38</v>
      </c>
    </row>
    <row r="6746" spans="1:3" x14ac:dyDescent="0.25">
      <c r="A6746" s="115">
        <v>4364177</v>
      </c>
      <c r="B6746" s="115" t="s">
        <v>6492</v>
      </c>
      <c r="C6746" s="117">
        <v>463.38</v>
      </c>
    </row>
    <row r="6747" spans="1:3" x14ac:dyDescent="0.25">
      <c r="A6747" s="115">
        <v>4364189</v>
      </c>
      <c r="B6747" s="115" t="s">
        <v>6493</v>
      </c>
      <c r="C6747" s="117">
        <v>463.38</v>
      </c>
    </row>
    <row r="6748" spans="1:3" x14ac:dyDescent="0.25">
      <c r="A6748" s="115">
        <v>4362076</v>
      </c>
      <c r="B6748" s="115" t="s">
        <v>6494</v>
      </c>
      <c r="C6748" s="117">
        <v>463.38</v>
      </c>
    </row>
    <row r="6749" spans="1:3" x14ac:dyDescent="0.25">
      <c r="A6749" s="115">
        <v>4362077</v>
      </c>
      <c r="B6749" s="115" t="s">
        <v>6495</v>
      </c>
      <c r="C6749" s="117">
        <v>463.38</v>
      </c>
    </row>
    <row r="6750" spans="1:3" x14ac:dyDescent="0.25">
      <c r="A6750" s="115">
        <v>4362087</v>
      </c>
      <c r="B6750" s="115" t="s">
        <v>6496</v>
      </c>
      <c r="C6750" s="117">
        <v>463.38</v>
      </c>
    </row>
    <row r="6751" spans="1:3" x14ac:dyDescent="0.25">
      <c r="A6751" s="115">
        <v>4362020</v>
      </c>
      <c r="B6751" s="115" t="s">
        <v>6497</v>
      </c>
      <c r="C6751" s="117">
        <v>20734.02</v>
      </c>
    </row>
    <row r="6752" spans="1:3" x14ac:dyDescent="0.25">
      <c r="A6752" s="115">
        <v>4362085</v>
      </c>
      <c r="B6752" s="115" t="s">
        <v>11615</v>
      </c>
      <c r="C6752" s="117">
        <v>9267.5400000000009</v>
      </c>
    </row>
    <row r="6753" spans="1:3" x14ac:dyDescent="0.25">
      <c r="A6753" s="115">
        <v>4362089</v>
      </c>
      <c r="B6753" s="115" t="s">
        <v>6498</v>
      </c>
      <c r="C6753" s="117">
        <v>463.38</v>
      </c>
    </row>
    <row r="6754" spans="1:3" x14ac:dyDescent="0.25">
      <c r="A6754" s="115">
        <v>4362083</v>
      </c>
      <c r="B6754" s="115" t="s">
        <v>6499</v>
      </c>
      <c r="C6754" s="117">
        <v>463.38</v>
      </c>
    </row>
    <row r="6755" spans="1:3" x14ac:dyDescent="0.25">
      <c r="A6755" s="115">
        <v>4362084</v>
      </c>
      <c r="B6755" s="115" t="s">
        <v>6500</v>
      </c>
      <c r="C6755" s="117">
        <v>463.38</v>
      </c>
    </row>
    <row r="6756" spans="1:3" x14ac:dyDescent="0.25">
      <c r="A6756" s="115">
        <v>4364575</v>
      </c>
      <c r="B6756" s="115" t="s">
        <v>6501</v>
      </c>
      <c r="C6756" s="117">
        <v>2700.89</v>
      </c>
    </row>
    <row r="6757" spans="1:3" x14ac:dyDescent="0.25">
      <c r="A6757" s="115">
        <v>4364565</v>
      </c>
      <c r="B6757" s="115" t="s">
        <v>6502</v>
      </c>
      <c r="C6757" s="117">
        <v>2700.89</v>
      </c>
    </row>
    <row r="6758" spans="1:3" x14ac:dyDescent="0.25">
      <c r="A6758" s="115">
        <v>4364537</v>
      </c>
      <c r="B6758" s="115" t="s">
        <v>6503</v>
      </c>
      <c r="C6758" s="117">
        <v>2700.89</v>
      </c>
    </row>
    <row r="6759" spans="1:3" x14ac:dyDescent="0.25">
      <c r="A6759" s="115">
        <v>4364562</v>
      </c>
      <c r="B6759" s="115" t="s">
        <v>6504</v>
      </c>
      <c r="C6759" s="117">
        <v>2700.89</v>
      </c>
    </row>
    <row r="6760" spans="1:3" x14ac:dyDescent="0.25">
      <c r="A6760" s="115">
        <v>4364576</v>
      </c>
      <c r="B6760" s="115" t="s">
        <v>6505</v>
      </c>
      <c r="C6760" s="117">
        <v>2700.89</v>
      </c>
    </row>
    <row r="6761" spans="1:3" x14ac:dyDescent="0.25">
      <c r="A6761" s="115">
        <v>4364560</v>
      </c>
      <c r="B6761" s="115" t="s">
        <v>6506</v>
      </c>
      <c r="C6761" s="117">
        <v>2700.89</v>
      </c>
    </row>
    <row r="6762" spans="1:3" x14ac:dyDescent="0.25">
      <c r="A6762" s="115">
        <v>4364539</v>
      </c>
      <c r="B6762" s="115" t="s">
        <v>6507</v>
      </c>
      <c r="C6762" s="117">
        <v>2700.89</v>
      </c>
    </row>
    <row r="6763" spans="1:3" x14ac:dyDescent="0.25">
      <c r="A6763" s="115">
        <v>4364538</v>
      </c>
      <c r="B6763" s="115" t="s">
        <v>6508</v>
      </c>
      <c r="C6763" s="117">
        <v>2700.89</v>
      </c>
    </row>
    <row r="6764" spans="1:3" x14ac:dyDescent="0.25">
      <c r="A6764" s="115">
        <v>4364581</v>
      </c>
      <c r="B6764" s="115" t="s">
        <v>6509</v>
      </c>
      <c r="C6764" s="117">
        <v>2700.89</v>
      </c>
    </row>
    <row r="6765" spans="1:3" x14ac:dyDescent="0.25">
      <c r="A6765" s="115">
        <v>4364501</v>
      </c>
      <c r="B6765" s="115" t="s">
        <v>6510</v>
      </c>
      <c r="C6765" s="117">
        <v>2700.89</v>
      </c>
    </row>
    <row r="6766" spans="1:3" x14ac:dyDescent="0.25">
      <c r="A6766" s="115">
        <v>4364546</v>
      </c>
      <c r="B6766" s="115" t="s">
        <v>6511</v>
      </c>
      <c r="C6766" s="117">
        <v>2700.89</v>
      </c>
    </row>
    <row r="6767" spans="1:3" x14ac:dyDescent="0.25">
      <c r="A6767" s="115">
        <v>4364563</v>
      </c>
      <c r="B6767" s="115" t="s">
        <v>6512</v>
      </c>
      <c r="C6767" s="117">
        <v>2700.89</v>
      </c>
    </row>
    <row r="6768" spans="1:3" x14ac:dyDescent="0.25">
      <c r="A6768" s="115">
        <v>4364580</v>
      </c>
      <c r="B6768" s="115" t="s">
        <v>6513</v>
      </c>
      <c r="C6768" s="117">
        <v>2700.89</v>
      </c>
    </row>
    <row r="6769" spans="1:3" x14ac:dyDescent="0.25">
      <c r="A6769" s="115">
        <v>4364579</v>
      </c>
      <c r="B6769" s="115" t="s">
        <v>6514</v>
      </c>
      <c r="C6769" s="117">
        <v>2700.89</v>
      </c>
    </row>
    <row r="6770" spans="1:3" x14ac:dyDescent="0.25">
      <c r="A6770" s="115">
        <v>4364577</v>
      </c>
      <c r="B6770" s="115" t="s">
        <v>6515</v>
      </c>
      <c r="C6770" s="117">
        <v>2700.89</v>
      </c>
    </row>
    <row r="6771" spans="1:3" x14ac:dyDescent="0.25">
      <c r="A6771" s="115">
        <v>4364516</v>
      </c>
      <c r="B6771" s="115" t="s">
        <v>6516</v>
      </c>
      <c r="C6771" s="117">
        <v>2700.89</v>
      </c>
    </row>
    <row r="6772" spans="1:3" x14ac:dyDescent="0.25">
      <c r="A6772" s="115">
        <v>4364554</v>
      </c>
      <c r="B6772" s="115" t="s">
        <v>6517</v>
      </c>
      <c r="C6772" s="117">
        <v>2700.89</v>
      </c>
    </row>
    <row r="6773" spans="1:3" x14ac:dyDescent="0.25">
      <c r="A6773" s="115">
        <v>4364578</v>
      </c>
      <c r="B6773" s="115" t="s">
        <v>6518</v>
      </c>
      <c r="C6773" s="117">
        <v>2700.89</v>
      </c>
    </row>
    <row r="6774" spans="1:3" x14ac:dyDescent="0.25">
      <c r="A6774" s="115">
        <v>4364557</v>
      </c>
      <c r="B6774" s="115" t="s">
        <v>6519</v>
      </c>
      <c r="C6774" s="117">
        <v>2700.89</v>
      </c>
    </row>
    <row r="6775" spans="1:3" x14ac:dyDescent="0.25">
      <c r="A6775" s="115">
        <v>4364520</v>
      </c>
      <c r="B6775" s="115" t="s">
        <v>6520</v>
      </c>
      <c r="C6775" s="117">
        <v>2700.89</v>
      </c>
    </row>
    <row r="6776" spans="1:3" x14ac:dyDescent="0.25">
      <c r="A6776" s="144" t="s">
        <v>6521</v>
      </c>
      <c r="B6776" s="145"/>
      <c r="C6776" s="145"/>
    </row>
    <row r="6777" spans="1:3" x14ac:dyDescent="0.25">
      <c r="A6777" s="115">
        <v>4411226</v>
      </c>
      <c r="B6777" s="115" t="s">
        <v>6522</v>
      </c>
      <c r="C6777" s="117">
        <v>471.83</v>
      </c>
    </row>
    <row r="6778" spans="1:3" x14ac:dyDescent="0.25">
      <c r="A6778" s="115">
        <v>4411229</v>
      </c>
      <c r="B6778" s="115" t="s">
        <v>6523</v>
      </c>
      <c r="C6778" s="117">
        <v>471.83</v>
      </c>
    </row>
    <row r="6779" spans="1:3" x14ac:dyDescent="0.25">
      <c r="A6779" s="115">
        <v>4411225</v>
      </c>
      <c r="B6779" s="115" t="s">
        <v>6524</v>
      </c>
      <c r="C6779" s="117">
        <v>4718.2700000000004</v>
      </c>
    </row>
    <row r="6780" spans="1:3" x14ac:dyDescent="0.25">
      <c r="A6780" s="115">
        <v>4411236</v>
      </c>
      <c r="B6780" s="115" t="s">
        <v>6525</v>
      </c>
      <c r="C6780" s="117">
        <v>389.89</v>
      </c>
    </row>
    <row r="6781" spans="1:3" x14ac:dyDescent="0.25">
      <c r="A6781" s="115">
        <v>4411262</v>
      </c>
      <c r="B6781" s="115" t="s">
        <v>6526</v>
      </c>
      <c r="C6781" s="117">
        <v>471.83</v>
      </c>
    </row>
    <row r="6782" spans="1:3" x14ac:dyDescent="0.25">
      <c r="A6782" s="115">
        <v>4411275</v>
      </c>
      <c r="B6782" s="115" t="s">
        <v>6527</v>
      </c>
      <c r="C6782" s="117">
        <v>5458.39</v>
      </c>
    </row>
    <row r="6783" spans="1:3" x14ac:dyDescent="0.25">
      <c r="A6783" s="115">
        <v>4411276</v>
      </c>
      <c r="B6783" s="115" t="s">
        <v>6528</v>
      </c>
      <c r="C6783" s="117">
        <v>471.83</v>
      </c>
    </row>
    <row r="6784" spans="1:3" x14ac:dyDescent="0.25">
      <c r="A6784" s="115">
        <v>4411100</v>
      </c>
      <c r="B6784" s="115" t="s">
        <v>6529</v>
      </c>
      <c r="C6784" s="117">
        <v>194.28</v>
      </c>
    </row>
    <row r="6785" spans="1:3" x14ac:dyDescent="0.25">
      <c r="A6785" s="115">
        <v>4411283</v>
      </c>
      <c r="B6785" s="115" t="s">
        <v>6530</v>
      </c>
      <c r="C6785" s="117">
        <v>471.83</v>
      </c>
    </row>
    <row r="6786" spans="1:3" x14ac:dyDescent="0.25">
      <c r="A6786" s="115">
        <v>4411285</v>
      </c>
      <c r="B6786" s="115" t="s">
        <v>6531</v>
      </c>
      <c r="C6786" s="117">
        <v>471.83</v>
      </c>
    </row>
    <row r="6787" spans="1:3" x14ac:dyDescent="0.25">
      <c r="A6787" s="144" t="s">
        <v>6532</v>
      </c>
      <c r="B6787" s="145"/>
      <c r="C6787" s="145"/>
    </row>
    <row r="6788" spans="1:3" x14ac:dyDescent="0.25">
      <c r="A6788" s="115">
        <v>4111100</v>
      </c>
      <c r="B6788" s="115" t="s">
        <v>6533</v>
      </c>
      <c r="C6788" s="117">
        <v>597.45000000000005</v>
      </c>
    </row>
    <row r="6789" spans="1:3" x14ac:dyDescent="0.25">
      <c r="A6789" s="115">
        <v>4991100</v>
      </c>
      <c r="B6789" s="115" t="s">
        <v>12358</v>
      </c>
      <c r="C6789" s="117">
        <v>142.4</v>
      </c>
    </row>
    <row r="6790" spans="1:3" x14ac:dyDescent="0.25">
      <c r="A6790" s="115">
        <v>4991300</v>
      </c>
      <c r="B6790" s="115" t="s">
        <v>6534</v>
      </c>
      <c r="C6790" s="117">
        <v>594.29</v>
      </c>
    </row>
    <row r="6791" spans="1:3" x14ac:dyDescent="0.25">
      <c r="A6791" s="115">
        <v>4991801</v>
      </c>
      <c r="B6791" s="115" t="s">
        <v>12359</v>
      </c>
      <c r="C6791" s="117">
        <v>68.069999999999993</v>
      </c>
    </row>
    <row r="6792" spans="1:3" x14ac:dyDescent="0.25">
      <c r="A6792" s="115">
        <v>4991802</v>
      </c>
      <c r="B6792" s="115" t="s">
        <v>12360</v>
      </c>
      <c r="C6792" s="117">
        <v>113.47</v>
      </c>
    </row>
    <row r="6793" spans="1:3" x14ac:dyDescent="0.25">
      <c r="A6793" s="115">
        <v>4991804</v>
      </c>
      <c r="B6793" s="115" t="s">
        <v>6535</v>
      </c>
      <c r="C6793" s="117">
        <v>82.9</v>
      </c>
    </row>
    <row r="6794" spans="1:3" x14ac:dyDescent="0.25">
      <c r="A6794" s="115">
        <v>4991800</v>
      </c>
      <c r="B6794" s="115" t="s">
        <v>6536</v>
      </c>
      <c r="C6794" s="117">
        <v>91.14</v>
      </c>
    </row>
    <row r="6795" spans="1:3" x14ac:dyDescent="0.25">
      <c r="A6795" s="115">
        <v>4991900</v>
      </c>
      <c r="B6795" s="115" t="s">
        <v>6537</v>
      </c>
      <c r="C6795" s="117">
        <v>99.42</v>
      </c>
    </row>
    <row r="6796" spans="1:3" x14ac:dyDescent="0.25">
      <c r="A6796" s="144" t="s">
        <v>6538</v>
      </c>
      <c r="B6796" s="145"/>
      <c r="C6796" s="145"/>
    </row>
    <row r="6797" spans="1:3" x14ac:dyDescent="0.25">
      <c r="A6797" s="115">
        <v>4401223</v>
      </c>
      <c r="B6797" s="115" t="s">
        <v>6539</v>
      </c>
      <c r="C6797" s="117">
        <v>428.23</v>
      </c>
    </row>
    <row r="6798" spans="1:3" x14ac:dyDescent="0.25">
      <c r="A6798" s="115">
        <v>4401283</v>
      </c>
      <c r="B6798" s="115" t="s">
        <v>6540</v>
      </c>
      <c r="C6798" s="117">
        <v>428.23</v>
      </c>
    </row>
    <row r="6799" spans="1:3" x14ac:dyDescent="0.25">
      <c r="A6799" s="115">
        <v>4401275</v>
      </c>
      <c r="B6799" s="115" t="s">
        <v>6541</v>
      </c>
      <c r="C6799" s="117">
        <v>428.23</v>
      </c>
    </row>
    <row r="6800" spans="1:3" x14ac:dyDescent="0.25">
      <c r="A6800" s="115">
        <v>4401026</v>
      </c>
      <c r="B6800" s="115" t="s">
        <v>6542</v>
      </c>
      <c r="C6800" s="117">
        <v>107.07</v>
      </c>
    </row>
    <row r="6801" spans="1:3" x14ac:dyDescent="0.25">
      <c r="A6801" s="115">
        <v>4401029</v>
      </c>
      <c r="B6801" s="115" t="s">
        <v>6543</v>
      </c>
      <c r="C6801" s="117">
        <v>107.07</v>
      </c>
    </row>
    <row r="6802" spans="1:3" x14ac:dyDescent="0.25">
      <c r="A6802" s="115">
        <v>4401025</v>
      </c>
      <c r="B6802" s="115" t="s">
        <v>6544</v>
      </c>
      <c r="C6802" s="117">
        <v>69.69</v>
      </c>
    </row>
    <row r="6803" spans="1:3" x14ac:dyDescent="0.25">
      <c r="A6803" s="115">
        <v>4401023</v>
      </c>
      <c r="B6803" s="115" t="s">
        <v>6545</v>
      </c>
      <c r="C6803" s="117">
        <v>107.07</v>
      </c>
    </row>
    <row r="6804" spans="1:3" x14ac:dyDescent="0.25">
      <c r="A6804" s="115">
        <v>4401038</v>
      </c>
      <c r="B6804" s="115" t="s">
        <v>6546</v>
      </c>
      <c r="C6804" s="117">
        <v>107.07</v>
      </c>
    </row>
    <row r="6805" spans="1:3" x14ac:dyDescent="0.25">
      <c r="A6805" s="115">
        <v>4401054</v>
      </c>
      <c r="B6805" s="115" t="s">
        <v>6547</v>
      </c>
      <c r="C6805" s="117">
        <v>107.07</v>
      </c>
    </row>
    <row r="6806" spans="1:3" x14ac:dyDescent="0.25">
      <c r="A6806" s="115">
        <v>4401067</v>
      </c>
      <c r="B6806" s="115" t="s">
        <v>6548</v>
      </c>
      <c r="C6806" s="117">
        <v>107.07</v>
      </c>
    </row>
    <row r="6807" spans="1:3" x14ac:dyDescent="0.25">
      <c r="A6807" s="115">
        <v>4401062</v>
      </c>
      <c r="B6807" s="115" t="s">
        <v>6549</v>
      </c>
      <c r="C6807" s="117">
        <v>107.07</v>
      </c>
    </row>
    <row r="6808" spans="1:3" x14ac:dyDescent="0.25">
      <c r="A6808" s="115">
        <v>4401063</v>
      </c>
      <c r="B6808" s="115" t="s">
        <v>6550</v>
      </c>
      <c r="C6808" s="117">
        <v>107.07</v>
      </c>
    </row>
    <row r="6809" spans="1:3" x14ac:dyDescent="0.25">
      <c r="A6809" s="115">
        <v>4402026</v>
      </c>
      <c r="B6809" s="115" t="s">
        <v>6551</v>
      </c>
      <c r="C6809" s="117">
        <v>107.07</v>
      </c>
    </row>
    <row r="6810" spans="1:3" x14ac:dyDescent="0.25">
      <c r="A6810" s="115">
        <v>4402029</v>
      </c>
      <c r="B6810" s="115" t="s">
        <v>6552</v>
      </c>
      <c r="C6810" s="117">
        <v>107.07</v>
      </c>
    </row>
    <row r="6811" spans="1:3" x14ac:dyDescent="0.25">
      <c r="A6811" s="115">
        <v>4402023</v>
      </c>
      <c r="B6811" s="115" t="s">
        <v>6553</v>
      </c>
      <c r="C6811" s="117">
        <v>107.07</v>
      </c>
    </row>
    <row r="6812" spans="1:3" x14ac:dyDescent="0.25">
      <c r="A6812" s="115">
        <v>4402054</v>
      </c>
      <c r="B6812" s="115" t="s">
        <v>6554</v>
      </c>
      <c r="C6812" s="117">
        <v>107.07</v>
      </c>
    </row>
    <row r="6813" spans="1:3" x14ac:dyDescent="0.25">
      <c r="A6813" s="115">
        <v>4402063</v>
      </c>
      <c r="B6813" s="115" t="s">
        <v>6555</v>
      </c>
      <c r="C6813" s="117">
        <v>107.07</v>
      </c>
    </row>
    <row r="6814" spans="1:3" x14ac:dyDescent="0.25">
      <c r="A6814" s="115">
        <v>4402062</v>
      </c>
      <c r="B6814" s="115" t="s">
        <v>6556</v>
      </c>
      <c r="C6814" s="117">
        <v>74.95</v>
      </c>
    </row>
    <row r="6815" spans="1:3" x14ac:dyDescent="0.25">
      <c r="A6815" s="115">
        <v>4402076</v>
      </c>
      <c r="B6815" s="115" t="s">
        <v>6557</v>
      </c>
      <c r="C6815" s="117">
        <v>107.07</v>
      </c>
    </row>
    <row r="6816" spans="1:3" x14ac:dyDescent="0.25">
      <c r="A6816" s="115">
        <v>4402077</v>
      </c>
      <c r="B6816" s="115" t="s">
        <v>6558</v>
      </c>
      <c r="C6816" s="117">
        <v>107.07</v>
      </c>
    </row>
    <row r="6817" spans="1:3" x14ac:dyDescent="0.25">
      <c r="A6817" s="115">
        <v>4402082</v>
      </c>
      <c r="B6817" s="115" t="s">
        <v>6559</v>
      </c>
      <c r="C6817" s="117">
        <v>107.07</v>
      </c>
    </row>
    <row r="6818" spans="1:3" x14ac:dyDescent="0.25">
      <c r="A6818" s="115">
        <v>4402083</v>
      </c>
      <c r="B6818" s="115" t="s">
        <v>6560</v>
      </c>
      <c r="C6818" s="117">
        <v>107.07</v>
      </c>
    </row>
    <row r="6819" spans="1:3" x14ac:dyDescent="0.25">
      <c r="A6819" s="115">
        <v>4401076</v>
      </c>
      <c r="B6819" s="115" t="s">
        <v>6561</v>
      </c>
      <c r="C6819" s="117">
        <v>107.07</v>
      </c>
    </row>
    <row r="6820" spans="1:3" x14ac:dyDescent="0.25">
      <c r="A6820" s="115">
        <v>4401077</v>
      </c>
      <c r="B6820" s="115" t="s">
        <v>6562</v>
      </c>
      <c r="C6820" s="117">
        <v>107.07</v>
      </c>
    </row>
    <row r="6821" spans="1:3" x14ac:dyDescent="0.25">
      <c r="A6821" s="115">
        <v>4401082</v>
      </c>
      <c r="B6821" s="115" t="s">
        <v>6563</v>
      </c>
      <c r="C6821" s="117">
        <v>107.07</v>
      </c>
    </row>
    <row r="6822" spans="1:3" x14ac:dyDescent="0.25">
      <c r="A6822" s="115">
        <v>4401083</v>
      </c>
      <c r="B6822" s="115" t="s">
        <v>6564</v>
      </c>
      <c r="C6822" s="117">
        <v>107.07</v>
      </c>
    </row>
    <row r="6823" spans="1:3" x14ac:dyDescent="0.25">
      <c r="A6823" s="115">
        <v>4401084</v>
      </c>
      <c r="B6823" s="115" t="s">
        <v>6565</v>
      </c>
      <c r="C6823" s="117">
        <v>107.07</v>
      </c>
    </row>
    <row r="6824" spans="1:3" x14ac:dyDescent="0.25">
      <c r="A6824" s="144" t="s">
        <v>6566</v>
      </c>
      <c r="B6824" s="145"/>
      <c r="C6824" s="145"/>
    </row>
    <row r="6825" spans="1:3" x14ac:dyDescent="0.25">
      <c r="A6825" s="115">
        <v>3141112</v>
      </c>
      <c r="B6825" s="115" t="s">
        <v>6567</v>
      </c>
      <c r="C6825" s="117">
        <v>2237.42</v>
      </c>
    </row>
    <row r="6826" spans="1:3" x14ac:dyDescent="0.25">
      <c r="A6826" s="115">
        <v>4383001</v>
      </c>
      <c r="B6826" s="115" t="s">
        <v>6568</v>
      </c>
      <c r="C6826" s="117">
        <v>4840.3</v>
      </c>
    </row>
    <row r="6827" spans="1:3" x14ac:dyDescent="0.25">
      <c r="A6827" s="115">
        <v>4383003</v>
      </c>
      <c r="B6827" s="115" t="s">
        <v>6569</v>
      </c>
      <c r="C6827" s="117">
        <v>4840.3</v>
      </c>
    </row>
    <row r="6828" spans="1:3" x14ac:dyDescent="0.25">
      <c r="A6828" s="115">
        <v>4382226</v>
      </c>
      <c r="B6828" s="115" t="s">
        <v>6570</v>
      </c>
      <c r="C6828" s="117">
        <v>4211.0600000000004</v>
      </c>
    </row>
    <row r="6829" spans="1:3" x14ac:dyDescent="0.25">
      <c r="A6829" s="115">
        <v>4382229</v>
      </c>
      <c r="B6829" s="115" t="s">
        <v>6571</v>
      </c>
      <c r="C6829" s="117">
        <v>4211.0600000000004</v>
      </c>
    </row>
    <row r="6830" spans="1:3" x14ac:dyDescent="0.25">
      <c r="A6830" s="115">
        <v>4382223</v>
      </c>
      <c r="B6830" s="115" t="s">
        <v>6572</v>
      </c>
      <c r="C6830" s="117">
        <v>4211.0600000000004</v>
      </c>
    </row>
    <row r="6831" spans="1:3" x14ac:dyDescent="0.25">
      <c r="A6831" s="115">
        <v>4382272</v>
      </c>
      <c r="B6831" s="115" t="s">
        <v>6573</v>
      </c>
      <c r="C6831" s="117">
        <v>4211.0600000000004</v>
      </c>
    </row>
    <row r="6832" spans="1:3" x14ac:dyDescent="0.25">
      <c r="A6832" s="115">
        <v>4382276</v>
      </c>
      <c r="B6832" s="115" t="s">
        <v>6574</v>
      </c>
      <c r="C6832" s="117">
        <v>4211.0600000000004</v>
      </c>
    </row>
    <row r="6833" spans="1:3" x14ac:dyDescent="0.25">
      <c r="A6833" s="115">
        <v>4382277</v>
      </c>
      <c r="B6833" s="115" t="s">
        <v>6575</v>
      </c>
      <c r="C6833" s="117">
        <v>4211.0600000000004</v>
      </c>
    </row>
    <row r="6834" spans="1:3" x14ac:dyDescent="0.25">
      <c r="A6834" s="115">
        <v>4381200</v>
      </c>
      <c r="B6834" s="115" t="s">
        <v>6576</v>
      </c>
      <c r="C6834" s="117">
        <v>3702.83</v>
      </c>
    </row>
    <row r="6835" spans="1:3" x14ac:dyDescent="0.25">
      <c r="A6835" s="115">
        <v>4382289</v>
      </c>
      <c r="B6835" s="115" t="s">
        <v>6577</v>
      </c>
      <c r="C6835" s="117">
        <v>4211.0600000000004</v>
      </c>
    </row>
    <row r="6836" spans="1:3" x14ac:dyDescent="0.25">
      <c r="A6836" s="115">
        <v>4382286</v>
      </c>
      <c r="B6836" s="115" t="s">
        <v>6578</v>
      </c>
      <c r="C6836" s="117">
        <v>4211.0600000000004</v>
      </c>
    </row>
    <row r="6837" spans="1:3" x14ac:dyDescent="0.25">
      <c r="A6837" s="144" t="s">
        <v>6579</v>
      </c>
      <c r="B6837" s="145"/>
      <c r="C6837" s="145"/>
    </row>
    <row r="6838" spans="1:3" x14ac:dyDescent="0.25">
      <c r="A6838" s="115">
        <v>4501026</v>
      </c>
      <c r="B6838" s="115" t="s">
        <v>6580</v>
      </c>
      <c r="C6838" s="117">
        <v>1245.03</v>
      </c>
    </row>
    <row r="6839" spans="1:3" x14ac:dyDescent="0.25">
      <c r="A6839" s="115">
        <v>4501029</v>
      </c>
      <c r="B6839" s="115" t="s">
        <v>6581</v>
      </c>
      <c r="C6839" s="117">
        <v>1245.03</v>
      </c>
    </row>
    <row r="6840" spans="1:3" x14ac:dyDescent="0.25">
      <c r="A6840" s="115">
        <v>4501025</v>
      </c>
      <c r="B6840" s="115" t="s">
        <v>6582</v>
      </c>
      <c r="C6840" s="117">
        <v>1245.03</v>
      </c>
    </row>
    <row r="6841" spans="1:3" x14ac:dyDescent="0.25">
      <c r="A6841" s="115">
        <v>4501023</v>
      </c>
      <c r="B6841" s="115" t="s">
        <v>6583</v>
      </c>
      <c r="C6841" s="117">
        <v>1245.03</v>
      </c>
    </row>
    <row r="6842" spans="1:3" x14ac:dyDescent="0.25">
      <c r="A6842" s="115">
        <v>4501054</v>
      </c>
      <c r="B6842" s="115" t="s">
        <v>6584</v>
      </c>
      <c r="C6842" s="117">
        <v>1245.03</v>
      </c>
    </row>
    <row r="6843" spans="1:3" x14ac:dyDescent="0.25">
      <c r="A6843" s="115">
        <v>4501062</v>
      </c>
      <c r="B6843" s="115" t="s">
        <v>6585</v>
      </c>
      <c r="C6843" s="117">
        <v>1245.03</v>
      </c>
    </row>
    <row r="6844" spans="1:3" x14ac:dyDescent="0.25">
      <c r="A6844" s="115">
        <v>4501063</v>
      </c>
      <c r="B6844" s="115" t="s">
        <v>6586</v>
      </c>
      <c r="C6844" s="117">
        <v>1245.03</v>
      </c>
    </row>
    <row r="6845" spans="1:3" x14ac:dyDescent="0.25">
      <c r="A6845" s="115">
        <v>4501076</v>
      </c>
      <c r="B6845" s="115" t="s">
        <v>6587</v>
      </c>
      <c r="C6845" s="117">
        <v>1245.03</v>
      </c>
    </row>
    <row r="6846" spans="1:3" x14ac:dyDescent="0.25">
      <c r="A6846" s="115">
        <v>4501077</v>
      </c>
      <c r="B6846" s="115" t="s">
        <v>6588</v>
      </c>
      <c r="C6846" s="117">
        <v>1245.03</v>
      </c>
    </row>
    <row r="6847" spans="1:3" x14ac:dyDescent="0.25">
      <c r="A6847" s="115">
        <v>4501083</v>
      </c>
      <c r="B6847" s="115" t="s">
        <v>6589</v>
      </c>
      <c r="C6847" s="117">
        <v>1245.03</v>
      </c>
    </row>
    <row r="6848" spans="1:3" x14ac:dyDescent="0.25">
      <c r="A6848" s="115">
        <v>4501089</v>
      </c>
      <c r="B6848" s="115" t="s">
        <v>6590</v>
      </c>
      <c r="C6848" s="117">
        <v>1245.03</v>
      </c>
    </row>
    <row r="6849" spans="1:3" x14ac:dyDescent="0.25">
      <c r="A6849" s="115">
        <v>4502026</v>
      </c>
      <c r="B6849" s="115" t="s">
        <v>6591</v>
      </c>
      <c r="C6849" s="117">
        <v>1128.1199999999999</v>
      </c>
    </row>
    <row r="6850" spans="1:3" x14ac:dyDescent="0.25">
      <c r="A6850" s="115">
        <v>4502023</v>
      </c>
      <c r="B6850" s="115" t="s">
        <v>6592</v>
      </c>
      <c r="C6850" s="117">
        <v>1128.1199999999999</v>
      </c>
    </row>
    <row r="6851" spans="1:3" x14ac:dyDescent="0.25">
      <c r="A6851" s="115">
        <v>4502054</v>
      </c>
      <c r="B6851" s="115" t="s">
        <v>6593</v>
      </c>
      <c r="C6851" s="117">
        <v>1128.1199999999999</v>
      </c>
    </row>
    <row r="6852" spans="1:3" x14ac:dyDescent="0.25">
      <c r="A6852" s="115">
        <v>4502062</v>
      </c>
      <c r="B6852" s="115" t="s">
        <v>6594</v>
      </c>
      <c r="C6852" s="117">
        <v>1128.1199999999999</v>
      </c>
    </row>
    <row r="6853" spans="1:3" x14ac:dyDescent="0.25">
      <c r="A6853" s="115">
        <v>4502076</v>
      </c>
      <c r="B6853" s="115" t="s">
        <v>6595</v>
      </c>
      <c r="C6853" s="117">
        <v>1128.1199999999999</v>
      </c>
    </row>
    <row r="6854" spans="1:3" x14ac:dyDescent="0.25">
      <c r="A6854" s="115">
        <v>4502077</v>
      </c>
      <c r="B6854" s="115" t="s">
        <v>6596</v>
      </c>
      <c r="C6854" s="117">
        <v>1128.1199999999999</v>
      </c>
    </row>
    <row r="6855" spans="1:3" x14ac:dyDescent="0.25">
      <c r="A6855" s="115">
        <v>4502083</v>
      </c>
      <c r="B6855" s="115" t="s">
        <v>6597</v>
      </c>
      <c r="C6855" s="117">
        <v>1128.1199999999999</v>
      </c>
    </row>
    <row r="6856" spans="1:3" x14ac:dyDescent="0.25">
      <c r="A6856" s="115">
        <v>4502089</v>
      </c>
      <c r="B6856" s="115" t="s">
        <v>6598</v>
      </c>
      <c r="C6856" s="117">
        <v>1128.1199999999999</v>
      </c>
    </row>
    <row r="6857" spans="1:3" x14ac:dyDescent="0.25">
      <c r="A6857" s="115">
        <v>4502029</v>
      </c>
      <c r="B6857" s="115" t="s">
        <v>6599</v>
      </c>
      <c r="C6857" s="117">
        <v>1128.1199999999999</v>
      </c>
    </row>
    <row r="6858" spans="1:3" x14ac:dyDescent="0.25">
      <c r="A6858" s="115">
        <v>4504227</v>
      </c>
      <c r="B6858" s="115" t="s">
        <v>6600</v>
      </c>
      <c r="C6858" s="117">
        <v>38.69</v>
      </c>
    </row>
    <row r="6859" spans="1:3" x14ac:dyDescent="0.25">
      <c r="A6859" s="144" t="s">
        <v>6601</v>
      </c>
      <c r="B6859" s="145"/>
      <c r="C6859" s="145"/>
    </row>
    <row r="6860" spans="1:3" x14ac:dyDescent="0.25">
      <c r="A6860" s="115">
        <v>4360179</v>
      </c>
      <c r="B6860" s="115" t="s">
        <v>12361</v>
      </c>
      <c r="C6860" s="117">
        <v>13671.26</v>
      </c>
    </row>
    <row r="6861" spans="1:3" x14ac:dyDescent="0.25">
      <c r="A6861" s="115">
        <v>4360090</v>
      </c>
      <c r="B6861" s="115" t="s">
        <v>6602</v>
      </c>
      <c r="C6861" s="117">
        <v>683.56</v>
      </c>
    </row>
    <row r="6862" spans="1:3" x14ac:dyDescent="0.25">
      <c r="A6862" s="115">
        <v>4360180</v>
      </c>
      <c r="B6862" s="115" t="s">
        <v>6603</v>
      </c>
      <c r="C6862" s="117">
        <v>13671.26</v>
      </c>
    </row>
    <row r="6863" spans="1:3" x14ac:dyDescent="0.25">
      <c r="A6863" s="115">
        <v>4360131</v>
      </c>
      <c r="B6863" s="115" t="s">
        <v>6604</v>
      </c>
      <c r="C6863" s="117">
        <v>13671.26</v>
      </c>
    </row>
    <row r="6864" spans="1:3" x14ac:dyDescent="0.25">
      <c r="A6864" s="115">
        <v>4360200</v>
      </c>
      <c r="B6864" s="115" t="s">
        <v>6605</v>
      </c>
      <c r="C6864" s="117">
        <v>683.56</v>
      </c>
    </row>
    <row r="6865" spans="1:3" x14ac:dyDescent="0.25">
      <c r="A6865" s="115">
        <v>4360552</v>
      </c>
      <c r="B6865" s="115" t="s">
        <v>6606</v>
      </c>
      <c r="C6865" s="117">
        <v>683.56</v>
      </c>
    </row>
    <row r="6866" spans="1:3" x14ac:dyDescent="0.25">
      <c r="A6866" s="115">
        <v>4360183</v>
      </c>
      <c r="B6866" s="115" t="s">
        <v>6607</v>
      </c>
      <c r="C6866" s="117">
        <v>13671.26</v>
      </c>
    </row>
    <row r="6867" spans="1:3" x14ac:dyDescent="0.25">
      <c r="A6867" s="115">
        <v>4360184</v>
      </c>
      <c r="B6867" s="115" t="s">
        <v>6608</v>
      </c>
      <c r="C6867" s="117">
        <v>13671.26</v>
      </c>
    </row>
    <row r="6868" spans="1:3" x14ac:dyDescent="0.25">
      <c r="A6868" s="115">
        <v>4360164</v>
      </c>
      <c r="B6868" s="115" t="s">
        <v>6609</v>
      </c>
      <c r="C6868" s="117">
        <v>683.56</v>
      </c>
    </row>
    <row r="6869" spans="1:3" x14ac:dyDescent="0.25">
      <c r="A6869" s="115">
        <v>4360129</v>
      </c>
      <c r="B6869" s="115" t="s">
        <v>6610</v>
      </c>
      <c r="C6869" s="117">
        <v>13671.26</v>
      </c>
    </row>
    <row r="6870" spans="1:3" x14ac:dyDescent="0.25">
      <c r="A6870" s="115">
        <v>4360372</v>
      </c>
      <c r="B6870" s="115" t="s">
        <v>6611</v>
      </c>
      <c r="C6870" s="117">
        <v>683.56</v>
      </c>
    </row>
    <row r="6871" spans="1:3" x14ac:dyDescent="0.25">
      <c r="A6871" s="115">
        <v>4360405</v>
      </c>
      <c r="B6871" s="115" t="s">
        <v>6612</v>
      </c>
      <c r="C6871" s="117">
        <v>683.56</v>
      </c>
    </row>
    <row r="6872" spans="1:3" x14ac:dyDescent="0.25">
      <c r="A6872" s="115">
        <v>4360538</v>
      </c>
      <c r="B6872" s="115" t="s">
        <v>6613</v>
      </c>
      <c r="C6872" s="117">
        <v>683.56</v>
      </c>
    </row>
    <row r="6873" spans="1:3" x14ac:dyDescent="0.25">
      <c r="A6873" s="115">
        <v>4360212</v>
      </c>
      <c r="B6873" s="115" t="s">
        <v>6614</v>
      </c>
      <c r="C6873" s="117">
        <v>683.56</v>
      </c>
    </row>
    <row r="6874" spans="1:3" x14ac:dyDescent="0.25">
      <c r="A6874" s="115">
        <v>4360533</v>
      </c>
      <c r="B6874" s="115" t="s">
        <v>6615</v>
      </c>
      <c r="C6874" s="117">
        <v>683.56</v>
      </c>
    </row>
    <row r="6875" spans="1:3" x14ac:dyDescent="0.25">
      <c r="A6875" s="115">
        <v>4360115</v>
      </c>
      <c r="B6875" s="115" t="s">
        <v>6616</v>
      </c>
      <c r="C6875" s="117">
        <v>683.56</v>
      </c>
    </row>
    <row r="6876" spans="1:3" x14ac:dyDescent="0.25">
      <c r="A6876" s="115">
        <v>4360124</v>
      </c>
      <c r="B6876" s="115" t="s">
        <v>6617</v>
      </c>
      <c r="C6876" s="117">
        <v>683.56</v>
      </c>
    </row>
    <row r="6877" spans="1:3" x14ac:dyDescent="0.25">
      <c r="A6877" s="115">
        <v>4360132</v>
      </c>
      <c r="B6877" s="115" t="s">
        <v>6618</v>
      </c>
      <c r="C6877" s="117">
        <v>13671.26</v>
      </c>
    </row>
    <row r="6878" spans="1:3" x14ac:dyDescent="0.25">
      <c r="A6878" s="115">
        <v>4360134</v>
      </c>
      <c r="B6878" s="115" t="s">
        <v>6619</v>
      </c>
      <c r="C6878" s="117">
        <v>13671.26</v>
      </c>
    </row>
    <row r="6879" spans="1:3" x14ac:dyDescent="0.25">
      <c r="A6879" s="115">
        <v>4360133</v>
      </c>
      <c r="B6879" s="115" t="s">
        <v>6620</v>
      </c>
      <c r="C6879" s="117">
        <v>13671.26</v>
      </c>
    </row>
    <row r="6880" spans="1:3" x14ac:dyDescent="0.25">
      <c r="A6880" s="115">
        <v>4360105</v>
      </c>
      <c r="B6880" s="115" t="s">
        <v>6621</v>
      </c>
      <c r="C6880" s="117">
        <v>683.56</v>
      </c>
    </row>
    <row r="6881" spans="1:3" x14ac:dyDescent="0.25">
      <c r="A6881" s="115">
        <v>4360068</v>
      </c>
      <c r="B6881" s="115" t="s">
        <v>6622</v>
      </c>
      <c r="C6881" s="117">
        <v>13671.26</v>
      </c>
    </row>
    <row r="6882" spans="1:3" x14ac:dyDescent="0.25">
      <c r="A6882" s="115">
        <v>4360194</v>
      </c>
      <c r="B6882" s="115" t="s">
        <v>6623</v>
      </c>
      <c r="C6882" s="117">
        <v>683.56</v>
      </c>
    </row>
    <row r="6883" spans="1:3" x14ac:dyDescent="0.25">
      <c r="A6883" s="115">
        <v>4360063</v>
      </c>
      <c r="B6883" s="115" t="s">
        <v>6624</v>
      </c>
      <c r="C6883" s="117">
        <v>13671.26</v>
      </c>
    </row>
    <row r="6884" spans="1:3" x14ac:dyDescent="0.25">
      <c r="A6884" s="115">
        <v>4360167</v>
      </c>
      <c r="B6884" s="115" t="s">
        <v>6625</v>
      </c>
      <c r="C6884" s="117">
        <v>683.56</v>
      </c>
    </row>
    <row r="6885" spans="1:3" x14ac:dyDescent="0.25">
      <c r="A6885" s="115">
        <v>4360066</v>
      </c>
      <c r="B6885" s="115" t="s">
        <v>6626</v>
      </c>
      <c r="C6885" s="117">
        <v>13671.26</v>
      </c>
    </row>
    <row r="6886" spans="1:3" x14ac:dyDescent="0.25">
      <c r="A6886" s="115">
        <v>4360062</v>
      </c>
      <c r="B6886" s="115" t="s">
        <v>6627</v>
      </c>
      <c r="C6886" s="117">
        <v>13671.26</v>
      </c>
    </row>
    <row r="6887" spans="1:3" x14ac:dyDescent="0.25">
      <c r="A6887" s="115">
        <v>4360065</v>
      </c>
      <c r="B6887" s="115" t="s">
        <v>6628</v>
      </c>
      <c r="C6887" s="117">
        <v>13671.26</v>
      </c>
    </row>
    <row r="6888" spans="1:3" x14ac:dyDescent="0.25">
      <c r="A6888" s="115">
        <v>4360168</v>
      </c>
      <c r="B6888" s="115" t="s">
        <v>6629</v>
      </c>
      <c r="C6888" s="117">
        <v>683.56</v>
      </c>
    </row>
    <row r="6889" spans="1:3" x14ac:dyDescent="0.25">
      <c r="A6889" s="115">
        <v>4360067</v>
      </c>
      <c r="B6889" s="115" t="s">
        <v>6630</v>
      </c>
      <c r="C6889" s="117">
        <v>13671.26</v>
      </c>
    </row>
    <row r="6890" spans="1:3" x14ac:dyDescent="0.25">
      <c r="A6890" s="115">
        <v>4360069</v>
      </c>
      <c r="B6890" s="115" t="s">
        <v>12362</v>
      </c>
      <c r="C6890" s="117">
        <v>13671.26</v>
      </c>
    </row>
    <row r="6891" spans="1:3" x14ac:dyDescent="0.25">
      <c r="A6891" s="115">
        <v>4360121</v>
      </c>
      <c r="B6891" s="115" t="s">
        <v>6631</v>
      </c>
      <c r="C6891" s="117">
        <v>683.56</v>
      </c>
    </row>
    <row r="6892" spans="1:3" x14ac:dyDescent="0.25">
      <c r="A6892" s="115">
        <v>4360122</v>
      </c>
      <c r="B6892" s="115" t="s">
        <v>6632</v>
      </c>
      <c r="C6892" s="117">
        <v>683.56</v>
      </c>
    </row>
    <row r="6893" spans="1:3" x14ac:dyDescent="0.25">
      <c r="A6893" s="115">
        <v>4360198</v>
      </c>
      <c r="B6893" s="115" t="s">
        <v>6633</v>
      </c>
      <c r="C6893" s="117">
        <v>683.56</v>
      </c>
    </row>
    <row r="6894" spans="1:3" x14ac:dyDescent="0.25">
      <c r="A6894" s="115">
        <v>4360097</v>
      </c>
      <c r="B6894" s="115" t="s">
        <v>6634</v>
      </c>
      <c r="C6894" s="117">
        <v>683.56</v>
      </c>
    </row>
    <row r="6895" spans="1:3" x14ac:dyDescent="0.25">
      <c r="A6895" s="115">
        <v>4360177</v>
      </c>
      <c r="B6895" s="115" t="s">
        <v>6635</v>
      </c>
      <c r="C6895" s="117">
        <v>13671.26</v>
      </c>
    </row>
    <row r="6896" spans="1:3" x14ac:dyDescent="0.25">
      <c r="A6896" s="115">
        <v>4360178</v>
      </c>
      <c r="B6896" s="115" t="s">
        <v>6636</v>
      </c>
      <c r="C6896" s="117">
        <v>13671.26</v>
      </c>
    </row>
    <row r="6897" spans="1:3" x14ac:dyDescent="0.25">
      <c r="A6897" s="115">
        <v>4360201</v>
      </c>
      <c r="B6897" s="115" t="s">
        <v>6637</v>
      </c>
      <c r="C6897" s="117">
        <v>683.56</v>
      </c>
    </row>
    <row r="6898" spans="1:3" x14ac:dyDescent="0.25">
      <c r="A6898" s="115">
        <v>4360597</v>
      </c>
      <c r="B6898" s="115" t="s">
        <v>6638</v>
      </c>
      <c r="C6898" s="117">
        <v>13671.26</v>
      </c>
    </row>
    <row r="6899" spans="1:3" x14ac:dyDescent="0.25">
      <c r="A6899" s="115">
        <v>4360169</v>
      </c>
      <c r="B6899" s="115" t="s">
        <v>6639</v>
      </c>
      <c r="C6899" s="117">
        <v>683.56</v>
      </c>
    </row>
    <row r="6900" spans="1:3" x14ac:dyDescent="0.25">
      <c r="A6900" s="115">
        <v>4360320</v>
      </c>
      <c r="B6900" s="115" t="s">
        <v>6640</v>
      </c>
      <c r="C6900" s="117">
        <v>13671.26</v>
      </c>
    </row>
    <row r="6901" spans="1:3" x14ac:dyDescent="0.25">
      <c r="A6901" s="115">
        <v>4360321</v>
      </c>
      <c r="B6901" s="115" t="s">
        <v>6641</v>
      </c>
      <c r="C6901" s="117">
        <v>13671.26</v>
      </c>
    </row>
    <row r="6902" spans="1:3" x14ac:dyDescent="0.25">
      <c r="A6902" s="115">
        <v>4360523</v>
      </c>
      <c r="B6902" s="115" t="s">
        <v>6642</v>
      </c>
      <c r="C6902" s="117">
        <v>683.56</v>
      </c>
    </row>
    <row r="6903" spans="1:3" x14ac:dyDescent="0.25">
      <c r="A6903" s="115">
        <v>4360558</v>
      </c>
      <c r="B6903" s="115" t="s">
        <v>6643</v>
      </c>
      <c r="C6903" s="117">
        <v>683.56</v>
      </c>
    </row>
    <row r="6904" spans="1:3" x14ac:dyDescent="0.25">
      <c r="A6904" s="115">
        <v>4360324</v>
      </c>
      <c r="B6904" s="115" t="s">
        <v>6644</v>
      </c>
      <c r="C6904" s="117">
        <v>13671.26</v>
      </c>
    </row>
    <row r="6905" spans="1:3" x14ac:dyDescent="0.25">
      <c r="A6905" s="115">
        <v>4360323</v>
      </c>
      <c r="B6905" s="115" t="s">
        <v>6645</v>
      </c>
      <c r="C6905" s="117">
        <v>13671.26</v>
      </c>
    </row>
    <row r="6906" spans="1:3" x14ac:dyDescent="0.25">
      <c r="A6906" s="115">
        <v>4360325</v>
      </c>
      <c r="B6906" s="115" t="s">
        <v>6646</v>
      </c>
      <c r="C6906" s="117">
        <v>13671.26</v>
      </c>
    </row>
    <row r="6907" spans="1:3" x14ac:dyDescent="0.25">
      <c r="A6907" s="115">
        <v>4360012</v>
      </c>
      <c r="B6907" s="115" t="s">
        <v>6647</v>
      </c>
      <c r="C6907" s="117">
        <v>13671.26</v>
      </c>
    </row>
    <row r="6908" spans="1:3" x14ac:dyDescent="0.25">
      <c r="A6908" s="115">
        <v>4360322</v>
      </c>
      <c r="B6908" s="115" t="s">
        <v>6648</v>
      </c>
      <c r="C6908" s="117">
        <v>13671.26</v>
      </c>
    </row>
    <row r="6909" spans="1:3" x14ac:dyDescent="0.25">
      <c r="A6909" s="115">
        <v>4360010</v>
      </c>
      <c r="B6909" s="115" t="s">
        <v>6649</v>
      </c>
      <c r="C6909" s="117">
        <v>13671.26</v>
      </c>
    </row>
    <row r="6910" spans="1:3" x14ac:dyDescent="0.25">
      <c r="A6910" s="115">
        <v>4360187</v>
      </c>
      <c r="B6910" s="115" t="s">
        <v>12363</v>
      </c>
      <c r="C6910" s="117">
        <v>13671.26</v>
      </c>
    </row>
    <row r="6911" spans="1:3" x14ac:dyDescent="0.25">
      <c r="A6911" s="115">
        <v>4360013</v>
      </c>
      <c r="B6911" s="115" t="s">
        <v>6650</v>
      </c>
      <c r="C6911" s="117">
        <v>13671.26</v>
      </c>
    </row>
    <row r="6912" spans="1:3" x14ac:dyDescent="0.25">
      <c r="A6912" s="115">
        <v>4360015</v>
      </c>
      <c r="B6912" s="115" t="s">
        <v>6651</v>
      </c>
      <c r="C6912" s="117">
        <v>13671.26</v>
      </c>
    </row>
    <row r="6913" spans="1:3" x14ac:dyDescent="0.25">
      <c r="A6913" s="115">
        <v>4360247</v>
      </c>
      <c r="B6913" s="115" t="s">
        <v>6652</v>
      </c>
      <c r="C6913" s="117">
        <v>683.56</v>
      </c>
    </row>
    <row r="6914" spans="1:3" x14ac:dyDescent="0.25">
      <c r="A6914" s="115">
        <v>4360181</v>
      </c>
      <c r="B6914" s="115" t="s">
        <v>6653</v>
      </c>
      <c r="C6914" s="117">
        <v>13671.26</v>
      </c>
    </row>
    <row r="6915" spans="1:3" x14ac:dyDescent="0.25">
      <c r="A6915" s="115">
        <v>4360186</v>
      </c>
      <c r="B6915" s="115" t="s">
        <v>6654</v>
      </c>
      <c r="C6915" s="117">
        <v>13671.26</v>
      </c>
    </row>
    <row r="6916" spans="1:3" x14ac:dyDescent="0.25">
      <c r="A6916" s="115">
        <v>4360171</v>
      </c>
      <c r="B6916" s="115" t="s">
        <v>6655</v>
      </c>
      <c r="C6916" s="117">
        <v>683.56</v>
      </c>
    </row>
    <row r="6917" spans="1:3" x14ac:dyDescent="0.25">
      <c r="A6917" s="115">
        <v>4360246</v>
      </c>
      <c r="B6917" s="115" t="s">
        <v>6656</v>
      </c>
      <c r="C6917" s="117">
        <v>683.56</v>
      </c>
    </row>
    <row r="6918" spans="1:3" x14ac:dyDescent="0.25">
      <c r="A6918" s="115">
        <v>4360064</v>
      </c>
      <c r="B6918" s="115" t="s">
        <v>6657</v>
      </c>
      <c r="C6918" s="117">
        <v>13671.26</v>
      </c>
    </row>
    <row r="6919" spans="1:3" x14ac:dyDescent="0.25">
      <c r="A6919" s="115">
        <v>4360365</v>
      </c>
      <c r="B6919" s="115" t="s">
        <v>6658</v>
      </c>
      <c r="C6919" s="117">
        <v>683.56</v>
      </c>
    </row>
    <row r="6920" spans="1:3" x14ac:dyDescent="0.25">
      <c r="A6920" s="115">
        <v>4360539</v>
      </c>
      <c r="B6920" s="115" t="s">
        <v>6659</v>
      </c>
      <c r="C6920" s="117">
        <v>683.56</v>
      </c>
    </row>
    <row r="6921" spans="1:3" x14ac:dyDescent="0.25">
      <c r="A6921" s="115">
        <v>4360185</v>
      </c>
      <c r="B6921" s="115" t="s">
        <v>6660</v>
      </c>
      <c r="C6921" s="117">
        <v>13671.26</v>
      </c>
    </row>
    <row r="6922" spans="1:3" x14ac:dyDescent="0.25">
      <c r="A6922" s="115">
        <v>4360061</v>
      </c>
      <c r="B6922" s="115" t="s">
        <v>6661</v>
      </c>
      <c r="C6922" s="117">
        <v>13671.26</v>
      </c>
    </row>
    <row r="6923" spans="1:3" x14ac:dyDescent="0.25">
      <c r="A6923" s="115">
        <v>4360594</v>
      </c>
      <c r="B6923" s="115" t="s">
        <v>6662</v>
      </c>
      <c r="C6923" s="117">
        <v>13671.26</v>
      </c>
    </row>
    <row r="6924" spans="1:3" x14ac:dyDescent="0.25">
      <c r="A6924" s="115">
        <v>4360182</v>
      </c>
      <c r="B6924" s="115" t="s">
        <v>6663</v>
      </c>
      <c r="C6924" s="117">
        <v>13671.26</v>
      </c>
    </row>
    <row r="6925" spans="1:3" x14ac:dyDescent="0.25">
      <c r="A6925" s="115">
        <v>4360140</v>
      </c>
      <c r="B6925" s="115" t="s">
        <v>6664</v>
      </c>
      <c r="C6925" s="117">
        <v>13671.26</v>
      </c>
    </row>
    <row r="6926" spans="1:3" x14ac:dyDescent="0.25">
      <c r="A6926" s="115">
        <v>4360596</v>
      </c>
      <c r="B6926" s="115" t="s">
        <v>6665</v>
      </c>
      <c r="C6926" s="117">
        <v>683.56</v>
      </c>
    </row>
    <row r="6927" spans="1:3" x14ac:dyDescent="0.25">
      <c r="A6927" s="115">
        <v>4360175</v>
      </c>
      <c r="B6927" s="115" t="s">
        <v>6666</v>
      </c>
      <c r="C6927" s="117">
        <v>683.56</v>
      </c>
    </row>
    <row r="6928" spans="1:3" x14ac:dyDescent="0.25">
      <c r="A6928" s="115">
        <v>4360408</v>
      </c>
      <c r="B6928" s="115" t="s">
        <v>6667</v>
      </c>
      <c r="C6928" s="117">
        <v>683.56</v>
      </c>
    </row>
    <row r="6929" spans="1:3" x14ac:dyDescent="0.25">
      <c r="A6929" s="144" t="s">
        <v>6668</v>
      </c>
      <c r="B6929" s="145"/>
      <c r="C6929" s="145"/>
    </row>
    <row r="6930" spans="1:3" x14ac:dyDescent="0.25">
      <c r="A6930" s="115">
        <v>4461000</v>
      </c>
      <c r="B6930" s="115" t="s">
        <v>6669</v>
      </c>
      <c r="C6930" s="117">
        <v>291.3</v>
      </c>
    </row>
    <row r="6931" spans="1:3" x14ac:dyDescent="0.25">
      <c r="A6931" s="115">
        <v>4461026</v>
      </c>
      <c r="B6931" s="115" t="s">
        <v>6670</v>
      </c>
      <c r="C6931" s="117">
        <v>291.3</v>
      </c>
    </row>
    <row r="6932" spans="1:3" x14ac:dyDescent="0.25">
      <c r="A6932" s="115">
        <v>4461029</v>
      </c>
      <c r="B6932" s="115" t="s">
        <v>6671</v>
      </c>
      <c r="C6932" s="117">
        <v>291.3</v>
      </c>
    </row>
    <row r="6933" spans="1:3" x14ac:dyDescent="0.25">
      <c r="A6933" s="115">
        <v>4461025</v>
      </c>
      <c r="B6933" s="115" t="s">
        <v>6672</v>
      </c>
      <c r="C6933" s="117">
        <v>291.3</v>
      </c>
    </row>
    <row r="6934" spans="1:3" x14ac:dyDescent="0.25">
      <c r="A6934" s="115">
        <v>4461024</v>
      </c>
      <c r="B6934" s="115" t="s">
        <v>6673</v>
      </c>
      <c r="C6934" s="117">
        <v>291.3</v>
      </c>
    </row>
    <row r="6935" spans="1:3" x14ac:dyDescent="0.25">
      <c r="A6935" s="115">
        <v>4461023</v>
      </c>
      <c r="B6935" s="115" t="s">
        <v>6674</v>
      </c>
      <c r="C6935" s="117">
        <v>291.3</v>
      </c>
    </row>
    <row r="6936" spans="1:3" x14ac:dyDescent="0.25">
      <c r="A6936" s="115">
        <v>4461038</v>
      </c>
      <c r="B6936" s="115" t="s">
        <v>6675</v>
      </c>
      <c r="C6936" s="117">
        <v>291.3</v>
      </c>
    </row>
    <row r="6937" spans="1:3" x14ac:dyDescent="0.25">
      <c r="A6937" s="115">
        <v>4461044</v>
      </c>
      <c r="B6937" s="115" t="s">
        <v>6676</v>
      </c>
      <c r="C6937" s="117">
        <v>291.3</v>
      </c>
    </row>
    <row r="6938" spans="1:3" x14ac:dyDescent="0.25">
      <c r="A6938" s="115">
        <v>4461054</v>
      </c>
      <c r="B6938" s="115" t="s">
        <v>6677</v>
      </c>
      <c r="C6938" s="117">
        <v>291.3</v>
      </c>
    </row>
    <row r="6939" spans="1:3" x14ac:dyDescent="0.25">
      <c r="A6939" s="115">
        <v>4461067</v>
      </c>
      <c r="B6939" s="115" t="s">
        <v>6678</v>
      </c>
      <c r="C6939" s="117">
        <v>291.3</v>
      </c>
    </row>
    <row r="6940" spans="1:3" x14ac:dyDescent="0.25">
      <c r="A6940" s="115">
        <v>4461062</v>
      </c>
      <c r="B6940" s="115" t="s">
        <v>6679</v>
      </c>
      <c r="C6940" s="117">
        <v>291.3</v>
      </c>
    </row>
    <row r="6941" spans="1:3" x14ac:dyDescent="0.25">
      <c r="A6941" s="115">
        <v>4461063</v>
      </c>
      <c r="B6941" s="115" t="s">
        <v>6680</v>
      </c>
      <c r="C6941" s="117">
        <v>291.3</v>
      </c>
    </row>
    <row r="6942" spans="1:3" x14ac:dyDescent="0.25">
      <c r="A6942" s="115">
        <v>4461022</v>
      </c>
      <c r="B6942" s="115" t="s">
        <v>6681</v>
      </c>
      <c r="C6942" s="117">
        <v>291.3</v>
      </c>
    </row>
    <row r="6943" spans="1:3" x14ac:dyDescent="0.25">
      <c r="A6943" s="115">
        <v>4461076</v>
      </c>
      <c r="B6943" s="115" t="s">
        <v>6682</v>
      </c>
      <c r="C6943" s="117">
        <v>291.3</v>
      </c>
    </row>
    <row r="6944" spans="1:3" x14ac:dyDescent="0.25">
      <c r="A6944" s="115">
        <v>4461079</v>
      </c>
      <c r="B6944" s="115" t="s">
        <v>6683</v>
      </c>
      <c r="C6944" s="117">
        <v>291.3</v>
      </c>
    </row>
    <row r="6945" spans="1:3" x14ac:dyDescent="0.25">
      <c r="A6945" s="115">
        <v>4461077</v>
      </c>
      <c r="B6945" s="115" t="s">
        <v>6684</v>
      </c>
      <c r="C6945" s="117">
        <v>291.3</v>
      </c>
    </row>
    <row r="6946" spans="1:3" x14ac:dyDescent="0.25">
      <c r="A6946" s="115">
        <v>4461052</v>
      </c>
      <c r="B6946" s="115" t="s">
        <v>6685</v>
      </c>
      <c r="C6946" s="117">
        <v>291.3</v>
      </c>
    </row>
    <row r="6947" spans="1:3" x14ac:dyDescent="0.25">
      <c r="A6947" s="115">
        <v>4461087</v>
      </c>
      <c r="B6947" s="115" t="s">
        <v>6686</v>
      </c>
      <c r="C6947" s="117">
        <v>291.3</v>
      </c>
    </row>
    <row r="6948" spans="1:3" x14ac:dyDescent="0.25">
      <c r="A6948" s="115">
        <v>4461082</v>
      </c>
      <c r="B6948" s="115" t="s">
        <v>6687</v>
      </c>
      <c r="C6948" s="117">
        <v>291.3</v>
      </c>
    </row>
    <row r="6949" spans="1:3" x14ac:dyDescent="0.25">
      <c r="A6949" s="115">
        <v>4461083</v>
      </c>
      <c r="B6949" s="115" t="s">
        <v>6688</v>
      </c>
      <c r="C6949" s="117">
        <v>291.3</v>
      </c>
    </row>
    <row r="6950" spans="1:3" x14ac:dyDescent="0.25">
      <c r="A6950" s="115">
        <v>4461084</v>
      </c>
      <c r="B6950" s="115" t="s">
        <v>6689</v>
      </c>
      <c r="C6950" s="117">
        <v>291.3</v>
      </c>
    </row>
    <row r="6951" spans="1:3" x14ac:dyDescent="0.25">
      <c r="A6951" s="115">
        <v>4460961</v>
      </c>
      <c r="B6951" s="115" t="s">
        <v>6690</v>
      </c>
      <c r="C6951" s="117">
        <v>3547.94</v>
      </c>
    </row>
    <row r="6952" spans="1:3" x14ac:dyDescent="0.25">
      <c r="A6952" s="115">
        <v>4460992</v>
      </c>
      <c r="B6952" s="115" t="s">
        <v>6691</v>
      </c>
      <c r="C6952" s="117">
        <v>3547.94</v>
      </c>
    </row>
    <row r="6953" spans="1:3" x14ac:dyDescent="0.25">
      <c r="A6953" s="115">
        <v>4460954</v>
      </c>
      <c r="B6953" s="115" t="s">
        <v>6692</v>
      </c>
      <c r="C6953" s="117">
        <v>3547.94</v>
      </c>
    </row>
    <row r="6954" spans="1:3" x14ac:dyDescent="0.25">
      <c r="A6954" s="115">
        <v>4460915</v>
      </c>
      <c r="B6954" s="115" t="s">
        <v>6693</v>
      </c>
      <c r="C6954" s="117">
        <v>3547.94</v>
      </c>
    </row>
    <row r="6955" spans="1:3" x14ac:dyDescent="0.25">
      <c r="A6955" s="115">
        <v>4460991</v>
      </c>
      <c r="B6955" s="115" t="s">
        <v>6694</v>
      </c>
      <c r="C6955" s="117">
        <v>3547.94</v>
      </c>
    </row>
    <row r="6956" spans="1:3" x14ac:dyDescent="0.25">
      <c r="A6956" s="115">
        <v>4460960</v>
      </c>
      <c r="B6956" s="115" t="s">
        <v>6695</v>
      </c>
      <c r="C6956" s="117">
        <v>3547.94</v>
      </c>
    </row>
    <row r="6957" spans="1:3" x14ac:dyDescent="0.25">
      <c r="A6957" s="115">
        <v>4460922</v>
      </c>
      <c r="B6957" s="115" t="s">
        <v>6696</v>
      </c>
      <c r="C6957" s="117">
        <v>3547.94</v>
      </c>
    </row>
    <row r="6958" spans="1:3" x14ac:dyDescent="0.25">
      <c r="A6958" s="115">
        <v>4460946</v>
      </c>
      <c r="B6958" s="115" t="s">
        <v>6697</v>
      </c>
      <c r="C6958" s="117">
        <v>3547.94</v>
      </c>
    </row>
    <row r="6959" spans="1:3" x14ac:dyDescent="0.25">
      <c r="A6959" s="115">
        <v>4460908</v>
      </c>
      <c r="B6959" s="115" t="s">
        <v>6698</v>
      </c>
      <c r="C6959" s="117">
        <v>3547.94</v>
      </c>
    </row>
    <row r="6960" spans="1:3" x14ac:dyDescent="0.25">
      <c r="A6960" s="115">
        <v>4460984</v>
      </c>
      <c r="B6960" s="115" t="s">
        <v>6699</v>
      </c>
      <c r="C6960" s="117">
        <v>3547.94</v>
      </c>
    </row>
    <row r="6961" spans="1:3" x14ac:dyDescent="0.25">
      <c r="A6961" s="115">
        <v>4460977</v>
      </c>
      <c r="B6961" s="115" t="s">
        <v>6700</v>
      </c>
      <c r="C6961" s="117">
        <v>3547.94</v>
      </c>
    </row>
    <row r="6962" spans="1:3" x14ac:dyDescent="0.25">
      <c r="A6962" s="115">
        <v>4460978</v>
      </c>
      <c r="B6962" s="115" t="s">
        <v>6701</v>
      </c>
      <c r="C6962" s="117">
        <v>3547.94</v>
      </c>
    </row>
    <row r="6963" spans="1:3" x14ac:dyDescent="0.25">
      <c r="A6963" s="115">
        <v>4460939</v>
      </c>
      <c r="B6963" s="115" t="s">
        <v>6702</v>
      </c>
      <c r="C6963" s="117">
        <v>3547.94</v>
      </c>
    </row>
    <row r="6964" spans="1:3" x14ac:dyDescent="0.25">
      <c r="A6964" s="115">
        <v>4462036</v>
      </c>
      <c r="B6964" s="115" t="s">
        <v>6703</v>
      </c>
      <c r="C6964" s="117">
        <v>120.08</v>
      </c>
    </row>
    <row r="6965" spans="1:3" x14ac:dyDescent="0.25">
      <c r="A6965" s="115">
        <v>4462076</v>
      </c>
      <c r="B6965" s="115" t="s">
        <v>6704</v>
      </c>
      <c r="C6965" s="117">
        <v>120.08</v>
      </c>
    </row>
    <row r="6966" spans="1:3" x14ac:dyDescent="0.25">
      <c r="A6966" s="115">
        <v>4462083</v>
      </c>
      <c r="B6966" s="115" t="s">
        <v>6705</v>
      </c>
      <c r="C6966" s="117">
        <v>120.08</v>
      </c>
    </row>
    <row r="6967" spans="1:3" x14ac:dyDescent="0.25">
      <c r="A6967" s="115">
        <v>4463026</v>
      </c>
      <c r="B6967" s="115" t="s">
        <v>6706</v>
      </c>
      <c r="C6967" s="117">
        <v>363.19</v>
      </c>
    </row>
    <row r="6968" spans="1:3" x14ac:dyDescent="0.25">
      <c r="A6968" s="115">
        <v>4463029</v>
      </c>
      <c r="B6968" s="115" t="s">
        <v>6707</v>
      </c>
      <c r="C6968" s="117">
        <v>363.19</v>
      </c>
    </row>
    <row r="6969" spans="1:3" x14ac:dyDescent="0.25">
      <c r="A6969" s="115">
        <v>4463062</v>
      </c>
      <c r="B6969" s="115" t="s">
        <v>6708</v>
      </c>
      <c r="C6969" s="117">
        <v>363.19</v>
      </c>
    </row>
    <row r="6970" spans="1:3" x14ac:dyDescent="0.25">
      <c r="A6970" s="115">
        <v>4463076</v>
      </c>
      <c r="B6970" s="115" t="s">
        <v>6709</v>
      </c>
      <c r="C6970" s="117">
        <v>363.19</v>
      </c>
    </row>
    <row r="6971" spans="1:3" x14ac:dyDescent="0.25">
      <c r="A6971" s="115">
        <v>4463082</v>
      </c>
      <c r="B6971" s="115" t="s">
        <v>6710</v>
      </c>
      <c r="C6971" s="117">
        <v>363.19</v>
      </c>
    </row>
    <row r="6972" spans="1:3" x14ac:dyDescent="0.25">
      <c r="A6972" s="115">
        <v>4463083</v>
      </c>
      <c r="B6972" s="115" t="s">
        <v>6711</v>
      </c>
      <c r="C6972" s="117">
        <v>363.19</v>
      </c>
    </row>
    <row r="6973" spans="1:3" x14ac:dyDescent="0.25">
      <c r="A6973" s="144" t="s">
        <v>6712</v>
      </c>
      <c r="B6973" s="145"/>
      <c r="C6973" s="145"/>
    </row>
    <row r="6974" spans="1:3" x14ac:dyDescent="0.25">
      <c r="A6974" s="115">
        <v>4092200</v>
      </c>
      <c r="B6974" s="115" t="s">
        <v>6713</v>
      </c>
      <c r="C6974" s="117">
        <v>729.77</v>
      </c>
    </row>
    <row r="6975" spans="1:3" x14ac:dyDescent="0.25">
      <c r="A6975" s="115">
        <v>4092300</v>
      </c>
      <c r="B6975" s="115" t="s">
        <v>6714</v>
      </c>
      <c r="C6975" s="117">
        <v>1269.1600000000001</v>
      </c>
    </row>
    <row r="6976" spans="1:3" x14ac:dyDescent="0.25">
      <c r="A6976" s="115">
        <v>4092303</v>
      </c>
      <c r="B6976" s="115" t="s">
        <v>6715</v>
      </c>
      <c r="C6976" s="117">
        <v>3397.59</v>
      </c>
    </row>
    <row r="6977" spans="1:3" x14ac:dyDescent="0.25">
      <c r="A6977" s="115">
        <v>4091012</v>
      </c>
      <c r="B6977" s="115" t="s">
        <v>6716</v>
      </c>
      <c r="C6977" s="117">
        <v>889.58</v>
      </c>
    </row>
    <row r="6978" spans="1:3" x14ac:dyDescent="0.25">
      <c r="A6978" s="115">
        <v>4091002</v>
      </c>
      <c r="B6978" s="115" t="s">
        <v>6717</v>
      </c>
      <c r="C6978" s="117">
        <v>889.58</v>
      </c>
    </row>
    <row r="6979" spans="1:3" x14ac:dyDescent="0.25">
      <c r="A6979" s="115">
        <v>4091001</v>
      </c>
      <c r="B6979" s="115" t="s">
        <v>6718</v>
      </c>
      <c r="C6979" s="117">
        <v>780.51</v>
      </c>
    </row>
    <row r="6980" spans="1:3" x14ac:dyDescent="0.25">
      <c r="A6980" s="115">
        <v>4091011</v>
      </c>
      <c r="B6980" s="115" t="s">
        <v>6719</v>
      </c>
      <c r="C6980" s="117">
        <v>8895.7900000000009</v>
      </c>
    </row>
    <row r="6981" spans="1:3" x14ac:dyDescent="0.25">
      <c r="A6981" s="115">
        <v>4091005</v>
      </c>
      <c r="B6981" s="115" t="s">
        <v>6720</v>
      </c>
      <c r="C6981" s="117">
        <v>889.58</v>
      </c>
    </row>
    <row r="6982" spans="1:3" x14ac:dyDescent="0.25">
      <c r="A6982" s="115">
        <v>4091087</v>
      </c>
      <c r="B6982" s="115" t="s">
        <v>6721</v>
      </c>
      <c r="C6982" s="117">
        <v>889.58</v>
      </c>
    </row>
    <row r="6983" spans="1:3" x14ac:dyDescent="0.25">
      <c r="A6983" s="115">
        <v>4090099</v>
      </c>
      <c r="B6983" s="115" t="s">
        <v>6722</v>
      </c>
      <c r="C6983" s="117">
        <v>593.41999999999996</v>
      </c>
    </row>
    <row r="6984" spans="1:3" x14ac:dyDescent="0.25">
      <c r="A6984" s="115">
        <v>4091010</v>
      </c>
      <c r="B6984" s="115" t="s">
        <v>6723</v>
      </c>
      <c r="C6984" s="117">
        <v>889.58</v>
      </c>
    </row>
    <row r="6985" spans="1:3" x14ac:dyDescent="0.25">
      <c r="A6985" s="115">
        <v>4091018</v>
      </c>
      <c r="B6985" s="115" t="s">
        <v>6724</v>
      </c>
      <c r="C6985" s="117">
        <v>889.58</v>
      </c>
    </row>
    <row r="6986" spans="1:3" x14ac:dyDescent="0.25">
      <c r="A6986" s="115">
        <v>4091003</v>
      </c>
      <c r="B6986" s="115" t="s">
        <v>6725</v>
      </c>
      <c r="C6986" s="117">
        <v>889.58</v>
      </c>
    </row>
    <row r="6987" spans="1:3" x14ac:dyDescent="0.25">
      <c r="A6987" s="115">
        <v>4091020</v>
      </c>
      <c r="B6987" s="115" t="s">
        <v>6726</v>
      </c>
      <c r="C6987" s="117">
        <v>889.58</v>
      </c>
    </row>
    <row r="6988" spans="1:3" x14ac:dyDescent="0.25">
      <c r="A6988" s="115">
        <v>4091007</v>
      </c>
      <c r="B6988" s="115" t="s">
        <v>6727</v>
      </c>
      <c r="C6988" s="117">
        <v>889.58</v>
      </c>
    </row>
    <row r="6989" spans="1:3" x14ac:dyDescent="0.25">
      <c r="A6989" s="115">
        <v>4091004</v>
      </c>
      <c r="B6989" s="115" t="s">
        <v>6728</v>
      </c>
      <c r="C6989" s="117">
        <v>889.58</v>
      </c>
    </row>
    <row r="6990" spans="1:3" x14ac:dyDescent="0.25">
      <c r="A6990" s="115">
        <v>4091013</v>
      </c>
      <c r="B6990" s="115" t="s">
        <v>6729</v>
      </c>
      <c r="C6990" s="117">
        <v>889.58</v>
      </c>
    </row>
    <row r="6991" spans="1:3" x14ac:dyDescent="0.25">
      <c r="A6991" s="115">
        <v>4091025</v>
      </c>
      <c r="B6991" s="115" t="s">
        <v>6730</v>
      </c>
      <c r="C6991" s="117">
        <v>889.58</v>
      </c>
    </row>
    <row r="6992" spans="1:3" x14ac:dyDescent="0.25">
      <c r="A6992" s="115">
        <v>4091029</v>
      </c>
      <c r="B6992" s="115" t="s">
        <v>6731</v>
      </c>
      <c r="C6992" s="117">
        <v>889.58</v>
      </c>
    </row>
    <row r="6993" spans="1:3" x14ac:dyDescent="0.25">
      <c r="A6993" s="115">
        <v>4092500</v>
      </c>
      <c r="B6993" s="115" t="s">
        <v>6732</v>
      </c>
      <c r="C6993" s="117">
        <v>1035.28</v>
      </c>
    </row>
    <row r="6994" spans="1:3" x14ac:dyDescent="0.25">
      <c r="A6994" s="115">
        <v>4092600</v>
      </c>
      <c r="B6994" s="115" t="s">
        <v>6733</v>
      </c>
      <c r="C6994" s="117">
        <v>2070.56</v>
      </c>
    </row>
    <row r="6995" spans="1:3" x14ac:dyDescent="0.25">
      <c r="A6995" s="144" t="s">
        <v>6734</v>
      </c>
      <c r="B6995" s="145"/>
      <c r="C6995" s="145"/>
    </row>
    <row r="6996" spans="1:3" x14ac:dyDescent="0.25">
      <c r="A6996" s="115">
        <v>4000001</v>
      </c>
      <c r="B6996" s="115" t="s">
        <v>6735</v>
      </c>
      <c r="C6996" s="117">
        <v>2687.99</v>
      </c>
    </row>
    <row r="6997" spans="1:3" x14ac:dyDescent="0.25">
      <c r="A6997" s="115">
        <v>5320730</v>
      </c>
      <c r="B6997" s="115" t="s">
        <v>6736</v>
      </c>
      <c r="C6997" s="117">
        <v>3457.73</v>
      </c>
    </row>
    <row r="6998" spans="1:3" x14ac:dyDescent="0.25">
      <c r="A6998" s="115">
        <v>5320744</v>
      </c>
      <c r="B6998" s="115" t="s">
        <v>6737</v>
      </c>
      <c r="C6998" s="117">
        <v>4476.22</v>
      </c>
    </row>
    <row r="6999" spans="1:3" x14ac:dyDescent="0.25">
      <c r="A6999" s="115">
        <v>5320743</v>
      </c>
      <c r="B6999" s="115" t="s">
        <v>6738</v>
      </c>
      <c r="C6999" s="117">
        <v>4476.22</v>
      </c>
    </row>
    <row r="7000" spans="1:3" x14ac:dyDescent="0.25">
      <c r="A7000" s="115">
        <v>5320760</v>
      </c>
      <c r="B7000" s="115" t="s">
        <v>6739</v>
      </c>
      <c r="C7000" s="117">
        <v>4700.0600000000004</v>
      </c>
    </row>
    <row r="7001" spans="1:3" x14ac:dyDescent="0.25">
      <c r="A7001" s="115">
        <v>5320761</v>
      </c>
      <c r="B7001" s="115" t="s">
        <v>6740</v>
      </c>
      <c r="C7001" s="117">
        <v>4700.0600000000004</v>
      </c>
    </row>
    <row r="7002" spans="1:3" x14ac:dyDescent="0.25">
      <c r="A7002" s="115">
        <v>5320731</v>
      </c>
      <c r="B7002" s="115" t="s">
        <v>6741</v>
      </c>
      <c r="C7002" s="117">
        <v>2529.6</v>
      </c>
    </row>
    <row r="7003" spans="1:3" x14ac:dyDescent="0.25">
      <c r="A7003" s="115">
        <v>5320739</v>
      </c>
      <c r="B7003" s="115" t="s">
        <v>6742</v>
      </c>
      <c r="C7003" s="117">
        <v>2529.6</v>
      </c>
    </row>
    <row r="7004" spans="1:3" x14ac:dyDescent="0.25">
      <c r="A7004" s="115">
        <v>5320755</v>
      </c>
      <c r="B7004" s="115" t="s">
        <v>6743</v>
      </c>
      <c r="C7004" s="117">
        <v>22238.65</v>
      </c>
    </row>
    <row r="7005" spans="1:3" x14ac:dyDescent="0.25">
      <c r="A7005" s="115">
        <v>5320757</v>
      </c>
      <c r="B7005" s="115" t="s">
        <v>6744</v>
      </c>
      <c r="C7005" s="117">
        <v>22238.65</v>
      </c>
    </row>
    <row r="7006" spans="1:3" x14ac:dyDescent="0.25">
      <c r="A7006" s="115">
        <v>5320756</v>
      </c>
      <c r="B7006" s="115" t="s">
        <v>6745</v>
      </c>
      <c r="C7006" s="117">
        <v>22238.65</v>
      </c>
    </row>
    <row r="7007" spans="1:3" x14ac:dyDescent="0.25">
      <c r="A7007" s="115">
        <v>5320737</v>
      </c>
      <c r="B7007" s="115" t="s">
        <v>6746</v>
      </c>
      <c r="C7007" s="117">
        <v>21262.37</v>
      </c>
    </row>
    <row r="7008" spans="1:3" x14ac:dyDescent="0.25">
      <c r="A7008" s="115">
        <v>5320735</v>
      </c>
      <c r="B7008" s="115" t="s">
        <v>6747</v>
      </c>
      <c r="C7008" s="117">
        <v>21262.37</v>
      </c>
    </row>
    <row r="7009" spans="1:3" x14ac:dyDescent="0.25">
      <c r="A7009" s="115">
        <v>5320733</v>
      </c>
      <c r="B7009" s="115" t="s">
        <v>6748</v>
      </c>
      <c r="C7009" s="117">
        <v>21262.37</v>
      </c>
    </row>
    <row r="7010" spans="1:3" x14ac:dyDescent="0.25">
      <c r="A7010" s="115">
        <v>5320734</v>
      </c>
      <c r="B7010" s="115" t="s">
        <v>6749</v>
      </c>
      <c r="C7010" s="117">
        <v>21262.37</v>
      </c>
    </row>
    <row r="7011" spans="1:3" x14ac:dyDescent="0.25">
      <c r="A7011" s="115">
        <v>5320736</v>
      </c>
      <c r="B7011" s="115" t="s">
        <v>6750</v>
      </c>
      <c r="C7011" s="117">
        <v>21262.37</v>
      </c>
    </row>
    <row r="7012" spans="1:3" x14ac:dyDescent="0.25">
      <c r="A7012" s="115">
        <v>5320732</v>
      </c>
      <c r="B7012" s="115" t="s">
        <v>11616</v>
      </c>
      <c r="C7012" s="117">
        <v>21662.86</v>
      </c>
    </row>
    <row r="7013" spans="1:3" x14ac:dyDescent="0.25">
      <c r="A7013" s="115">
        <v>2992275</v>
      </c>
      <c r="B7013" s="115" t="s">
        <v>6751</v>
      </c>
      <c r="C7013" s="117">
        <v>2704.51</v>
      </c>
    </row>
    <row r="7014" spans="1:3" x14ac:dyDescent="0.25">
      <c r="A7014" s="115">
        <v>5320777</v>
      </c>
      <c r="B7014" s="115" t="s">
        <v>6752</v>
      </c>
      <c r="C7014" s="117">
        <v>4140.57</v>
      </c>
    </row>
    <row r="7015" spans="1:3" x14ac:dyDescent="0.25">
      <c r="A7015" s="115">
        <v>5320799</v>
      </c>
      <c r="B7015" s="115" t="s">
        <v>6753</v>
      </c>
      <c r="C7015" s="117">
        <v>3548.72</v>
      </c>
    </row>
    <row r="7016" spans="1:3" x14ac:dyDescent="0.25">
      <c r="A7016" s="115">
        <v>5320798</v>
      </c>
      <c r="B7016" s="115" t="s">
        <v>6754</v>
      </c>
      <c r="C7016" s="117">
        <v>3548.72</v>
      </c>
    </row>
    <row r="7017" spans="1:3" x14ac:dyDescent="0.25">
      <c r="A7017" s="115">
        <v>5320797</v>
      </c>
      <c r="B7017" s="115" t="s">
        <v>6755</v>
      </c>
      <c r="C7017" s="117">
        <v>3348.54</v>
      </c>
    </row>
    <row r="7018" spans="1:3" x14ac:dyDescent="0.25">
      <c r="A7018" s="115">
        <v>5320796</v>
      </c>
      <c r="B7018" s="115" t="s">
        <v>6756</v>
      </c>
      <c r="C7018" s="117">
        <v>3348.54</v>
      </c>
    </row>
    <row r="7019" spans="1:3" x14ac:dyDescent="0.25">
      <c r="A7019" s="115">
        <v>5320773</v>
      </c>
      <c r="B7019" s="115" t="s">
        <v>6757</v>
      </c>
      <c r="C7019" s="117">
        <v>4140.57</v>
      </c>
    </row>
    <row r="7020" spans="1:3" x14ac:dyDescent="0.25">
      <c r="A7020" s="115">
        <v>5320724</v>
      </c>
      <c r="B7020" s="115" t="s">
        <v>6758</v>
      </c>
      <c r="C7020" s="117">
        <v>4140.57</v>
      </c>
    </row>
    <row r="7021" spans="1:3" x14ac:dyDescent="0.25">
      <c r="A7021" s="115">
        <v>5320715</v>
      </c>
      <c r="B7021" s="115" t="s">
        <v>6759</v>
      </c>
      <c r="C7021" s="117">
        <v>3348.54</v>
      </c>
    </row>
    <row r="7022" spans="1:3" x14ac:dyDescent="0.25">
      <c r="A7022" s="115">
        <v>5320714</v>
      </c>
      <c r="B7022" s="115" t="s">
        <v>6760</v>
      </c>
      <c r="C7022" s="117">
        <v>3348.54</v>
      </c>
    </row>
    <row r="7023" spans="1:3" x14ac:dyDescent="0.25">
      <c r="A7023" s="115">
        <v>5320792</v>
      </c>
      <c r="B7023" s="115" t="s">
        <v>6761</v>
      </c>
      <c r="C7023" s="117">
        <v>5004.6099999999997</v>
      </c>
    </row>
    <row r="7024" spans="1:3" x14ac:dyDescent="0.25">
      <c r="A7024" s="115">
        <v>5320793</v>
      </c>
      <c r="B7024" s="115" t="s">
        <v>6762</v>
      </c>
      <c r="C7024" s="117">
        <v>5004.6099999999997</v>
      </c>
    </row>
    <row r="7025" spans="1:3" x14ac:dyDescent="0.25">
      <c r="A7025" s="115">
        <v>5320790</v>
      </c>
      <c r="B7025" s="115" t="s">
        <v>6763</v>
      </c>
      <c r="C7025" s="117">
        <v>4586.04</v>
      </c>
    </row>
    <row r="7026" spans="1:3" x14ac:dyDescent="0.25">
      <c r="A7026" s="115">
        <v>5320791</v>
      </c>
      <c r="B7026" s="115" t="s">
        <v>6764</v>
      </c>
      <c r="C7026" s="117">
        <v>4586.04</v>
      </c>
    </row>
    <row r="7027" spans="1:3" x14ac:dyDescent="0.25">
      <c r="A7027" s="115">
        <v>5320795</v>
      </c>
      <c r="B7027" s="115" t="s">
        <v>6765</v>
      </c>
      <c r="C7027" s="117">
        <v>5004.6099999999997</v>
      </c>
    </row>
    <row r="7028" spans="1:3" x14ac:dyDescent="0.25">
      <c r="A7028" s="115">
        <v>5320794</v>
      </c>
      <c r="B7028" s="115" t="s">
        <v>6766</v>
      </c>
      <c r="C7028" s="117">
        <v>5004.6099999999997</v>
      </c>
    </row>
    <row r="7029" spans="1:3" x14ac:dyDescent="0.25">
      <c r="A7029" s="115">
        <v>5320722</v>
      </c>
      <c r="B7029" s="115" t="s">
        <v>6767</v>
      </c>
      <c r="C7029" s="117">
        <v>3357.16</v>
      </c>
    </row>
    <row r="7030" spans="1:3" x14ac:dyDescent="0.25">
      <c r="A7030" s="115">
        <v>5320771</v>
      </c>
      <c r="B7030" s="115" t="s">
        <v>6768</v>
      </c>
      <c r="C7030" s="117">
        <v>3357.16</v>
      </c>
    </row>
    <row r="7031" spans="1:3" x14ac:dyDescent="0.25">
      <c r="A7031" s="115">
        <v>5320720</v>
      </c>
      <c r="B7031" s="115" t="s">
        <v>6769</v>
      </c>
      <c r="C7031" s="117">
        <v>2311.2199999999998</v>
      </c>
    </row>
    <row r="7032" spans="1:3" x14ac:dyDescent="0.25">
      <c r="A7032" s="115">
        <v>5320775</v>
      </c>
      <c r="B7032" s="115" t="s">
        <v>6770</v>
      </c>
      <c r="C7032" s="117">
        <v>4364.3100000000004</v>
      </c>
    </row>
    <row r="7033" spans="1:3" x14ac:dyDescent="0.25">
      <c r="A7033" s="115">
        <v>5320727</v>
      </c>
      <c r="B7033" s="115" t="s">
        <v>6771</v>
      </c>
      <c r="C7033" s="117">
        <v>4364.3100000000004</v>
      </c>
    </row>
    <row r="7034" spans="1:3" x14ac:dyDescent="0.25">
      <c r="A7034" s="115">
        <v>5320726</v>
      </c>
      <c r="B7034" s="115" t="s">
        <v>6772</v>
      </c>
      <c r="C7034" s="117">
        <v>4140.57</v>
      </c>
    </row>
    <row r="7035" spans="1:3" x14ac:dyDescent="0.25">
      <c r="A7035" s="115">
        <v>5320776</v>
      </c>
      <c r="B7035" s="115" t="s">
        <v>6773</v>
      </c>
      <c r="C7035" s="117">
        <v>4364.3100000000004</v>
      </c>
    </row>
    <row r="7036" spans="1:3" x14ac:dyDescent="0.25">
      <c r="A7036" s="115">
        <v>5320728</v>
      </c>
      <c r="B7036" s="115" t="s">
        <v>6774</v>
      </c>
      <c r="C7036" s="117">
        <v>4364.3100000000004</v>
      </c>
    </row>
    <row r="7037" spans="1:3" x14ac:dyDescent="0.25">
      <c r="A7037" s="115">
        <v>5320723</v>
      </c>
      <c r="B7037" s="115" t="s">
        <v>6775</v>
      </c>
      <c r="C7037" s="117">
        <v>3581.03</v>
      </c>
    </row>
    <row r="7038" spans="1:3" x14ac:dyDescent="0.25">
      <c r="A7038" s="115">
        <v>5320772</v>
      </c>
      <c r="B7038" s="115" t="s">
        <v>6776</v>
      </c>
      <c r="C7038" s="117">
        <v>3130.15</v>
      </c>
    </row>
    <row r="7039" spans="1:3" x14ac:dyDescent="0.25">
      <c r="A7039" s="115">
        <v>5320721</v>
      </c>
      <c r="B7039" s="115" t="s">
        <v>6777</v>
      </c>
      <c r="C7039" s="117">
        <v>2529.6</v>
      </c>
    </row>
    <row r="7040" spans="1:3" x14ac:dyDescent="0.25">
      <c r="A7040" s="115">
        <v>5320738</v>
      </c>
      <c r="B7040" s="115" t="s">
        <v>6778</v>
      </c>
      <c r="C7040" s="117">
        <v>2529.6</v>
      </c>
    </row>
    <row r="7041" spans="1:3" x14ac:dyDescent="0.25">
      <c r="A7041" s="115">
        <v>5320783</v>
      </c>
      <c r="B7041" s="115" t="s">
        <v>6779</v>
      </c>
      <c r="C7041" s="117">
        <v>3348.54</v>
      </c>
    </row>
    <row r="7042" spans="1:3" x14ac:dyDescent="0.25">
      <c r="A7042" s="115">
        <v>5320782</v>
      </c>
      <c r="B7042" s="115" t="s">
        <v>6780</v>
      </c>
      <c r="C7042" s="117">
        <v>3348.54</v>
      </c>
    </row>
    <row r="7043" spans="1:3" x14ac:dyDescent="0.25">
      <c r="A7043" s="115">
        <v>5320781</v>
      </c>
      <c r="B7043" s="115" t="s">
        <v>6781</v>
      </c>
      <c r="C7043" s="117">
        <v>3130.15</v>
      </c>
    </row>
    <row r="7044" spans="1:3" x14ac:dyDescent="0.25">
      <c r="A7044" s="115">
        <v>5320780</v>
      </c>
      <c r="B7044" s="115" t="s">
        <v>6782</v>
      </c>
      <c r="C7044" s="117">
        <v>3130.15</v>
      </c>
    </row>
    <row r="7045" spans="1:3" x14ac:dyDescent="0.25">
      <c r="A7045" s="115">
        <v>5320785</v>
      </c>
      <c r="B7045" s="115" t="s">
        <v>6783</v>
      </c>
      <c r="C7045" s="117">
        <v>3348.54</v>
      </c>
    </row>
    <row r="7046" spans="1:3" x14ac:dyDescent="0.25">
      <c r="A7046" s="115">
        <v>5320784</v>
      </c>
      <c r="B7046" s="115" t="s">
        <v>6784</v>
      </c>
      <c r="C7046" s="117">
        <v>3348.54</v>
      </c>
    </row>
    <row r="7047" spans="1:3" x14ac:dyDescent="0.25">
      <c r="A7047" s="115">
        <v>5320774</v>
      </c>
      <c r="B7047" s="115" t="s">
        <v>6785</v>
      </c>
      <c r="C7047" s="117">
        <v>5279.71</v>
      </c>
    </row>
    <row r="7048" spans="1:3" x14ac:dyDescent="0.25">
      <c r="A7048" s="115">
        <v>5320725</v>
      </c>
      <c r="B7048" s="115" t="s">
        <v>6786</v>
      </c>
      <c r="C7048" s="117">
        <v>5279.71</v>
      </c>
    </row>
    <row r="7049" spans="1:3" x14ac:dyDescent="0.25">
      <c r="A7049" s="115">
        <v>9990230</v>
      </c>
      <c r="B7049" s="115" t="s">
        <v>6787</v>
      </c>
      <c r="C7049" s="117">
        <v>146925.53</v>
      </c>
    </row>
    <row r="7050" spans="1:3" x14ac:dyDescent="0.25">
      <c r="A7050" s="115">
        <v>5320711</v>
      </c>
      <c r="B7050" s="115" t="s">
        <v>6788</v>
      </c>
      <c r="C7050" s="117">
        <v>3075.56</v>
      </c>
    </row>
    <row r="7051" spans="1:3" x14ac:dyDescent="0.25">
      <c r="A7051" s="115">
        <v>5320712</v>
      </c>
      <c r="B7051" s="115" t="s">
        <v>6789</v>
      </c>
      <c r="C7051" s="117">
        <v>3075.56</v>
      </c>
    </row>
    <row r="7052" spans="1:3" x14ac:dyDescent="0.25">
      <c r="A7052" s="115">
        <v>5320754</v>
      </c>
      <c r="B7052" s="115" t="s">
        <v>6790</v>
      </c>
      <c r="C7052" s="117">
        <v>3767.1</v>
      </c>
    </row>
    <row r="7053" spans="1:3" x14ac:dyDescent="0.25">
      <c r="A7053" s="115">
        <v>5320710</v>
      </c>
      <c r="B7053" s="115" t="s">
        <v>6791</v>
      </c>
      <c r="C7053" s="117">
        <v>4476.8500000000004</v>
      </c>
    </row>
    <row r="7054" spans="1:3" x14ac:dyDescent="0.25">
      <c r="A7054" s="115">
        <v>5320729</v>
      </c>
      <c r="B7054" s="115" t="s">
        <v>6792</v>
      </c>
      <c r="C7054" s="117">
        <v>5259.42</v>
      </c>
    </row>
    <row r="7055" spans="1:3" x14ac:dyDescent="0.25">
      <c r="A7055" s="115">
        <v>5320700</v>
      </c>
      <c r="B7055" s="115" t="s">
        <v>6793</v>
      </c>
      <c r="C7055" s="117">
        <v>27570.83</v>
      </c>
    </row>
    <row r="7056" spans="1:3" x14ac:dyDescent="0.25">
      <c r="A7056" s="115">
        <v>5320753</v>
      </c>
      <c r="B7056" s="115" t="s">
        <v>6794</v>
      </c>
      <c r="C7056" s="117">
        <v>6266.82</v>
      </c>
    </row>
    <row r="7057" spans="1:3" x14ac:dyDescent="0.25">
      <c r="A7057" s="115">
        <v>5320751</v>
      </c>
      <c r="B7057" s="115" t="s">
        <v>6795</v>
      </c>
      <c r="C7057" s="117">
        <v>6266.82</v>
      </c>
    </row>
    <row r="7058" spans="1:3" x14ac:dyDescent="0.25">
      <c r="A7058" s="115">
        <v>5320752</v>
      </c>
      <c r="B7058" s="115" t="s">
        <v>6796</v>
      </c>
      <c r="C7058" s="117">
        <v>6266.82</v>
      </c>
    </row>
    <row r="7059" spans="1:3" x14ac:dyDescent="0.25">
      <c r="A7059" s="115">
        <v>5320741</v>
      </c>
      <c r="B7059" s="115" t="s">
        <v>6797</v>
      </c>
      <c r="C7059" s="117">
        <v>7162.07</v>
      </c>
    </row>
    <row r="7060" spans="1:3" x14ac:dyDescent="0.25">
      <c r="A7060" s="115">
        <v>5320740</v>
      </c>
      <c r="B7060" s="115" t="s">
        <v>6798</v>
      </c>
      <c r="C7060" s="117">
        <v>6692.06</v>
      </c>
    </row>
    <row r="7061" spans="1:3" x14ac:dyDescent="0.25">
      <c r="A7061" s="115">
        <v>5320742</v>
      </c>
      <c r="B7061" s="115" t="s">
        <v>6799</v>
      </c>
      <c r="C7061" s="117">
        <v>7162.07</v>
      </c>
    </row>
    <row r="7062" spans="1:3" x14ac:dyDescent="0.25">
      <c r="A7062" s="115">
        <v>9990229</v>
      </c>
      <c r="B7062" s="115" t="s">
        <v>6800</v>
      </c>
      <c r="C7062" s="117">
        <v>10903.35</v>
      </c>
    </row>
    <row r="7063" spans="1:3" x14ac:dyDescent="0.25">
      <c r="A7063" s="115">
        <v>5320749</v>
      </c>
      <c r="B7063" s="115" t="s">
        <v>11617</v>
      </c>
      <c r="C7063" s="117">
        <v>26770.1</v>
      </c>
    </row>
    <row r="7064" spans="1:3" x14ac:dyDescent="0.25">
      <c r="A7064" s="115">
        <v>6999603</v>
      </c>
      <c r="B7064" s="115" t="s">
        <v>6801</v>
      </c>
      <c r="C7064" s="117">
        <v>830.24</v>
      </c>
    </row>
    <row r="7065" spans="1:3" x14ac:dyDescent="0.25">
      <c r="A7065" s="115">
        <v>6999602</v>
      </c>
      <c r="B7065" s="115" t="s">
        <v>6802</v>
      </c>
      <c r="C7065" s="117">
        <v>1031.0899999999999</v>
      </c>
    </row>
    <row r="7066" spans="1:3" x14ac:dyDescent="0.25">
      <c r="A7066" s="115">
        <v>3260101</v>
      </c>
      <c r="B7066" s="115" t="s">
        <v>6803</v>
      </c>
      <c r="C7066" s="117">
        <v>2858.2</v>
      </c>
    </row>
    <row r="7067" spans="1:3" x14ac:dyDescent="0.25">
      <c r="A7067" s="115">
        <v>5321110</v>
      </c>
      <c r="B7067" s="115" t="s">
        <v>6804</v>
      </c>
      <c r="C7067" s="117">
        <v>8076.28</v>
      </c>
    </row>
    <row r="7068" spans="1:3" x14ac:dyDescent="0.25">
      <c r="A7068" s="115">
        <v>5320758</v>
      </c>
      <c r="B7068" s="115" t="s">
        <v>6805</v>
      </c>
      <c r="C7068" s="117">
        <v>26903.439999999999</v>
      </c>
    </row>
    <row r="7069" spans="1:3" x14ac:dyDescent="0.25">
      <c r="A7069" s="115">
        <v>5320759</v>
      </c>
      <c r="B7069" s="115" t="s">
        <v>6806</v>
      </c>
      <c r="C7069" s="117">
        <v>26903.439999999999</v>
      </c>
    </row>
    <row r="7070" spans="1:3" x14ac:dyDescent="0.25">
      <c r="A7070" s="115">
        <v>5320746</v>
      </c>
      <c r="B7070" s="115" t="s">
        <v>11618</v>
      </c>
      <c r="C7070" s="117">
        <v>33157.800000000003</v>
      </c>
    </row>
    <row r="7071" spans="1:3" x14ac:dyDescent="0.25">
      <c r="A7071" s="115">
        <v>5320745</v>
      </c>
      <c r="B7071" s="115" t="s">
        <v>11619</v>
      </c>
      <c r="C7071" s="117">
        <v>33157.800000000003</v>
      </c>
    </row>
    <row r="7072" spans="1:3" x14ac:dyDescent="0.25">
      <c r="A7072" s="115">
        <v>5320704</v>
      </c>
      <c r="B7072" s="115" t="s">
        <v>11620</v>
      </c>
      <c r="C7072" s="117">
        <v>6678.88</v>
      </c>
    </row>
    <row r="7073" spans="1:3" x14ac:dyDescent="0.25">
      <c r="A7073" s="115">
        <v>5320705</v>
      </c>
      <c r="B7073" s="115" t="s">
        <v>12364</v>
      </c>
      <c r="C7073" s="117">
        <v>6187.51</v>
      </c>
    </row>
    <row r="7074" spans="1:3" x14ac:dyDescent="0.25">
      <c r="A7074" s="115">
        <v>5320702</v>
      </c>
      <c r="B7074" s="115" t="s">
        <v>12365</v>
      </c>
      <c r="C7074" s="117">
        <v>3075.56</v>
      </c>
    </row>
    <row r="7075" spans="1:3" x14ac:dyDescent="0.25">
      <c r="A7075" s="115">
        <v>3260102</v>
      </c>
      <c r="B7075" s="115" t="s">
        <v>6807</v>
      </c>
      <c r="C7075" s="117">
        <v>1706.17</v>
      </c>
    </row>
    <row r="7076" spans="1:3" x14ac:dyDescent="0.25">
      <c r="A7076" s="144" t="s">
        <v>6808</v>
      </c>
      <c r="B7076" s="145"/>
      <c r="C7076" s="145"/>
    </row>
    <row r="7077" spans="1:3" x14ac:dyDescent="0.25">
      <c r="A7077" s="115">
        <v>5223200</v>
      </c>
      <c r="B7077" s="115" t="s">
        <v>6809</v>
      </c>
      <c r="C7077" s="117">
        <v>1517.6</v>
      </c>
    </row>
    <row r="7078" spans="1:3" x14ac:dyDescent="0.25">
      <c r="A7078" s="115">
        <v>5520902</v>
      </c>
      <c r="B7078" s="115" t="s">
        <v>6810</v>
      </c>
      <c r="C7078" s="117">
        <v>145.69</v>
      </c>
    </row>
    <row r="7079" spans="1:3" x14ac:dyDescent="0.25">
      <c r="A7079" s="115">
        <v>5341011</v>
      </c>
      <c r="B7079" s="115" t="s">
        <v>6811</v>
      </c>
      <c r="C7079" s="117">
        <v>204.29</v>
      </c>
    </row>
    <row r="7080" spans="1:3" x14ac:dyDescent="0.25">
      <c r="A7080" s="115">
        <v>5341021</v>
      </c>
      <c r="B7080" s="115" t="s">
        <v>6812</v>
      </c>
      <c r="C7080" s="117">
        <v>216.61</v>
      </c>
    </row>
    <row r="7081" spans="1:3" x14ac:dyDescent="0.25">
      <c r="A7081" s="115">
        <v>5340568</v>
      </c>
      <c r="B7081" s="115" t="s">
        <v>6813</v>
      </c>
      <c r="C7081" s="117">
        <v>114.7</v>
      </c>
    </row>
    <row r="7082" spans="1:3" x14ac:dyDescent="0.25">
      <c r="A7082" s="115">
        <v>5121126</v>
      </c>
      <c r="B7082" s="115" t="s">
        <v>6814</v>
      </c>
      <c r="C7082" s="117">
        <v>199.46</v>
      </c>
    </row>
    <row r="7083" spans="1:3" x14ac:dyDescent="0.25">
      <c r="A7083" s="115">
        <v>5121085</v>
      </c>
      <c r="B7083" s="115" t="s">
        <v>6815</v>
      </c>
      <c r="C7083" s="117">
        <v>4870.6499999999996</v>
      </c>
    </row>
    <row r="7084" spans="1:3" x14ac:dyDescent="0.25">
      <c r="A7084" s="115">
        <v>5121100</v>
      </c>
      <c r="B7084" s="115" t="s">
        <v>6816</v>
      </c>
      <c r="C7084" s="117">
        <v>145.19999999999999</v>
      </c>
    </row>
    <row r="7085" spans="1:3" x14ac:dyDescent="0.25">
      <c r="A7085" s="115">
        <v>5121083</v>
      </c>
      <c r="B7085" s="115" t="s">
        <v>6817</v>
      </c>
      <c r="C7085" s="117">
        <v>4870.6499999999996</v>
      </c>
    </row>
    <row r="7086" spans="1:3" x14ac:dyDescent="0.25">
      <c r="A7086" s="115">
        <v>5141600</v>
      </c>
      <c r="B7086" s="115" t="s">
        <v>6818</v>
      </c>
      <c r="C7086" s="117">
        <v>996.87</v>
      </c>
    </row>
    <row r="7087" spans="1:3" x14ac:dyDescent="0.25">
      <c r="A7087" s="115">
        <v>5141500</v>
      </c>
      <c r="B7087" s="115" t="s">
        <v>6819</v>
      </c>
      <c r="C7087" s="117">
        <v>501.12</v>
      </c>
    </row>
    <row r="7088" spans="1:3" x14ac:dyDescent="0.25">
      <c r="A7088" s="115">
        <v>8701103</v>
      </c>
      <c r="B7088" s="115" t="s">
        <v>6820</v>
      </c>
      <c r="C7088" s="117">
        <v>416.5</v>
      </c>
    </row>
    <row r="7089" spans="1:3" x14ac:dyDescent="0.25">
      <c r="A7089" s="115">
        <v>8701101</v>
      </c>
      <c r="B7089" s="115" t="s">
        <v>6821</v>
      </c>
      <c r="C7089" s="117">
        <v>2401.8200000000002</v>
      </c>
    </row>
    <row r="7090" spans="1:3" x14ac:dyDescent="0.25">
      <c r="A7090" s="115">
        <v>8701100</v>
      </c>
      <c r="B7090" s="115" t="s">
        <v>6822</v>
      </c>
      <c r="C7090" s="117">
        <v>2401.8200000000002</v>
      </c>
    </row>
    <row r="7091" spans="1:3" x14ac:dyDescent="0.25">
      <c r="A7091" s="115">
        <v>8701116</v>
      </c>
      <c r="B7091" s="115" t="s">
        <v>6823</v>
      </c>
      <c r="C7091" s="117">
        <v>1057.06</v>
      </c>
    </row>
    <row r="7092" spans="1:3" x14ac:dyDescent="0.25">
      <c r="A7092" s="115">
        <v>8701117</v>
      </c>
      <c r="B7092" s="115" t="s">
        <v>6824</v>
      </c>
      <c r="C7092" s="117">
        <v>1685.06</v>
      </c>
    </row>
    <row r="7093" spans="1:3" x14ac:dyDescent="0.25">
      <c r="A7093" s="115">
        <v>8701115</v>
      </c>
      <c r="B7093" s="115" t="s">
        <v>6825</v>
      </c>
      <c r="C7093" s="117">
        <v>1057.06</v>
      </c>
    </row>
    <row r="7094" spans="1:3" x14ac:dyDescent="0.25">
      <c r="A7094" s="115">
        <v>8701400</v>
      </c>
      <c r="B7094" s="115" t="s">
        <v>6826</v>
      </c>
      <c r="C7094" s="117">
        <v>110.79</v>
      </c>
    </row>
    <row r="7095" spans="1:3" x14ac:dyDescent="0.25">
      <c r="A7095" s="115">
        <v>5991200</v>
      </c>
      <c r="B7095" s="115" t="s">
        <v>6827</v>
      </c>
      <c r="C7095" s="117">
        <v>393.8</v>
      </c>
    </row>
    <row r="7096" spans="1:3" x14ac:dyDescent="0.25">
      <c r="A7096" s="115">
        <v>5163800</v>
      </c>
      <c r="B7096" s="115" t="s">
        <v>6828</v>
      </c>
      <c r="C7096" s="117">
        <v>194.19</v>
      </c>
    </row>
    <row r="7097" spans="1:3" x14ac:dyDescent="0.25">
      <c r="A7097" s="115">
        <v>5161291</v>
      </c>
      <c r="B7097" s="115" t="s">
        <v>6829</v>
      </c>
      <c r="C7097" s="117">
        <v>312.25</v>
      </c>
    </row>
    <row r="7098" spans="1:3" x14ac:dyDescent="0.25">
      <c r="A7098" s="115">
        <v>5161190</v>
      </c>
      <c r="B7098" s="115" t="s">
        <v>6830</v>
      </c>
      <c r="C7098" s="117">
        <v>1616.02</v>
      </c>
    </row>
    <row r="7099" spans="1:3" x14ac:dyDescent="0.25">
      <c r="A7099" s="115">
        <v>5180601</v>
      </c>
      <c r="B7099" s="115" t="s">
        <v>6831</v>
      </c>
      <c r="C7099" s="117">
        <v>458.73</v>
      </c>
    </row>
    <row r="7100" spans="1:3" x14ac:dyDescent="0.25">
      <c r="A7100" s="115">
        <v>5180501</v>
      </c>
      <c r="B7100" s="115" t="s">
        <v>6832</v>
      </c>
      <c r="C7100" s="117">
        <v>458.73</v>
      </c>
    </row>
    <row r="7101" spans="1:3" x14ac:dyDescent="0.25">
      <c r="A7101" s="115">
        <v>5180502</v>
      </c>
      <c r="B7101" s="115" t="s">
        <v>6833</v>
      </c>
      <c r="C7101" s="117">
        <v>458.73</v>
      </c>
    </row>
    <row r="7102" spans="1:3" x14ac:dyDescent="0.25">
      <c r="A7102" s="115">
        <v>5160102</v>
      </c>
      <c r="B7102" s="115" t="s">
        <v>12366</v>
      </c>
      <c r="C7102" s="117">
        <v>3770.76</v>
      </c>
    </row>
    <row r="7103" spans="1:3" x14ac:dyDescent="0.25">
      <c r="A7103" s="115">
        <v>5160100</v>
      </c>
      <c r="B7103" s="115" t="s">
        <v>12367</v>
      </c>
      <c r="C7103" s="117">
        <v>3770.76</v>
      </c>
    </row>
    <row r="7104" spans="1:3" x14ac:dyDescent="0.25">
      <c r="A7104" s="115">
        <v>5221022</v>
      </c>
      <c r="B7104" s="115" t="s">
        <v>6834</v>
      </c>
      <c r="C7104" s="117">
        <v>3194.02</v>
      </c>
    </row>
    <row r="7105" spans="1:3" x14ac:dyDescent="0.25">
      <c r="A7105" s="115">
        <v>5221023</v>
      </c>
      <c r="B7105" s="115" t="s">
        <v>6835</v>
      </c>
      <c r="C7105" s="117">
        <v>3194.02</v>
      </c>
    </row>
    <row r="7106" spans="1:3" x14ac:dyDescent="0.25">
      <c r="A7106" s="115">
        <v>5221076</v>
      </c>
      <c r="B7106" s="115" t="s">
        <v>6836</v>
      </c>
      <c r="C7106" s="117">
        <v>3194.02</v>
      </c>
    </row>
    <row r="7107" spans="1:3" x14ac:dyDescent="0.25">
      <c r="A7107" s="115">
        <v>8701113</v>
      </c>
      <c r="B7107" s="115" t="s">
        <v>6837</v>
      </c>
      <c r="C7107" s="117">
        <v>246.79</v>
      </c>
    </row>
    <row r="7108" spans="1:3" x14ac:dyDescent="0.25">
      <c r="A7108" s="115">
        <v>5381530</v>
      </c>
      <c r="B7108" s="115" t="s">
        <v>6838</v>
      </c>
      <c r="C7108" s="117">
        <v>733.32</v>
      </c>
    </row>
    <row r="7109" spans="1:3" x14ac:dyDescent="0.25">
      <c r="A7109" s="115">
        <v>5381234</v>
      </c>
      <c r="B7109" s="115" t="s">
        <v>6839</v>
      </c>
      <c r="C7109" s="117">
        <v>787.64</v>
      </c>
    </row>
    <row r="7110" spans="1:3" x14ac:dyDescent="0.25">
      <c r="A7110" s="115">
        <v>5381235</v>
      </c>
      <c r="B7110" s="115" t="s">
        <v>6840</v>
      </c>
      <c r="C7110" s="117">
        <v>787.64</v>
      </c>
    </row>
    <row r="7111" spans="1:3" x14ac:dyDescent="0.25">
      <c r="A7111" s="115">
        <v>5160199</v>
      </c>
      <c r="B7111" s="115" t="s">
        <v>12368</v>
      </c>
      <c r="C7111" s="117">
        <v>5659.92</v>
      </c>
    </row>
    <row r="7112" spans="1:3" x14ac:dyDescent="0.25">
      <c r="A7112" s="115">
        <v>5993020</v>
      </c>
      <c r="B7112" s="115" t="s">
        <v>6841</v>
      </c>
      <c r="C7112" s="117">
        <v>8596.77</v>
      </c>
    </row>
    <row r="7113" spans="1:3" x14ac:dyDescent="0.25">
      <c r="A7113" s="115">
        <v>8701277</v>
      </c>
      <c r="B7113" s="115" t="s">
        <v>6842</v>
      </c>
      <c r="C7113" s="117">
        <v>360.64</v>
      </c>
    </row>
    <row r="7114" spans="1:3" x14ac:dyDescent="0.25">
      <c r="A7114" s="115">
        <v>8701224</v>
      </c>
      <c r="B7114" s="115" t="s">
        <v>6843</v>
      </c>
      <c r="C7114" s="117">
        <v>360.64</v>
      </c>
    </row>
    <row r="7115" spans="1:3" x14ac:dyDescent="0.25">
      <c r="A7115" s="115">
        <v>5341600</v>
      </c>
      <c r="B7115" s="115" t="s">
        <v>6844</v>
      </c>
      <c r="C7115" s="117">
        <v>1604.41</v>
      </c>
    </row>
    <row r="7116" spans="1:3" x14ac:dyDescent="0.25">
      <c r="A7116" s="115">
        <v>5341501</v>
      </c>
      <c r="B7116" s="115" t="s">
        <v>6845</v>
      </c>
      <c r="C7116" s="117">
        <v>127.32</v>
      </c>
    </row>
    <row r="7117" spans="1:3" x14ac:dyDescent="0.25">
      <c r="A7117" s="115">
        <v>5341310</v>
      </c>
      <c r="B7117" s="115" t="s">
        <v>6846</v>
      </c>
      <c r="C7117" s="117">
        <v>973.4</v>
      </c>
    </row>
    <row r="7118" spans="1:3" x14ac:dyDescent="0.25">
      <c r="A7118" s="115">
        <v>5567002</v>
      </c>
      <c r="B7118" s="115" t="s">
        <v>6847</v>
      </c>
      <c r="C7118" s="117">
        <v>539.03</v>
      </c>
    </row>
    <row r="7119" spans="1:3" x14ac:dyDescent="0.25">
      <c r="A7119" s="115">
        <v>5567000</v>
      </c>
      <c r="B7119" s="115" t="s">
        <v>6848</v>
      </c>
      <c r="C7119" s="117">
        <v>539.03</v>
      </c>
    </row>
    <row r="7120" spans="1:3" x14ac:dyDescent="0.25">
      <c r="A7120" s="115">
        <v>5567001</v>
      </c>
      <c r="B7120" s="115" t="s">
        <v>6849</v>
      </c>
      <c r="C7120" s="117">
        <v>618.14</v>
      </c>
    </row>
    <row r="7121" spans="1:3" x14ac:dyDescent="0.25">
      <c r="A7121" s="115">
        <v>5342602</v>
      </c>
      <c r="B7121" s="115" t="s">
        <v>6850</v>
      </c>
      <c r="C7121" s="117">
        <v>5115.75</v>
      </c>
    </row>
    <row r="7122" spans="1:3" x14ac:dyDescent="0.25">
      <c r="A7122" s="115">
        <v>5342800</v>
      </c>
      <c r="B7122" s="115" t="s">
        <v>6851</v>
      </c>
      <c r="C7122" s="117">
        <v>2673.8</v>
      </c>
    </row>
    <row r="7123" spans="1:3" x14ac:dyDescent="0.25">
      <c r="A7123" s="115">
        <v>5341020</v>
      </c>
      <c r="B7123" s="115" t="s">
        <v>6852</v>
      </c>
      <c r="C7123" s="117">
        <v>494.3</v>
      </c>
    </row>
    <row r="7124" spans="1:3" x14ac:dyDescent="0.25">
      <c r="A7124" s="115">
        <v>5523200</v>
      </c>
      <c r="B7124" s="115" t="s">
        <v>6853</v>
      </c>
      <c r="C7124" s="117">
        <v>1517.6</v>
      </c>
    </row>
    <row r="7125" spans="1:3" x14ac:dyDescent="0.25">
      <c r="A7125" s="115">
        <v>5221278</v>
      </c>
      <c r="B7125" s="115" t="s">
        <v>6854</v>
      </c>
      <c r="C7125" s="117">
        <v>547.54999999999995</v>
      </c>
    </row>
    <row r="7126" spans="1:3" x14ac:dyDescent="0.25">
      <c r="A7126" s="115">
        <v>5520901</v>
      </c>
      <c r="B7126" s="115" t="s">
        <v>6855</v>
      </c>
      <c r="C7126" s="117">
        <v>145.69</v>
      </c>
    </row>
    <row r="7127" spans="1:3" x14ac:dyDescent="0.25">
      <c r="A7127" s="115">
        <v>5521027</v>
      </c>
      <c r="B7127" s="115" t="s">
        <v>6856</v>
      </c>
      <c r="C7127" s="117">
        <v>3194.02</v>
      </c>
    </row>
    <row r="7128" spans="1:3" x14ac:dyDescent="0.25">
      <c r="A7128" s="115">
        <v>5521023</v>
      </c>
      <c r="B7128" s="115" t="s">
        <v>6857</v>
      </c>
      <c r="C7128" s="117">
        <v>3194.02</v>
      </c>
    </row>
    <row r="7129" spans="1:3" x14ac:dyDescent="0.25">
      <c r="A7129" s="115">
        <v>5521076</v>
      </c>
      <c r="B7129" s="115" t="s">
        <v>6858</v>
      </c>
      <c r="C7129" s="117">
        <v>3194.02</v>
      </c>
    </row>
    <row r="7130" spans="1:3" x14ac:dyDescent="0.25">
      <c r="A7130" s="115">
        <v>5121125</v>
      </c>
      <c r="B7130" s="115" t="s">
        <v>6859</v>
      </c>
      <c r="C7130" s="117">
        <v>2994.64</v>
      </c>
    </row>
    <row r="7131" spans="1:3" x14ac:dyDescent="0.25">
      <c r="A7131" s="115">
        <v>5121565</v>
      </c>
      <c r="B7131" s="115" t="s">
        <v>6860</v>
      </c>
      <c r="C7131" s="117">
        <v>1631.72</v>
      </c>
    </row>
    <row r="7132" spans="1:3" x14ac:dyDescent="0.25">
      <c r="A7132" s="115">
        <v>55250011</v>
      </c>
      <c r="B7132" s="115" t="s">
        <v>6861</v>
      </c>
      <c r="C7132" s="117">
        <v>1504</v>
      </c>
    </row>
    <row r="7133" spans="1:3" x14ac:dyDescent="0.25">
      <c r="A7133" s="115">
        <v>55250005</v>
      </c>
      <c r="B7133" s="115" t="s">
        <v>6862</v>
      </c>
      <c r="C7133" s="117">
        <v>1504</v>
      </c>
    </row>
    <row r="7134" spans="1:3" x14ac:dyDescent="0.25">
      <c r="A7134" s="115">
        <v>55250008</v>
      </c>
      <c r="B7134" s="115" t="s">
        <v>6863</v>
      </c>
      <c r="C7134" s="117">
        <v>1504</v>
      </c>
    </row>
    <row r="7135" spans="1:3" x14ac:dyDescent="0.25">
      <c r="A7135" s="115">
        <v>5525001</v>
      </c>
      <c r="B7135" s="115" t="s">
        <v>6864</v>
      </c>
      <c r="C7135" s="117">
        <v>1504</v>
      </c>
    </row>
    <row r="7136" spans="1:3" x14ac:dyDescent="0.25">
      <c r="A7136" s="115">
        <v>5525010</v>
      </c>
      <c r="B7136" s="115" t="s">
        <v>6865</v>
      </c>
      <c r="C7136" s="117">
        <v>1504</v>
      </c>
    </row>
    <row r="7137" spans="1:3" x14ac:dyDescent="0.25">
      <c r="A7137" s="115">
        <v>55250101</v>
      </c>
      <c r="B7137" s="115" t="s">
        <v>6866</v>
      </c>
      <c r="C7137" s="117">
        <v>1504</v>
      </c>
    </row>
    <row r="7138" spans="1:3" x14ac:dyDescent="0.25">
      <c r="A7138" s="115">
        <v>5525023</v>
      </c>
      <c r="B7138" s="115" t="s">
        <v>6867</v>
      </c>
      <c r="C7138" s="117">
        <v>1504</v>
      </c>
    </row>
    <row r="7139" spans="1:3" x14ac:dyDescent="0.25">
      <c r="A7139" s="115">
        <v>5525043</v>
      </c>
      <c r="B7139" s="115" t="s">
        <v>6868</v>
      </c>
      <c r="C7139" s="117">
        <v>1504</v>
      </c>
    </row>
    <row r="7140" spans="1:3" x14ac:dyDescent="0.25">
      <c r="A7140" s="115">
        <v>5525025</v>
      </c>
      <c r="B7140" s="115" t="s">
        <v>6869</v>
      </c>
      <c r="C7140" s="117">
        <v>1504</v>
      </c>
    </row>
    <row r="7141" spans="1:3" x14ac:dyDescent="0.25">
      <c r="A7141" s="115">
        <v>55250273</v>
      </c>
      <c r="B7141" s="115" t="s">
        <v>6870</v>
      </c>
      <c r="C7141" s="117">
        <v>1504</v>
      </c>
    </row>
    <row r="7142" spans="1:3" x14ac:dyDescent="0.25">
      <c r="A7142" s="115">
        <v>5525032</v>
      </c>
      <c r="B7142" s="115" t="s">
        <v>6871</v>
      </c>
      <c r="C7142" s="117">
        <v>1504</v>
      </c>
    </row>
    <row r="7143" spans="1:3" x14ac:dyDescent="0.25">
      <c r="A7143" s="115">
        <v>5525042</v>
      </c>
      <c r="B7143" s="115" t="s">
        <v>6872</v>
      </c>
      <c r="C7143" s="117">
        <v>1504</v>
      </c>
    </row>
    <row r="7144" spans="1:3" x14ac:dyDescent="0.25">
      <c r="A7144" s="115">
        <v>5525083</v>
      </c>
      <c r="B7144" s="115" t="s">
        <v>6873</v>
      </c>
      <c r="C7144" s="117">
        <v>1504</v>
      </c>
    </row>
    <row r="7145" spans="1:3" x14ac:dyDescent="0.25">
      <c r="A7145" s="115">
        <v>5525028</v>
      </c>
      <c r="B7145" s="115" t="s">
        <v>6874</v>
      </c>
      <c r="C7145" s="117">
        <v>1504</v>
      </c>
    </row>
    <row r="7146" spans="1:3" x14ac:dyDescent="0.25">
      <c r="A7146" s="115">
        <v>5525093</v>
      </c>
      <c r="B7146" s="115" t="s">
        <v>6875</v>
      </c>
      <c r="C7146" s="117">
        <v>1504</v>
      </c>
    </row>
    <row r="7147" spans="1:3" x14ac:dyDescent="0.25">
      <c r="A7147" s="115">
        <v>5525003</v>
      </c>
      <c r="B7147" s="115" t="s">
        <v>6876</v>
      </c>
      <c r="C7147" s="117">
        <v>1504</v>
      </c>
    </row>
    <row r="7148" spans="1:3" x14ac:dyDescent="0.25">
      <c r="A7148" s="115">
        <v>5525004</v>
      </c>
      <c r="B7148" s="115" t="s">
        <v>6877</v>
      </c>
      <c r="C7148" s="117">
        <v>1504</v>
      </c>
    </row>
    <row r="7149" spans="1:3" x14ac:dyDescent="0.25">
      <c r="A7149" s="115">
        <v>5525046</v>
      </c>
      <c r="B7149" s="115" t="s">
        <v>6878</v>
      </c>
      <c r="C7149" s="117">
        <v>1504</v>
      </c>
    </row>
    <row r="7150" spans="1:3" x14ac:dyDescent="0.25">
      <c r="A7150" s="115">
        <v>5525005</v>
      </c>
      <c r="B7150" s="115" t="s">
        <v>6879</v>
      </c>
      <c r="C7150" s="117">
        <v>1504</v>
      </c>
    </row>
    <row r="7151" spans="1:3" x14ac:dyDescent="0.25">
      <c r="A7151" s="115">
        <v>5525051</v>
      </c>
      <c r="B7151" s="115" t="s">
        <v>6880</v>
      </c>
      <c r="C7151" s="117">
        <v>1504</v>
      </c>
    </row>
    <row r="7152" spans="1:3" x14ac:dyDescent="0.25">
      <c r="A7152" s="115">
        <v>55250513</v>
      </c>
      <c r="B7152" s="115" t="s">
        <v>6881</v>
      </c>
      <c r="C7152" s="117">
        <v>1504</v>
      </c>
    </row>
    <row r="7153" spans="1:3" x14ac:dyDescent="0.25">
      <c r="A7153" s="115">
        <v>5525056</v>
      </c>
      <c r="B7153" s="115" t="s">
        <v>6882</v>
      </c>
      <c r="C7153" s="117">
        <v>1504</v>
      </c>
    </row>
    <row r="7154" spans="1:3" x14ac:dyDescent="0.25">
      <c r="A7154" s="115">
        <v>55250566</v>
      </c>
      <c r="B7154" s="115" t="s">
        <v>6883</v>
      </c>
      <c r="C7154" s="117">
        <v>1504</v>
      </c>
    </row>
    <row r="7155" spans="1:3" x14ac:dyDescent="0.25">
      <c r="A7155" s="115">
        <v>5525006</v>
      </c>
      <c r="B7155" s="115" t="s">
        <v>6884</v>
      </c>
      <c r="C7155" s="117">
        <v>1504</v>
      </c>
    </row>
    <row r="7156" spans="1:3" x14ac:dyDescent="0.25">
      <c r="A7156" s="115">
        <v>5525061</v>
      </c>
      <c r="B7156" s="115" t="s">
        <v>6885</v>
      </c>
      <c r="C7156" s="117">
        <v>1504</v>
      </c>
    </row>
    <row r="7157" spans="1:3" x14ac:dyDescent="0.25">
      <c r="A7157" s="115">
        <v>5525064</v>
      </c>
      <c r="B7157" s="115" t="s">
        <v>6886</v>
      </c>
      <c r="C7157" s="117">
        <v>1504</v>
      </c>
    </row>
    <row r="7158" spans="1:3" x14ac:dyDescent="0.25">
      <c r="A7158" s="115">
        <v>5525060</v>
      </c>
      <c r="B7158" s="115" t="s">
        <v>6887</v>
      </c>
      <c r="C7158" s="117">
        <v>1504</v>
      </c>
    </row>
    <row r="7159" spans="1:3" x14ac:dyDescent="0.25">
      <c r="A7159" s="115">
        <v>55250666</v>
      </c>
      <c r="B7159" s="115" t="s">
        <v>6888</v>
      </c>
      <c r="C7159" s="117">
        <v>1504</v>
      </c>
    </row>
    <row r="7160" spans="1:3" x14ac:dyDescent="0.25">
      <c r="A7160" s="115">
        <v>55250673</v>
      </c>
      <c r="B7160" s="115" t="s">
        <v>6889</v>
      </c>
      <c r="C7160" s="117">
        <v>1504</v>
      </c>
    </row>
    <row r="7161" spans="1:3" x14ac:dyDescent="0.25">
      <c r="A7161" s="115">
        <v>5525007</v>
      </c>
      <c r="B7161" s="115" t="s">
        <v>6890</v>
      </c>
      <c r="C7161" s="117">
        <v>1504</v>
      </c>
    </row>
    <row r="7162" spans="1:3" x14ac:dyDescent="0.25">
      <c r="A7162" s="115">
        <v>5525071</v>
      </c>
      <c r="B7162" s="115" t="s">
        <v>6891</v>
      </c>
      <c r="C7162" s="117">
        <v>1504</v>
      </c>
    </row>
    <row r="7163" spans="1:3" x14ac:dyDescent="0.25">
      <c r="A7163" s="115">
        <v>55250711</v>
      </c>
      <c r="B7163" s="115" t="s">
        <v>6892</v>
      </c>
      <c r="C7163" s="117">
        <v>1504</v>
      </c>
    </row>
    <row r="7164" spans="1:3" x14ac:dyDescent="0.25">
      <c r="A7164" s="115">
        <v>5525074</v>
      </c>
      <c r="B7164" s="115" t="s">
        <v>6893</v>
      </c>
      <c r="C7164" s="117">
        <v>1504</v>
      </c>
    </row>
    <row r="7165" spans="1:3" x14ac:dyDescent="0.25">
      <c r="A7165" s="115">
        <v>55250766</v>
      </c>
      <c r="B7165" s="115" t="s">
        <v>6894</v>
      </c>
      <c r="C7165" s="117">
        <v>1504</v>
      </c>
    </row>
    <row r="7166" spans="1:3" x14ac:dyDescent="0.25">
      <c r="A7166" s="115">
        <v>5525008</v>
      </c>
      <c r="B7166" s="115" t="s">
        <v>6895</v>
      </c>
      <c r="C7166" s="117">
        <v>1504</v>
      </c>
    </row>
    <row r="7167" spans="1:3" x14ac:dyDescent="0.25">
      <c r="A7167" s="115">
        <v>5525081</v>
      </c>
      <c r="B7167" s="115" t="s">
        <v>6896</v>
      </c>
      <c r="C7167" s="117">
        <v>1504</v>
      </c>
    </row>
    <row r="7168" spans="1:3" x14ac:dyDescent="0.25">
      <c r="A7168" s="115">
        <v>55250811</v>
      </c>
      <c r="B7168" s="115" t="s">
        <v>6897</v>
      </c>
      <c r="C7168" s="117">
        <v>1504</v>
      </c>
    </row>
    <row r="7169" spans="1:3" x14ac:dyDescent="0.25">
      <c r="A7169" s="115">
        <v>5525084</v>
      </c>
      <c r="B7169" s="115" t="s">
        <v>6898</v>
      </c>
      <c r="C7169" s="117">
        <v>1504</v>
      </c>
    </row>
    <row r="7170" spans="1:3" x14ac:dyDescent="0.25">
      <c r="A7170" s="115">
        <v>55250873</v>
      </c>
      <c r="B7170" s="115" t="s">
        <v>6899</v>
      </c>
      <c r="C7170" s="117">
        <v>1504</v>
      </c>
    </row>
    <row r="7171" spans="1:3" x14ac:dyDescent="0.25">
      <c r="A7171" s="115">
        <v>5525009</v>
      </c>
      <c r="B7171" s="115" t="s">
        <v>6900</v>
      </c>
      <c r="C7171" s="117">
        <v>1504</v>
      </c>
    </row>
    <row r="7172" spans="1:3" x14ac:dyDescent="0.25">
      <c r="A7172" s="115">
        <v>5525091</v>
      </c>
      <c r="B7172" s="115" t="s">
        <v>6901</v>
      </c>
      <c r="C7172" s="117">
        <v>1504</v>
      </c>
    </row>
    <row r="7173" spans="1:3" x14ac:dyDescent="0.25">
      <c r="A7173" s="115">
        <v>5525090</v>
      </c>
      <c r="B7173" s="115" t="s">
        <v>6902</v>
      </c>
      <c r="C7173" s="117">
        <v>1504</v>
      </c>
    </row>
    <row r="7174" spans="1:3" x14ac:dyDescent="0.25">
      <c r="A7174" s="115">
        <v>5564014</v>
      </c>
      <c r="B7174" s="115" t="s">
        <v>6903</v>
      </c>
      <c r="C7174" s="117">
        <v>461.31</v>
      </c>
    </row>
    <row r="7175" spans="1:3" x14ac:dyDescent="0.25">
      <c r="A7175" s="115">
        <v>5564015</v>
      </c>
      <c r="B7175" s="115" t="s">
        <v>6904</v>
      </c>
      <c r="C7175" s="117">
        <v>461.31</v>
      </c>
    </row>
    <row r="7176" spans="1:3" x14ac:dyDescent="0.25">
      <c r="A7176" s="115">
        <v>5341509</v>
      </c>
      <c r="B7176" s="115" t="s">
        <v>6905</v>
      </c>
      <c r="C7176" s="117">
        <v>2320.6799999999998</v>
      </c>
    </row>
    <row r="7177" spans="1:3" x14ac:dyDescent="0.25">
      <c r="A7177" s="115">
        <v>5341510</v>
      </c>
      <c r="B7177" s="115" t="s">
        <v>6906</v>
      </c>
      <c r="C7177" s="117">
        <v>191.27</v>
      </c>
    </row>
    <row r="7178" spans="1:3" x14ac:dyDescent="0.25">
      <c r="A7178" s="115">
        <v>5341508</v>
      </c>
      <c r="B7178" s="115" t="s">
        <v>6907</v>
      </c>
      <c r="C7178" s="117">
        <v>288.89</v>
      </c>
    </row>
    <row r="7179" spans="1:3" x14ac:dyDescent="0.25">
      <c r="A7179" s="144" t="s">
        <v>6908</v>
      </c>
      <c r="B7179" s="145"/>
      <c r="C7179" s="145"/>
    </row>
    <row r="7180" spans="1:3" x14ac:dyDescent="0.25">
      <c r="A7180" s="115">
        <v>6184210</v>
      </c>
      <c r="B7180" s="115" t="s">
        <v>12369</v>
      </c>
      <c r="C7180" s="117">
        <v>13087.3</v>
      </c>
    </row>
    <row r="7181" spans="1:3" x14ac:dyDescent="0.25">
      <c r="A7181" s="115">
        <v>6184200</v>
      </c>
      <c r="B7181" s="115" t="s">
        <v>11962</v>
      </c>
      <c r="C7181" s="117">
        <v>3271.82</v>
      </c>
    </row>
    <row r="7182" spans="1:3" x14ac:dyDescent="0.25">
      <c r="A7182" s="115">
        <v>6180900</v>
      </c>
      <c r="B7182" s="115" t="s">
        <v>12370</v>
      </c>
      <c r="C7182" s="117">
        <v>4907.74</v>
      </c>
    </row>
    <row r="7183" spans="1:3" x14ac:dyDescent="0.25">
      <c r="A7183" s="115">
        <v>6186000</v>
      </c>
      <c r="B7183" s="115" t="s">
        <v>12371</v>
      </c>
      <c r="C7183" s="117">
        <v>3271.82</v>
      </c>
    </row>
    <row r="7184" spans="1:3" x14ac:dyDescent="0.25">
      <c r="A7184" s="115">
        <v>6180800</v>
      </c>
      <c r="B7184" s="115" t="s">
        <v>12372</v>
      </c>
      <c r="C7184" s="117">
        <v>4907.74</v>
      </c>
    </row>
    <row r="7185" spans="1:3" x14ac:dyDescent="0.25">
      <c r="A7185" s="115">
        <v>6180701</v>
      </c>
      <c r="B7185" s="115" t="s">
        <v>12373</v>
      </c>
      <c r="C7185" s="117">
        <v>3271.82</v>
      </c>
    </row>
    <row r="7186" spans="1:3" x14ac:dyDescent="0.25">
      <c r="A7186" s="115">
        <v>6265000</v>
      </c>
      <c r="B7186" s="115" t="s">
        <v>6909</v>
      </c>
      <c r="C7186" s="117">
        <v>3129.32</v>
      </c>
    </row>
    <row r="7187" spans="1:3" x14ac:dyDescent="0.25">
      <c r="A7187" s="115">
        <v>6266000</v>
      </c>
      <c r="B7187" s="115" t="s">
        <v>6910</v>
      </c>
      <c r="C7187" s="117">
        <v>1719.6</v>
      </c>
    </row>
    <row r="7188" spans="1:3" x14ac:dyDescent="0.25">
      <c r="A7188" s="115">
        <v>6161052</v>
      </c>
      <c r="B7188" s="115" t="s">
        <v>6911</v>
      </c>
      <c r="C7188" s="117">
        <v>606.87</v>
      </c>
    </row>
    <row r="7189" spans="1:3" x14ac:dyDescent="0.25">
      <c r="A7189" s="115">
        <v>7181000</v>
      </c>
      <c r="B7189" s="115" t="s">
        <v>6912</v>
      </c>
      <c r="C7189" s="117">
        <v>15627.86</v>
      </c>
    </row>
    <row r="7190" spans="1:3" x14ac:dyDescent="0.25">
      <c r="A7190" s="115">
        <v>7182000</v>
      </c>
      <c r="B7190" s="115" t="s">
        <v>6913</v>
      </c>
      <c r="C7190" s="117">
        <v>11880.35</v>
      </c>
    </row>
    <row r="7191" spans="1:3" x14ac:dyDescent="0.25">
      <c r="A7191" s="115">
        <v>7180561</v>
      </c>
      <c r="B7191" s="115" t="s">
        <v>6914</v>
      </c>
      <c r="C7191" s="117">
        <v>2827.67</v>
      </c>
    </row>
    <row r="7192" spans="1:3" x14ac:dyDescent="0.25">
      <c r="A7192" s="115">
        <v>7185000</v>
      </c>
      <c r="B7192" s="115" t="s">
        <v>6915</v>
      </c>
      <c r="C7192" s="117">
        <v>6444.07</v>
      </c>
    </row>
    <row r="7193" spans="1:3" x14ac:dyDescent="0.25">
      <c r="A7193" s="115">
        <v>7183515</v>
      </c>
      <c r="B7193" s="115" t="s">
        <v>6916</v>
      </c>
      <c r="C7193" s="117">
        <v>15501.96</v>
      </c>
    </row>
    <row r="7194" spans="1:3" x14ac:dyDescent="0.25">
      <c r="A7194" s="115">
        <v>7180425</v>
      </c>
      <c r="B7194" s="115" t="s">
        <v>6917</v>
      </c>
      <c r="C7194" s="117">
        <v>3666.6</v>
      </c>
    </row>
    <row r="7195" spans="1:3" x14ac:dyDescent="0.25">
      <c r="A7195" s="115">
        <v>7187525</v>
      </c>
      <c r="B7195" s="115" t="s">
        <v>6918</v>
      </c>
      <c r="C7195" s="117">
        <v>6646.93</v>
      </c>
    </row>
    <row r="7196" spans="1:3" x14ac:dyDescent="0.25">
      <c r="A7196" s="115">
        <v>6280599</v>
      </c>
      <c r="B7196" s="115" t="s">
        <v>6919</v>
      </c>
      <c r="C7196" s="117">
        <v>5690.35</v>
      </c>
    </row>
    <row r="7197" spans="1:3" x14ac:dyDescent="0.25">
      <c r="A7197" s="115">
        <v>6184225</v>
      </c>
      <c r="B7197" s="115" t="s">
        <v>11963</v>
      </c>
      <c r="C7197" s="117">
        <v>20252.28</v>
      </c>
    </row>
    <row r="7198" spans="1:3" x14ac:dyDescent="0.25">
      <c r="A7198" s="115">
        <v>6180925</v>
      </c>
      <c r="B7198" s="115" t="s">
        <v>12374</v>
      </c>
      <c r="C7198" s="117">
        <v>20252.28</v>
      </c>
    </row>
    <row r="7199" spans="1:3" x14ac:dyDescent="0.25">
      <c r="A7199" s="115">
        <v>6186020</v>
      </c>
      <c r="B7199" s="115" t="s">
        <v>12375</v>
      </c>
      <c r="C7199" s="117">
        <v>20252.28</v>
      </c>
    </row>
    <row r="7200" spans="1:3" x14ac:dyDescent="0.25">
      <c r="A7200" s="115">
        <v>6180825</v>
      </c>
      <c r="B7200" s="115" t="s">
        <v>12376</v>
      </c>
      <c r="C7200" s="117">
        <v>20252.28</v>
      </c>
    </row>
    <row r="7201" spans="1:3" x14ac:dyDescent="0.25">
      <c r="A7201" s="115">
        <v>6180325</v>
      </c>
      <c r="B7201" s="115" t="s">
        <v>6920</v>
      </c>
      <c r="C7201" s="117">
        <v>1655.97</v>
      </c>
    </row>
    <row r="7202" spans="1:3" x14ac:dyDescent="0.25">
      <c r="A7202" s="115">
        <v>6180700</v>
      </c>
      <c r="B7202" s="115" t="s">
        <v>12377</v>
      </c>
      <c r="C7202" s="117">
        <v>20252.28</v>
      </c>
    </row>
    <row r="7203" spans="1:3" x14ac:dyDescent="0.25">
      <c r="A7203" s="115">
        <v>7201230</v>
      </c>
      <c r="B7203" s="115" t="s">
        <v>6921</v>
      </c>
      <c r="C7203" s="117">
        <v>457.14</v>
      </c>
    </row>
    <row r="7204" spans="1:3" x14ac:dyDescent="0.25">
      <c r="A7204" s="115">
        <v>7201200</v>
      </c>
      <c r="B7204" s="115" t="s">
        <v>6922</v>
      </c>
      <c r="C7204" s="117">
        <v>448.13</v>
      </c>
    </row>
    <row r="7205" spans="1:3" x14ac:dyDescent="0.25">
      <c r="A7205" s="115">
        <v>6990934</v>
      </c>
      <c r="B7205" s="115" t="s">
        <v>6923</v>
      </c>
      <c r="C7205" s="117">
        <v>6829.31</v>
      </c>
    </row>
    <row r="7206" spans="1:3" x14ac:dyDescent="0.25">
      <c r="A7206" s="115">
        <v>6992480</v>
      </c>
      <c r="B7206" s="115" t="s">
        <v>6924</v>
      </c>
      <c r="C7206" s="117">
        <v>554.34</v>
      </c>
    </row>
    <row r="7207" spans="1:3" x14ac:dyDescent="0.25">
      <c r="A7207" s="115">
        <v>6992410</v>
      </c>
      <c r="B7207" s="115" t="s">
        <v>6925</v>
      </c>
      <c r="C7207" s="117">
        <v>790.03</v>
      </c>
    </row>
    <row r="7208" spans="1:3" x14ac:dyDescent="0.25">
      <c r="A7208" s="115">
        <v>6992400</v>
      </c>
      <c r="B7208" s="115" t="s">
        <v>6926</v>
      </c>
      <c r="C7208" s="117">
        <v>790.03</v>
      </c>
    </row>
    <row r="7209" spans="1:3" x14ac:dyDescent="0.25">
      <c r="A7209" s="115">
        <v>6992300</v>
      </c>
      <c r="B7209" s="115" t="s">
        <v>6927</v>
      </c>
      <c r="C7209" s="117">
        <v>583.17999999999995</v>
      </c>
    </row>
    <row r="7210" spans="1:3" x14ac:dyDescent="0.25">
      <c r="A7210" s="115">
        <v>6990964</v>
      </c>
      <c r="B7210" s="115" t="s">
        <v>6928</v>
      </c>
      <c r="C7210" s="117">
        <v>254.44</v>
      </c>
    </row>
    <row r="7211" spans="1:3" x14ac:dyDescent="0.25">
      <c r="A7211" s="115">
        <v>6990912</v>
      </c>
      <c r="B7211" s="115" t="s">
        <v>6929</v>
      </c>
      <c r="C7211" s="117">
        <v>189.73</v>
      </c>
    </row>
    <row r="7212" spans="1:3" x14ac:dyDescent="0.25">
      <c r="A7212" s="115">
        <v>6990908</v>
      </c>
      <c r="B7212" s="115" t="s">
        <v>6930</v>
      </c>
      <c r="C7212" s="117">
        <v>189.73</v>
      </c>
    </row>
    <row r="7213" spans="1:3" x14ac:dyDescent="0.25">
      <c r="A7213" s="115">
        <v>6990919</v>
      </c>
      <c r="B7213" s="115" t="s">
        <v>6931</v>
      </c>
      <c r="C7213" s="117">
        <v>194.69</v>
      </c>
    </row>
    <row r="7214" spans="1:3" x14ac:dyDescent="0.25">
      <c r="A7214" s="115">
        <v>6990980</v>
      </c>
      <c r="B7214" s="115" t="s">
        <v>6932</v>
      </c>
      <c r="C7214" s="117">
        <v>194.69</v>
      </c>
    </row>
    <row r="7215" spans="1:3" x14ac:dyDescent="0.25">
      <c r="A7215" s="115">
        <v>6990918</v>
      </c>
      <c r="B7215" s="115" t="s">
        <v>6933</v>
      </c>
      <c r="C7215" s="117">
        <v>194.69</v>
      </c>
    </row>
    <row r="7216" spans="1:3" x14ac:dyDescent="0.25">
      <c r="A7216" s="115">
        <v>6990953</v>
      </c>
      <c r="B7216" s="115" t="s">
        <v>6934</v>
      </c>
      <c r="C7216" s="117">
        <v>189.73</v>
      </c>
    </row>
    <row r="7217" spans="1:3" x14ac:dyDescent="0.25">
      <c r="A7217" s="115">
        <v>6990913</v>
      </c>
      <c r="B7217" s="115" t="s">
        <v>6935</v>
      </c>
      <c r="C7217" s="117">
        <v>189.73</v>
      </c>
    </row>
    <row r="7218" spans="1:3" x14ac:dyDescent="0.25">
      <c r="A7218" s="115">
        <v>6990909</v>
      </c>
      <c r="B7218" s="115" t="s">
        <v>6936</v>
      </c>
      <c r="C7218" s="117">
        <v>189.73</v>
      </c>
    </row>
    <row r="7219" spans="1:3" x14ac:dyDescent="0.25">
      <c r="A7219" s="115">
        <v>6990949</v>
      </c>
      <c r="B7219" s="115" t="s">
        <v>6937</v>
      </c>
      <c r="C7219" s="117">
        <v>189.73</v>
      </c>
    </row>
    <row r="7220" spans="1:3" x14ac:dyDescent="0.25">
      <c r="A7220" s="115">
        <v>6990910</v>
      </c>
      <c r="B7220" s="115" t="s">
        <v>6938</v>
      </c>
      <c r="C7220" s="117">
        <v>189.73</v>
      </c>
    </row>
    <row r="7221" spans="1:3" x14ac:dyDescent="0.25">
      <c r="A7221" s="115">
        <v>6990911</v>
      </c>
      <c r="B7221" s="115" t="s">
        <v>6939</v>
      </c>
      <c r="C7221" s="117">
        <v>189.73</v>
      </c>
    </row>
    <row r="7222" spans="1:3" x14ac:dyDescent="0.25">
      <c r="A7222" s="115">
        <v>6991701</v>
      </c>
      <c r="B7222" s="115" t="s">
        <v>6940</v>
      </c>
      <c r="C7222" s="117">
        <v>39.369999999999997</v>
      </c>
    </row>
    <row r="7223" spans="1:3" x14ac:dyDescent="0.25">
      <c r="A7223" s="115">
        <v>6991700</v>
      </c>
      <c r="B7223" s="115" t="s">
        <v>6941</v>
      </c>
      <c r="C7223" s="117">
        <v>28.89</v>
      </c>
    </row>
    <row r="7224" spans="1:3" x14ac:dyDescent="0.25">
      <c r="A7224" s="115">
        <v>6993826</v>
      </c>
      <c r="B7224" s="115" t="s">
        <v>6942</v>
      </c>
      <c r="C7224" s="117">
        <v>2599.71</v>
      </c>
    </row>
    <row r="7225" spans="1:3" x14ac:dyDescent="0.25">
      <c r="A7225" s="115">
        <v>6993829</v>
      </c>
      <c r="B7225" s="115" t="s">
        <v>6943</v>
      </c>
      <c r="C7225" s="117">
        <v>2599.71</v>
      </c>
    </row>
    <row r="7226" spans="1:3" x14ac:dyDescent="0.25">
      <c r="A7226" s="115">
        <v>6993871</v>
      </c>
      <c r="B7226" s="115" t="s">
        <v>6944</v>
      </c>
      <c r="C7226" s="117">
        <v>51.99</v>
      </c>
    </row>
    <row r="7227" spans="1:3" x14ac:dyDescent="0.25">
      <c r="A7227" s="115">
        <v>6993825</v>
      </c>
      <c r="B7227" s="115" t="s">
        <v>6945</v>
      </c>
      <c r="C7227" s="117">
        <v>2599.71</v>
      </c>
    </row>
    <row r="7228" spans="1:3" x14ac:dyDescent="0.25">
      <c r="A7228" s="115">
        <v>6993425</v>
      </c>
      <c r="B7228" s="115" t="s">
        <v>6946</v>
      </c>
      <c r="C7228" s="117">
        <v>3.94</v>
      </c>
    </row>
    <row r="7229" spans="1:3" x14ac:dyDescent="0.25">
      <c r="A7229" s="115">
        <v>6993823</v>
      </c>
      <c r="B7229" s="115" t="s">
        <v>6947</v>
      </c>
      <c r="C7229" s="117">
        <v>2599.71</v>
      </c>
    </row>
    <row r="7230" spans="1:3" x14ac:dyDescent="0.25">
      <c r="A7230" s="115">
        <v>6993423</v>
      </c>
      <c r="B7230" s="115" t="s">
        <v>6948</v>
      </c>
      <c r="C7230" s="117">
        <v>3.94</v>
      </c>
    </row>
    <row r="7231" spans="1:3" x14ac:dyDescent="0.25">
      <c r="A7231" s="115">
        <v>6993876</v>
      </c>
      <c r="B7231" s="115" t="s">
        <v>6949</v>
      </c>
      <c r="C7231" s="117">
        <v>2599.71</v>
      </c>
    </row>
    <row r="7232" spans="1:3" x14ac:dyDescent="0.25">
      <c r="A7232" s="115">
        <v>6993800</v>
      </c>
      <c r="B7232" s="115" t="s">
        <v>6950</v>
      </c>
      <c r="C7232" s="117">
        <v>51.99</v>
      </c>
    </row>
    <row r="7233" spans="1:3" x14ac:dyDescent="0.25">
      <c r="A7233" s="115">
        <v>6993400</v>
      </c>
      <c r="B7233" s="115" t="s">
        <v>6951</v>
      </c>
      <c r="C7233" s="117">
        <v>3.94</v>
      </c>
    </row>
    <row r="7234" spans="1:3" x14ac:dyDescent="0.25">
      <c r="A7234" s="115">
        <v>6991500</v>
      </c>
      <c r="B7234" s="115" t="s">
        <v>6952</v>
      </c>
      <c r="C7234" s="117">
        <v>235.97</v>
      </c>
    </row>
    <row r="7235" spans="1:3" x14ac:dyDescent="0.25">
      <c r="A7235" s="115">
        <v>6994600</v>
      </c>
      <c r="B7235" s="115" t="s">
        <v>6953</v>
      </c>
      <c r="C7235" s="117">
        <v>1755.14</v>
      </c>
    </row>
    <row r="7236" spans="1:3" x14ac:dyDescent="0.25">
      <c r="A7236" s="115">
        <v>6991600</v>
      </c>
      <c r="B7236" s="115" t="s">
        <v>6954</v>
      </c>
      <c r="C7236" s="117">
        <v>277.61</v>
      </c>
    </row>
    <row r="7237" spans="1:3" x14ac:dyDescent="0.25">
      <c r="A7237" s="115">
        <v>6998000</v>
      </c>
      <c r="B7237" s="115" t="s">
        <v>6955</v>
      </c>
      <c r="C7237" s="117">
        <v>299.95</v>
      </c>
    </row>
    <row r="7238" spans="1:3" x14ac:dyDescent="0.25">
      <c r="A7238" s="115">
        <v>6994040</v>
      </c>
      <c r="B7238" s="115" t="s">
        <v>6956</v>
      </c>
      <c r="C7238" s="117">
        <v>4102.5200000000004</v>
      </c>
    </row>
    <row r="7239" spans="1:3" x14ac:dyDescent="0.25">
      <c r="A7239" s="115">
        <v>6994010</v>
      </c>
      <c r="B7239" s="115" t="s">
        <v>6957</v>
      </c>
      <c r="C7239" s="117">
        <v>200.5</v>
      </c>
    </row>
    <row r="7240" spans="1:3" x14ac:dyDescent="0.25">
      <c r="A7240" s="115">
        <v>6994700</v>
      </c>
      <c r="B7240" s="115" t="s">
        <v>6958</v>
      </c>
      <c r="C7240" s="117">
        <v>1263.1400000000001</v>
      </c>
    </row>
    <row r="7241" spans="1:3" x14ac:dyDescent="0.25">
      <c r="A7241" s="115">
        <v>6994701</v>
      </c>
      <c r="B7241" s="115" t="s">
        <v>6959</v>
      </c>
      <c r="C7241" s="117">
        <v>1755.14</v>
      </c>
    </row>
    <row r="7242" spans="1:3" x14ac:dyDescent="0.25">
      <c r="A7242" s="115">
        <v>6980006</v>
      </c>
      <c r="B7242" s="115" t="s">
        <v>6960</v>
      </c>
      <c r="C7242" s="117">
        <v>426.39</v>
      </c>
    </row>
    <row r="7243" spans="1:3" x14ac:dyDescent="0.25">
      <c r="A7243" s="115">
        <v>6980010</v>
      </c>
      <c r="B7243" s="115" t="s">
        <v>6961</v>
      </c>
      <c r="C7243" s="117">
        <v>910.33</v>
      </c>
    </row>
    <row r="7244" spans="1:3" x14ac:dyDescent="0.25">
      <c r="A7244" s="115">
        <v>6997872</v>
      </c>
      <c r="B7244" s="115" t="s">
        <v>6962</v>
      </c>
      <c r="C7244" s="117">
        <v>1367.92</v>
      </c>
    </row>
    <row r="7245" spans="1:3" x14ac:dyDescent="0.25">
      <c r="A7245" s="115">
        <v>6997875</v>
      </c>
      <c r="B7245" s="115" t="s">
        <v>6963</v>
      </c>
      <c r="C7245" s="117">
        <v>1367.92</v>
      </c>
    </row>
    <row r="7246" spans="1:3" x14ac:dyDescent="0.25">
      <c r="A7246" s="115">
        <v>6997876</v>
      </c>
      <c r="B7246" s="115" t="s">
        <v>6964</v>
      </c>
      <c r="C7246" s="117">
        <v>1367.92</v>
      </c>
    </row>
    <row r="7247" spans="1:3" x14ac:dyDescent="0.25">
      <c r="A7247" s="115">
        <v>6997873</v>
      </c>
      <c r="B7247" s="115" t="s">
        <v>6965</v>
      </c>
      <c r="C7247" s="117">
        <v>1367.92</v>
      </c>
    </row>
    <row r="7248" spans="1:3" x14ac:dyDescent="0.25">
      <c r="A7248" s="115">
        <v>6181022</v>
      </c>
      <c r="B7248" s="115" t="s">
        <v>6966</v>
      </c>
      <c r="C7248" s="117">
        <v>3847.67</v>
      </c>
    </row>
    <row r="7249" spans="1:3" x14ac:dyDescent="0.25">
      <c r="A7249" s="115">
        <v>6251040</v>
      </c>
      <c r="B7249" s="115" t="s">
        <v>6967</v>
      </c>
      <c r="C7249" s="117">
        <v>1369.58</v>
      </c>
    </row>
    <row r="7250" spans="1:3" x14ac:dyDescent="0.25">
      <c r="A7250" s="115">
        <v>6251050</v>
      </c>
      <c r="B7250" s="115" t="s">
        <v>6968</v>
      </c>
      <c r="C7250" s="117">
        <v>1613.86</v>
      </c>
    </row>
    <row r="7251" spans="1:3" x14ac:dyDescent="0.25">
      <c r="A7251" s="115">
        <v>6251129</v>
      </c>
      <c r="B7251" s="115" t="s">
        <v>6969</v>
      </c>
      <c r="C7251" s="117">
        <v>1995.2</v>
      </c>
    </row>
    <row r="7252" spans="1:3" x14ac:dyDescent="0.25">
      <c r="A7252" s="115">
        <v>6251176</v>
      </c>
      <c r="B7252" s="115" t="s">
        <v>6970</v>
      </c>
      <c r="C7252" s="117">
        <v>1995.2</v>
      </c>
    </row>
    <row r="7253" spans="1:3" x14ac:dyDescent="0.25">
      <c r="A7253" s="115">
        <v>6251240</v>
      </c>
      <c r="B7253" s="115" t="s">
        <v>6971</v>
      </c>
      <c r="C7253" s="117">
        <v>1272.6199999999999</v>
      </c>
    </row>
    <row r="7254" spans="1:3" x14ac:dyDescent="0.25">
      <c r="A7254" s="115">
        <v>6251250</v>
      </c>
      <c r="B7254" s="115" t="s">
        <v>6972</v>
      </c>
      <c r="C7254" s="117">
        <v>1505.89</v>
      </c>
    </row>
    <row r="7255" spans="1:3" x14ac:dyDescent="0.25">
      <c r="A7255" s="115">
        <v>6250550</v>
      </c>
      <c r="B7255" s="115" t="s">
        <v>6973</v>
      </c>
      <c r="C7255" s="117">
        <v>355.14</v>
      </c>
    </row>
    <row r="7256" spans="1:3" x14ac:dyDescent="0.25">
      <c r="A7256" s="115">
        <v>6250540</v>
      </c>
      <c r="B7256" s="115" t="s">
        <v>6974</v>
      </c>
      <c r="C7256" s="117">
        <v>306.83999999999997</v>
      </c>
    </row>
    <row r="7257" spans="1:3" x14ac:dyDescent="0.25">
      <c r="A7257" s="115">
        <v>6280640</v>
      </c>
      <c r="B7257" s="115" t="s">
        <v>6975</v>
      </c>
      <c r="C7257" s="117">
        <v>482.99</v>
      </c>
    </row>
    <row r="7258" spans="1:3" x14ac:dyDescent="0.25">
      <c r="A7258" s="115">
        <v>6280650</v>
      </c>
      <c r="B7258" s="115" t="s">
        <v>6976</v>
      </c>
      <c r="C7258" s="117">
        <v>565.36</v>
      </c>
    </row>
    <row r="7259" spans="1:3" x14ac:dyDescent="0.25">
      <c r="A7259" s="115">
        <v>6267800</v>
      </c>
      <c r="B7259" s="115" t="s">
        <v>6977</v>
      </c>
      <c r="C7259" s="117">
        <v>626.78</v>
      </c>
    </row>
    <row r="7260" spans="1:3" x14ac:dyDescent="0.25">
      <c r="A7260" s="115">
        <v>6267100</v>
      </c>
      <c r="B7260" s="115" t="s">
        <v>6978</v>
      </c>
      <c r="C7260" s="117">
        <v>564.41</v>
      </c>
    </row>
    <row r="7261" spans="1:3" x14ac:dyDescent="0.25">
      <c r="A7261" s="115">
        <v>6267600</v>
      </c>
      <c r="B7261" s="115" t="s">
        <v>6979</v>
      </c>
      <c r="C7261" s="117">
        <v>792.43</v>
      </c>
    </row>
    <row r="7262" spans="1:3" x14ac:dyDescent="0.25">
      <c r="A7262" s="115">
        <v>6267200</v>
      </c>
      <c r="B7262" s="115" t="s">
        <v>6980</v>
      </c>
      <c r="C7262" s="117">
        <v>1357.06</v>
      </c>
    </row>
    <row r="7263" spans="1:3" x14ac:dyDescent="0.25">
      <c r="A7263" s="115">
        <v>6267700</v>
      </c>
      <c r="B7263" s="115" t="s">
        <v>6981</v>
      </c>
      <c r="C7263" s="117">
        <v>974.65</v>
      </c>
    </row>
    <row r="7264" spans="1:3" x14ac:dyDescent="0.25">
      <c r="A7264" s="115">
        <v>6266001</v>
      </c>
      <c r="B7264" s="115" t="s">
        <v>6982</v>
      </c>
      <c r="C7264" s="117">
        <v>672.41</v>
      </c>
    </row>
    <row r="7265" spans="1:3" x14ac:dyDescent="0.25">
      <c r="A7265" s="115">
        <v>6265304</v>
      </c>
      <c r="B7265" s="115" t="s">
        <v>6983</v>
      </c>
      <c r="C7265" s="117">
        <v>3335.13</v>
      </c>
    </row>
    <row r="7266" spans="1:3" x14ac:dyDescent="0.25">
      <c r="A7266" s="115">
        <v>6265901</v>
      </c>
      <c r="B7266" s="115" t="s">
        <v>6984</v>
      </c>
      <c r="C7266" s="117">
        <v>672.41</v>
      </c>
    </row>
    <row r="7267" spans="1:3" x14ac:dyDescent="0.25">
      <c r="A7267" s="115">
        <v>6265404</v>
      </c>
      <c r="B7267" s="115" t="s">
        <v>6985</v>
      </c>
      <c r="C7267" s="117">
        <v>3335.13</v>
      </c>
    </row>
    <row r="7268" spans="1:3" x14ac:dyDescent="0.25">
      <c r="A7268" s="115">
        <v>6267500</v>
      </c>
      <c r="B7268" s="115" t="s">
        <v>6986</v>
      </c>
      <c r="C7268" s="117">
        <v>891.5</v>
      </c>
    </row>
    <row r="7269" spans="1:3" x14ac:dyDescent="0.25">
      <c r="A7269" s="115">
        <v>6267000</v>
      </c>
      <c r="B7269" s="115" t="s">
        <v>6987</v>
      </c>
      <c r="C7269" s="117">
        <v>626.78</v>
      </c>
    </row>
    <row r="7270" spans="1:3" x14ac:dyDescent="0.25">
      <c r="A7270" s="115">
        <v>6265100</v>
      </c>
      <c r="B7270" s="115" t="s">
        <v>6988</v>
      </c>
      <c r="C7270" s="117">
        <v>4285.3900000000003</v>
      </c>
    </row>
    <row r="7271" spans="1:3" x14ac:dyDescent="0.25">
      <c r="A7271" s="115">
        <v>6265200</v>
      </c>
      <c r="B7271" s="115" t="s">
        <v>6989</v>
      </c>
      <c r="C7271" s="117">
        <v>5672.32</v>
      </c>
    </row>
    <row r="7272" spans="1:3" x14ac:dyDescent="0.25">
      <c r="A7272" s="115">
        <v>6266402</v>
      </c>
      <c r="B7272" s="115" t="s">
        <v>6990</v>
      </c>
      <c r="C7272" s="117">
        <v>1089.6500000000001</v>
      </c>
    </row>
    <row r="7273" spans="1:3" x14ac:dyDescent="0.25">
      <c r="A7273" s="115">
        <v>6266304</v>
      </c>
      <c r="B7273" s="115" t="s">
        <v>6991</v>
      </c>
      <c r="C7273" s="117">
        <v>1673.89</v>
      </c>
    </row>
    <row r="7274" spans="1:3" x14ac:dyDescent="0.25">
      <c r="A7274" s="115">
        <v>6266100</v>
      </c>
      <c r="B7274" s="115" t="s">
        <v>6992</v>
      </c>
      <c r="C7274" s="117">
        <v>1728.76</v>
      </c>
    </row>
    <row r="7275" spans="1:3" x14ac:dyDescent="0.25">
      <c r="A7275" s="115">
        <v>6266200</v>
      </c>
      <c r="B7275" s="115" t="s">
        <v>6993</v>
      </c>
      <c r="C7275" s="117">
        <v>2314.13</v>
      </c>
    </row>
    <row r="7276" spans="1:3" x14ac:dyDescent="0.25">
      <c r="A7276" s="115">
        <v>6997867</v>
      </c>
      <c r="B7276" s="115" t="s">
        <v>6994</v>
      </c>
      <c r="C7276" s="117">
        <v>1143.82</v>
      </c>
    </row>
    <row r="7277" spans="1:3" x14ac:dyDescent="0.25">
      <c r="A7277" s="115">
        <v>6997869</v>
      </c>
      <c r="B7277" s="115" t="s">
        <v>6995</v>
      </c>
      <c r="C7277" s="117">
        <v>1143.82</v>
      </c>
    </row>
    <row r="7278" spans="1:3" x14ac:dyDescent="0.25">
      <c r="A7278" s="115">
        <v>6997861</v>
      </c>
      <c r="B7278" s="115" t="s">
        <v>6996</v>
      </c>
      <c r="C7278" s="117">
        <v>1143.82</v>
      </c>
    </row>
    <row r="7279" spans="1:3" x14ac:dyDescent="0.25">
      <c r="A7279" s="115">
        <v>6997853</v>
      </c>
      <c r="B7279" s="115" t="s">
        <v>6997</v>
      </c>
      <c r="C7279" s="117">
        <v>1143.82</v>
      </c>
    </row>
    <row r="7280" spans="1:3" x14ac:dyDescent="0.25">
      <c r="A7280" s="115">
        <v>6997865</v>
      </c>
      <c r="B7280" s="115" t="s">
        <v>6998</v>
      </c>
      <c r="C7280" s="117">
        <v>1143.82</v>
      </c>
    </row>
    <row r="7281" spans="1:3" x14ac:dyDescent="0.25">
      <c r="A7281" s="115">
        <v>6997866</v>
      </c>
      <c r="B7281" s="115" t="s">
        <v>6999</v>
      </c>
      <c r="C7281" s="117">
        <v>1143.82</v>
      </c>
    </row>
    <row r="7282" spans="1:3" x14ac:dyDescent="0.25">
      <c r="A7282" s="115">
        <v>6997868</v>
      </c>
      <c r="B7282" s="115" t="s">
        <v>7000</v>
      </c>
      <c r="C7282" s="117">
        <v>1143.82</v>
      </c>
    </row>
    <row r="7283" spans="1:3" x14ac:dyDescent="0.25">
      <c r="A7283" s="115">
        <v>6280530</v>
      </c>
      <c r="B7283" s="115" t="s">
        <v>7001</v>
      </c>
      <c r="C7283" s="117">
        <v>474.18</v>
      </c>
    </row>
    <row r="7284" spans="1:3" x14ac:dyDescent="0.25">
      <c r="A7284" s="115">
        <v>6280520</v>
      </c>
      <c r="B7284" s="115" t="s">
        <v>7002</v>
      </c>
      <c r="C7284" s="117">
        <v>474.18</v>
      </c>
    </row>
    <row r="7285" spans="1:3" x14ac:dyDescent="0.25">
      <c r="A7285" s="115">
        <v>6280510</v>
      </c>
      <c r="B7285" s="115" t="s">
        <v>7003</v>
      </c>
      <c r="C7285" s="117">
        <v>474.18</v>
      </c>
    </row>
    <row r="7286" spans="1:3" x14ac:dyDescent="0.25">
      <c r="A7286" s="115">
        <v>6281275</v>
      </c>
      <c r="B7286" s="115" t="s">
        <v>7004</v>
      </c>
      <c r="C7286" s="117">
        <v>765.73</v>
      </c>
    </row>
    <row r="7287" spans="1:3" x14ac:dyDescent="0.25">
      <c r="A7287" s="115">
        <v>6281229</v>
      </c>
      <c r="B7287" s="115" t="s">
        <v>7005</v>
      </c>
      <c r="C7287" s="117">
        <v>765.73</v>
      </c>
    </row>
    <row r="7288" spans="1:3" x14ac:dyDescent="0.25">
      <c r="A7288" s="115">
        <v>6281220</v>
      </c>
      <c r="B7288" s="115" t="s">
        <v>7006</v>
      </c>
      <c r="C7288" s="117">
        <v>765.73</v>
      </c>
    </row>
    <row r="7289" spans="1:3" x14ac:dyDescent="0.25">
      <c r="A7289" s="115">
        <v>6281244</v>
      </c>
      <c r="B7289" s="115" t="s">
        <v>7007</v>
      </c>
      <c r="C7289" s="117">
        <v>765.73</v>
      </c>
    </row>
    <row r="7290" spans="1:3" x14ac:dyDescent="0.25">
      <c r="A7290" s="115">
        <v>6281263</v>
      </c>
      <c r="B7290" s="115" t="s">
        <v>7008</v>
      </c>
      <c r="C7290" s="117">
        <v>765.73</v>
      </c>
    </row>
    <row r="7291" spans="1:3" x14ac:dyDescent="0.25">
      <c r="A7291" s="115">
        <v>6281276</v>
      </c>
      <c r="B7291" s="115" t="s">
        <v>7009</v>
      </c>
      <c r="C7291" s="117">
        <v>765.73</v>
      </c>
    </row>
    <row r="7292" spans="1:3" x14ac:dyDescent="0.25">
      <c r="A7292" s="115">
        <v>6281083</v>
      </c>
      <c r="B7292" s="115" t="s">
        <v>7010</v>
      </c>
      <c r="C7292" s="117">
        <v>1462.32</v>
      </c>
    </row>
    <row r="7293" spans="1:3" x14ac:dyDescent="0.25">
      <c r="A7293" s="115">
        <v>6281075</v>
      </c>
      <c r="B7293" s="115" t="s">
        <v>7011</v>
      </c>
      <c r="C7293" s="117">
        <v>1462.32</v>
      </c>
    </row>
    <row r="7294" spans="1:3" x14ac:dyDescent="0.25">
      <c r="A7294" s="115">
        <v>6281029</v>
      </c>
      <c r="B7294" s="115" t="s">
        <v>7012</v>
      </c>
      <c r="C7294" s="117">
        <v>1462.32</v>
      </c>
    </row>
    <row r="7295" spans="1:3" x14ac:dyDescent="0.25">
      <c r="A7295" s="115">
        <v>6281400</v>
      </c>
      <c r="B7295" s="115" t="s">
        <v>7013</v>
      </c>
      <c r="C7295" s="117">
        <v>1462.32</v>
      </c>
    </row>
    <row r="7296" spans="1:3" x14ac:dyDescent="0.25">
      <c r="A7296" s="115">
        <v>6281003</v>
      </c>
      <c r="B7296" s="115" t="s">
        <v>7014</v>
      </c>
      <c r="C7296" s="117">
        <v>1462.32</v>
      </c>
    </row>
    <row r="7297" spans="1:3" x14ac:dyDescent="0.25">
      <c r="A7297" s="115">
        <v>6281078</v>
      </c>
      <c r="B7297" s="115" t="s">
        <v>7015</v>
      </c>
      <c r="C7297" s="117">
        <v>1462.32</v>
      </c>
    </row>
    <row r="7298" spans="1:3" x14ac:dyDescent="0.25">
      <c r="A7298" s="115">
        <v>6281044</v>
      </c>
      <c r="B7298" s="115" t="s">
        <v>7016</v>
      </c>
      <c r="C7298" s="117">
        <v>1462.32</v>
      </c>
    </row>
    <row r="7299" spans="1:3" x14ac:dyDescent="0.25">
      <c r="A7299" s="115">
        <v>6281063</v>
      </c>
      <c r="B7299" s="115" t="s">
        <v>7017</v>
      </c>
      <c r="C7299" s="117">
        <v>1462.32</v>
      </c>
    </row>
    <row r="7300" spans="1:3" x14ac:dyDescent="0.25">
      <c r="A7300" s="115">
        <v>6281076</v>
      </c>
      <c r="B7300" s="115" t="s">
        <v>7018</v>
      </c>
      <c r="C7300" s="117">
        <v>1462.32</v>
      </c>
    </row>
    <row r="7301" spans="1:3" x14ac:dyDescent="0.25">
      <c r="A7301" s="115">
        <v>6281077</v>
      </c>
      <c r="B7301" s="115" t="s">
        <v>7019</v>
      </c>
      <c r="C7301" s="117">
        <v>1462.32</v>
      </c>
    </row>
    <row r="7302" spans="1:3" x14ac:dyDescent="0.25">
      <c r="A7302" s="115">
        <v>6281000</v>
      </c>
      <c r="B7302" s="115" t="s">
        <v>7020</v>
      </c>
      <c r="C7302" s="117">
        <v>1462.32</v>
      </c>
    </row>
    <row r="7303" spans="1:3" x14ac:dyDescent="0.25">
      <c r="A7303" s="115">
        <v>6281092</v>
      </c>
      <c r="B7303" s="115" t="s">
        <v>7021</v>
      </c>
      <c r="C7303" s="117">
        <v>1462.32</v>
      </c>
    </row>
    <row r="7304" spans="1:3" x14ac:dyDescent="0.25">
      <c r="A7304" s="115">
        <v>6281104</v>
      </c>
      <c r="B7304" s="115" t="s">
        <v>7022</v>
      </c>
      <c r="C7304" s="117">
        <v>20282.259999999998</v>
      </c>
    </row>
    <row r="7305" spans="1:3" x14ac:dyDescent="0.25">
      <c r="A7305" s="115">
        <v>6281100</v>
      </c>
      <c r="B7305" s="115" t="s">
        <v>7023</v>
      </c>
      <c r="C7305" s="117">
        <v>1267.6400000000001</v>
      </c>
    </row>
    <row r="7306" spans="1:3" x14ac:dyDescent="0.25">
      <c r="A7306" s="115">
        <v>6997851</v>
      </c>
      <c r="B7306" s="115" t="s">
        <v>7024</v>
      </c>
      <c r="C7306" s="117">
        <v>913.19</v>
      </c>
    </row>
    <row r="7307" spans="1:3" x14ac:dyDescent="0.25">
      <c r="A7307" s="115">
        <v>6991100</v>
      </c>
      <c r="B7307" s="115" t="s">
        <v>7025</v>
      </c>
      <c r="C7307" s="117">
        <v>4054.62</v>
      </c>
    </row>
    <row r="7308" spans="1:3" x14ac:dyDescent="0.25">
      <c r="A7308" s="115">
        <v>6996200</v>
      </c>
      <c r="B7308" s="115" t="s">
        <v>7026</v>
      </c>
      <c r="C7308" s="117">
        <v>3764.82</v>
      </c>
    </row>
    <row r="7309" spans="1:3" x14ac:dyDescent="0.25">
      <c r="A7309" s="115">
        <v>6281299</v>
      </c>
      <c r="B7309" s="115" t="s">
        <v>7027</v>
      </c>
      <c r="C7309" s="117">
        <v>2290.84</v>
      </c>
    </row>
    <row r="7310" spans="1:3" x14ac:dyDescent="0.25">
      <c r="A7310" s="115">
        <v>6993102</v>
      </c>
      <c r="B7310" s="115" t="s">
        <v>7028</v>
      </c>
      <c r="C7310" s="117">
        <v>385.62</v>
      </c>
    </row>
    <row r="7311" spans="1:3" x14ac:dyDescent="0.25">
      <c r="A7311" s="115">
        <v>6993101</v>
      </c>
      <c r="B7311" s="115" t="s">
        <v>7029</v>
      </c>
      <c r="C7311" s="117">
        <v>385.63</v>
      </c>
    </row>
    <row r="7312" spans="1:3" x14ac:dyDescent="0.25">
      <c r="A7312" s="115">
        <v>6993103</v>
      </c>
      <c r="B7312" s="115" t="s">
        <v>7030</v>
      </c>
      <c r="C7312" s="117">
        <v>385.62</v>
      </c>
    </row>
    <row r="7313" spans="1:3" x14ac:dyDescent="0.25">
      <c r="A7313" s="115">
        <v>6993104</v>
      </c>
      <c r="B7313" s="115" t="s">
        <v>7031</v>
      </c>
      <c r="C7313" s="117">
        <v>385.62</v>
      </c>
    </row>
    <row r="7314" spans="1:3" x14ac:dyDescent="0.25">
      <c r="A7314" s="115">
        <v>6993110</v>
      </c>
      <c r="B7314" s="115" t="s">
        <v>7032</v>
      </c>
      <c r="C7314" s="117">
        <v>771.26</v>
      </c>
    </row>
    <row r="7315" spans="1:3" x14ac:dyDescent="0.25">
      <c r="A7315" s="115">
        <v>6993105</v>
      </c>
      <c r="B7315" s="115" t="s">
        <v>7033</v>
      </c>
      <c r="C7315" s="117">
        <v>385.62</v>
      </c>
    </row>
    <row r="7316" spans="1:3" x14ac:dyDescent="0.25">
      <c r="A7316" s="115">
        <v>6321401</v>
      </c>
      <c r="B7316" s="115" t="s">
        <v>7034</v>
      </c>
      <c r="C7316" s="117">
        <v>182.39</v>
      </c>
    </row>
    <row r="7317" spans="1:3" x14ac:dyDescent="0.25">
      <c r="A7317" s="115">
        <v>6321400</v>
      </c>
      <c r="B7317" s="115" t="s">
        <v>7035</v>
      </c>
      <c r="C7317" s="117">
        <v>182.39</v>
      </c>
    </row>
    <row r="7318" spans="1:3" x14ac:dyDescent="0.25">
      <c r="A7318" s="115">
        <v>6321501</v>
      </c>
      <c r="B7318" s="115" t="s">
        <v>7036</v>
      </c>
      <c r="C7318" s="117">
        <v>344.74</v>
      </c>
    </row>
    <row r="7319" spans="1:3" x14ac:dyDescent="0.25">
      <c r="A7319" s="115">
        <v>6321500</v>
      </c>
      <c r="B7319" s="115" t="s">
        <v>7037</v>
      </c>
      <c r="C7319" s="117">
        <v>344.74</v>
      </c>
    </row>
    <row r="7320" spans="1:3" x14ac:dyDescent="0.25">
      <c r="A7320" s="115">
        <v>6321301</v>
      </c>
      <c r="B7320" s="115" t="s">
        <v>7038</v>
      </c>
      <c r="C7320" s="117">
        <v>319.18</v>
      </c>
    </row>
    <row r="7321" spans="1:3" x14ac:dyDescent="0.25">
      <c r="A7321" s="115">
        <v>6321300</v>
      </c>
      <c r="B7321" s="115" t="s">
        <v>7039</v>
      </c>
      <c r="C7321" s="117">
        <v>319.18</v>
      </c>
    </row>
    <row r="7322" spans="1:3" x14ac:dyDescent="0.25">
      <c r="A7322" s="144" t="s">
        <v>7040</v>
      </c>
      <c r="B7322" s="145"/>
      <c r="C7322" s="145"/>
    </row>
    <row r="7323" spans="1:3" x14ac:dyDescent="0.25">
      <c r="A7323" s="115">
        <v>5341800</v>
      </c>
      <c r="B7323" s="115" t="s">
        <v>11964</v>
      </c>
      <c r="C7323" s="117">
        <v>782.79</v>
      </c>
    </row>
    <row r="7324" spans="1:3" x14ac:dyDescent="0.25">
      <c r="A7324" s="115">
        <v>5991400</v>
      </c>
      <c r="B7324" s="115" t="s">
        <v>7041</v>
      </c>
      <c r="C7324" s="117">
        <v>358.54</v>
      </c>
    </row>
    <row r="7325" spans="1:3" x14ac:dyDescent="0.25">
      <c r="A7325" s="115">
        <v>5991501</v>
      </c>
      <c r="B7325" s="115" t="s">
        <v>7042</v>
      </c>
      <c r="C7325" s="117">
        <v>3214.19</v>
      </c>
    </row>
    <row r="7326" spans="1:3" x14ac:dyDescent="0.25">
      <c r="A7326" s="115">
        <v>5990548</v>
      </c>
      <c r="B7326" s="115" t="s">
        <v>7043</v>
      </c>
      <c r="C7326" s="117">
        <v>1904.09</v>
      </c>
    </row>
    <row r="7327" spans="1:3" x14ac:dyDescent="0.25">
      <c r="A7327" s="115">
        <v>8208005</v>
      </c>
      <c r="B7327" s="115" t="s">
        <v>7044</v>
      </c>
      <c r="C7327" s="117">
        <v>353.9</v>
      </c>
    </row>
    <row r="7328" spans="1:3" x14ac:dyDescent="0.25">
      <c r="A7328" s="115">
        <v>8208007</v>
      </c>
      <c r="B7328" s="115" t="s">
        <v>7045</v>
      </c>
      <c r="C7328" s="117">
        <v>353.9</v>
      </c>
    </row>
    <row r="7329" spans="1:3" x14ac:dyDescent="0.25">
      <c r="A7329" s="115">
        <v>5162070</v>
      </c>
      <c r="B7329" s="115" t="s">
        <v>7046</v>
      </c>
      <c r="C7329" s="117">
        <v>1276.52</v>
      </c>
    </row>
    <row r="7330" spans="1:3" x14ac:dyDescent="0.25">
      <c r="A7330" s="115">
        <v>8702052</v>
      </c>
      <c r="B7330" s="115" t="s">
        <v>7047</v>
      </c>
      <c r="C7330" s="117">
        <v>2271.31</v>
      </c>
    </row>
    <row r="7331" spans="1:3" x14ac:dyDescent="0.25">
      <c r="A7331" s="115">
        <v>8702000</v>
      </c>
      <c r="B7331" s="115" t="s">
        <v>7048</v>
      </c>
      <c r="C7331" s="117">
        <v>2271.31</v>
      </c>
    </row>
    <row r="7332" spans="1:3" x14ac:dyDescent="0.25">
      <c r="A7332" s="115">
        <v>5261030</v>
      </c>
      <c r="B7332" s="115" t="s">
        <v>7049</v>
      </c>
      <c r="C7332" s="117">
        <v>328.25</v>
      </c>
    </row>
    <row r="7333" spans="1:3" x14ac:dyDescent="0.25">
      <c r="A7333" s="115">
        <v>5261010</v>
      </c>
      <c r="B7333" s="115" t="s">
        <v>7050</v>
      </c>
      <c r="C7333" s="117">
        <v>1383.03</v>
      </c>
    </row>
    <row r="7334" spans="1:3" x14ac:dyDescent="0.25">
      <c r="A7334" s="115">
        <v>5261020</v>
      </c>
      <c r="B7334" s="115" t="s">
        <v>7051</v>
      </c>
      <c r="C7334" s="117">
        <v>1383.03</v>
      </c>
    </row>
    <row r="7335" spans="1:3" x14ac:dyDescent="0.25">
      <c r="A7335" s="115">
        <v>5261072</v>
      </c>
      <c r="B7335" s="115" t="s">
        <v>7052</v>
      </c>
      <c r="C7335" s="117">
        <v>1611.67</v>
      </c>
    </row>
    <row r="7336" spans="1:3" x14ac:dyDescent="0.25">
      <c r="A7336" s="115">
        <v>5261100</v>
      </c>
      <c r="B7336" s="115" t="s">
        <v>7053</v>
      </c>
      <c r="C7336" s="117">
        <v>456.15</v>
      </c>
    </row>
    <row r="7337" spans="1:3" x14ac:dyDescent="0.25">
      <c r="A7337" s="115">
        <v>5261112</v>
      </c>
      <c r="B7337" s="115" t="s">
        <v>7054</v>
      </c>
      <c r="C7337" s="117">
        <v>1315.85</v>
      </c>
    </row>
    <row r="7338" spans="1:3" x14ac:dyDescent="0.25">
      <c r="A7338" s="115">
        <v>5360502</v>
      </c>
      <c r="B7338" s="115" t="s">
        <v>7055</v>
      </c>
      <c r="C7338" s="117">
        <v>399.63</v>
      </c>
    </row>
    <row r="7339" spans="1:3" x14ac:dyDescent="0.25">
      <c r="A7339" s="115">
        <v>5360501</v>
      </c>
      <c r="B7339" s="115" t="s">
        <v>7056</v>
      </c>
      <c r="C7339" s="117">
        <v>378.77</v>
      </c>
    </row>
    <row r="7340" spans="1:3" x14ac:dyDescent="0.25">
      <c r="A7340" s="115">
        <v>5360605</v>
      </c>
      <c r="B7340" s="115" t="s">
        <v>7057</v>
      </c>
      <c r="C7340" s="117">
        <v>361.7</v>
      </c>
    </row>
    <row r="7341" spans="1:3" x14ac:dyDescent="0.25">
      <c r="A7341" s="115">
        <v>5360604</v>
      </c>
      <c r="B7341" s="115" t="s">
        <v>7058</v>
      </c>
      <c r="C7341" s="117">
        <v>293.43</v>
      </c>
    </row>
    <row r="7342" spans="1:3" x14ac:dyDescent="0.25">
      <c r="A7342" s="115">
        <v>5360606</v>
      </c>
      <c r="B7342" s="115" t="s">
        <v>7059</v>
      </c>
      <c r="C7342" s="117">
        <v>348.43</v>
      </c>
    </row>
    <row r="7343" spans="1:3" x14ac:dyDescent="0.25">
      <c r="A7343" s="115">
        <v>5361029</v>
      </c>
      <c r="B7343" s="115" t="s">
        <v>7060</v>
      </c>
      <c r="C7343" s="117">
        <v>4030.66</v>
      </c>
    </row>
    <row r="7344" spans="1:3" x14ac:dyDescent="0.25">
      <c r="A7344" s="115">
        <v>5361036</v>
      </c>
      <c r="B7344" s="115" t="s">
        <v>7061</v>
      </c>
      <c r="C7344" s="117">
        <v>5744.22</v>
      </c>
    </row>
    <row r="7345" spans="1:3" x14ac:dyDescent="0.25">
      <c r="A7345" s="115">
        <v>5361076</v>
      </c>
      <c r="B7345" s="115" t="s">
        <v>7062</v>
      </c>
      <c r="C7345" s="117">
        <v>3492.88</v>
      </c>
    </row>
    <row r="7346" spans="1:3" x14ac:dyDescent="0.25">
      <c r="A7346" s="115">
        <v>8208003</v>
      </c>
      <c r="B7346" s="115" t="s">
        <v>7063</v>
      </c>
      <c r="C7346" s="117">
        <v>397.37</v>
      </c>
    </row>
    <row r="7347" spans="1:3" x14ac:dyDescent="0.25">
      <c r="A7347" s="115">
        <v>8208004</v>
      </c>
      <c r="B7347" s="115" t="s">
        <v>7064</v>
      </c>
      <c r="C7347" s="117">
        <v>187.85</v>
      </c>
    </row>
    <row r="7348" spans="1:3" x14ac:dyDescent="0.25">
      <c r="A7348" s="115">
        <v>8208009</v>
      </c>
      <c r="B7348" s="115" t="s">
        <v>7065</v>
      </c>
      <c r="C7348" s="117">
        <v>432.67</v>
      </c>
    </row>
    <row r="7349" spans="1:3" x14ac:dyDescent="0.25">
      <c r="A7349" s="115">
        <v>5421206</v>
      </c>
      <c r="B7349" s="115" t="s">
        <v>7066</v>
      </c>
      <c r="C7349" s="117">
        <v>184.37</v>
      </c>
    </row>
    <row r="7350" spans="1:3" x14ac:dyDescent="0.25">
      <c r="A7350" s="115">
        <v>5421512</v>
      </c>
      <c r="B7350" s="115" t="s">
        <v>7067</v>
      </c>
      <c r="C7350" s="117">
        <v>579.07000000000005</v>
      </c>
    </row>
    <row r="7351" spans="1:3" x14ac:dyDescent="0.25">
      <c r="A7351" s="115">
        <v>5420502</v>
      </c>
      <c r="B7351" s="115" t="s">
        <v>7068</v>
      </c>
      <c r="C7351" s="117">
        <v>520.67999999999995</v>
      </c>
    </row>
    <row r="7352" spans="1:3" x14ac:dyDescent="0.25">
      <c r="A7352" s="115">
        <v>5420503</v>
      </c>
      <c r="B7352" s="115" t="s">
        <v>7069</v>
      </c>
      <c r="C7352" s="117">
        <v>444.16</v>
      </c>
    </row>
    <row r="7353" spans="1:3" x14ac:dyDescent="0.25">
      <c r="A7353" s="115">
        <v>5420501</v>
      </c>
      <c r="B7353" s="115" t="s">
        <v>7070</v>
      </c>
      <c r="C7353" s="117">
        <v>526.04999999999995</v>
      </c>
    </row>
    <row r="7354" spans="1:3" x14ac:dyDescent="0.25">
      <c r="A7354" s="115">
        <v>5442080</v>
      </c>
      <c r="B7354" s="115" t="s">
        <v>7071</v>
      </c>
      <c r="C7354" s="117">
        <v>2696.16</v>
      </c>
    </row>
    <row r="7355" spans="1:3" x14ac:dyDescent="0.25">
      <c r="A7355" s="115">
        <v>5442330</v>
      </c>
      <c r="B7355" s="115" t="s">
        <v>11965</v>
      </c>
      <c r="C7355" s="117">
        <v>1951.14</v>
      </c>
    </row>
    <row r="7356" spans="1:3" x14ac:dyDescent="0.25">
      <c r="A7356" s="115">
        <v>5442030</v>
      </c>
      <c r="B7356" s="115" t="s">
        <v>7072</v>
      </c>
      <c r="C7356" s="117">
        <v>1155.49</v>
      </c>
    </row>
    <row r="7357" spans="1:3" x14ac:dyDescent="0.25">
      <c r="A7357" s="115">
        <v>5442130</v>
      </c>
      <c r="B7357" s="115" t="s">
        <v>7073</v>
      </c>
      <c r="C7357" s="117">
        <v>1156.1099999999999</v>
      </c>
    </row>
    <row r="7358" spans="1:3" x14ac:dyDescent="0.25">
      <c r="A7358" s="115">
        <v>5440501</v>
      </c>
      <c r="B7358" s="115" t="s">
        <v>7074</v>
      </c>
      <c r="C7358" s="117">
        <v>396.3</v>
      </c>
    </row>
    <row r="7359" spans="1:3" x14ac:dyDescent="0.25">
      <c r="A7359" s="115">
        <v>5440502</v>
      </c>
      <c r="B7359" s="115" t="s">
        <v>7075</v>
      </c>
      <c r="C7359" s="117">
        <v>355.86</v>
      </c>
    </row>
    <row r="7360" spans="1:3" x14ac:dyDescent="0.25">
      <c r="A7360" s="115">
        <v>5440503</v>
      </c>
      <c r="B7360" s="115" t="s">
        <v>7076</v>
      </c>
      <c r="C7360" s="117">
        <v>307.08</v>
      </c>
    </row>
    <row r="7361" spans="1:3" x14ac:dyDescent="0.25">
      <c r="A7361" s="115">
        <v>5442531</v>
      </c>
      <c r="B7361" s="115" t="s">
        <v>7077</v>
      </c>
      <c r="C7361" s="117">
        <v>2054.2600000000002</v>
      </c>
    </row>
    <row r="7362" spans="1:3" x14ac:dyDescent="0.25">
      <c r="A7362" s="115">
        <v>8705010</v>
      </c>
      <c r="B7362" s="115" t="s">
        <v>7078</v>
      </c>
      <c r="C7362" s="117">
        <v>98.78</v>
      </c>
    </row>
    <row r="7363" spans="1:3" x14ac:dyDescent="0.25">
      <c r="A7363" s="115">
        <v>5261212</v>
      </c>
      <c r="B7363" s="115" t="s">
        <v>7079</v>
      </c>
      <c r="C7363" s="117">
        <v>1733.61</v>
      </c>
    </row>
    <row r="7364" spans="1:3" x14ac:dyDescent="0.25">
      <c r="A7364" s="115">
        <v>5261224</v>
      </c>
      <c r="B7364" s="115" t="s">
        <v>7080</v>
      </c>
      <c r="C7364" s="117">
        <v>3381.4</v>
      </c>
    </row>
    <row r="7365" spans="1:3" x14ac:dyDescent="0.25">
      <c r="A7365" s="115">
        <v>5481056</v>
      </c>
      <c r="B7365" s="115" t="s">
        <v>12378</v>
      </c>
      <c r="C7365" s="117">
        <v>4571.62</v>
      </c>
    </row>
    <row r="7366" spans="1:3" x14ac:dyDescent="0.25">
      <c r="A7366" s="115">
        <v>5481020</v>
      </c>
      <c r="B7366" s="115" t="s">
        <v>7081</v>
      </c>
      <c r="C7366" s="117">
        <v>2950.65</v>
      </c>
    </row>
    <row r="7367" spans="1:3" x14ac:dyDescent="0.25">
      <c r="A7367" s="115">
        <v>5481010</v>
      </c>
      <c r="B7367" s="115" t="s">
        <v>7082</v>
      </c>
      <c r="C7367" s="117">
        <v>1660.3</v>
      </c>
    </row>
    <row r="7368" spans="1:3" x14ac:dyDescent="0.25">
      <c r="A7368" s="115">
        <v>5502020</v>
      </c>
      <c r="B7368" s="115" t="s">
        <v>7083</v>
      </c>
      <c r="C7368" s="117">
        <v>1102.05</v>
      </c>
    </row>
    <row r="7369" spans="1:3" x14ac:dyDescent="0.25">
      <c r="A7369" s="115">
        <v>5502010</v>
      </c>
      <c r="B7369" s="115" t="s">
        <v>7084</v>
      </c>
      <c r="C7369" s="117">
        <v>1301.9100000000001</v>
      </c>
    </row>
    <row r="7370" spans="1:3" x14ac:dyDescent="0.25">
      <c r="A7370" s="115">
        <v>5502024</v>
      </c>
      <c r="B7370" s="115" t="s">
        <v>7085</v>
      </c>
      <c r="C7370" s="117">
        <v>1431.05</v>
      </c>
    </row>
    <row r="7371" spans="1:3" x14ac:dyDescent="0.25">
      <c r="A7371" s="115">
        <v>5502050</v>
      </c>
      <c r="B7371" s="115" t="s">
        <v>7086</v>
      </c>
      <c r="C7371" s="117">
        <v>1102.05</v>
      </c>
    </row>
    <row r="7372" spans="1:3" x14ac:dyDescent="0.25">
      <c r="A7372" s="115">
        <v>5502070</v>
      </c>
      <c r="B7372" s="115" t="s">
        <v>7087</v>
      </c>
      <c r="C7372" s="117">
        <v>1699.01</v>
      </c>
    </row>
    <row r="7373" spans="1:3" x14ac:dyDescent="0.25">
      <c r="A7373" s="115">
        <v>5502040</v>
      </c>
      <c r="B7373" s="115" t="s">
        <v>7088</v>
      </c>
      <c r="C7373" s="117">
        <v>1939.49</v>
      </c>
    </row>
    <row r="7374" spans="1:3" x14ac:dyDescent="0.25">
      <c r="A7374" s="115">
        <v>5502170</v>
      </c>
      <c r="B7374" s="115" t="s">
        <v>7089</v>
      </c>
      <c r="C7374" s="117">
        <v>781.25</v>
      </c>
    </row>
    <row r="7375" spans="1:3" x14ac:dyDescent="0.25">
      <c r="A7375" s="115">
        <v>5360602</v>
      </c>
      <c r="B7375" s="115" t="s">
        <v>7090</v>
      </c>
      <c r="C7375" s="117">
        <v>185.32</v>
      </c>
    </row>
    <row r="7376" spans="1:3" x14ac:dyDescent="0.25">
      <c r="A7376" s="115">
        <v>5360603</v>
      </c>
      <c r="B7376" s="115" t="s">
        <v>7091</v>
      </c>
      <c r="C7376" s="117">
        <v>333.25</v>
      </c>
    </row>
    <row r="7377" spans="1:3" x14ac:dyDescent="0.25">
      <c r="A7377" s="144" t="s">
        <v>7092</v>
      </c>
      <c r="B7377" s="145"/>
      <c r="C7377" s="145"/>
    </row>
    <row r="7378" spans="1:3" x14ac:dyDescent="0.25">
      <c r="A7378" s="115">
        <v>7148121</v>
      </c>
      <c r="B7378" s="115" t="s">
        <v>7093</v>
      </c>
      <c r="C7378" s="117">
        <v>2631</v>
      </c>
    </row>
    <row r="7379" spans="1:3" x14ac:dyDescent="0.25">
      <c r="A7379" s="115">
        <v>7148130</v>
      </c>
      <c r="B7379" s="115" t="s">
        <v>7094</v>
      </c>
      <c r="C7379" s="117">
        <v>3171.42</v>
      </c>
    </row>
    <row r="7380" spans="1:3" x14ac:dyDescent="0.25">
      <c r="A7380" s="115">
        <v>7148110</v>
      </c>
      <c r="B7380" s="115" t="s">
        <v>7095</v>
      </c>
      <c r="C7380" s="117">
        <v>1896.58</v>
      </c>
    </row>
    <row r="7381" spans="1:3" x14ac:dyDescent="0.25">
      <c r="A7381" s="115">
        <v>7148120</v>
      </c>
      <c r="B7381" s="115" t="s">
        <v>7096</v>
      </c>
      <c r="C7381" s="117">
        <v>3171.42</v>
      </c>
    </row>
    <row r="7382" spans="1:3" x14ac:dyDescent="0.25">
      <c r="A7382" s="115">
        <v>7148124</v>
      </c>
      <c r="B7382" s="115" t="s">
        <v>7097</v>
      </c>
      <c r="C7382" s="117">
        <v>2855.42</v>
      </c>
    </row>
    <row r="7383" spans="1:3" x14ac:dyDescent="0.25">
      <c r="A7383" s="115">
        <v>7148102</v>
      </c>
      <c r="B7383" s="115" t="s">
        <v>7098</v>
      </c>
      <c r="C7383" s="117">
        <v>2845.22</v>
      </c>
    </row>
    <row r="7384" spans="1:3" x14ac:dyDescent="0.25">
      <c r="A7384" s="115">
        <v>7142200</v>
      </c>
      <c r="B7384" s="115" t="s">
        <v>7099</v>
      </c>
      <c r="C7384" s="117">
        <v>423.76</v>
      </c>
    </row>
    <row r="7385" spans="1:3" x14ac:dyDescent="0.25">
      <c r="A7385" s="115">
        <v>7148710</v>
      </c>
      <c r="B7385" s="115" t="s">
        <v>7100</v>
      </c>
      <c r="C7385" s="117">
        <v>1651.87</v>
      </c>
    </row>
    <row r="7386" spans="1:3" x14ac:dyDescent="0.25">
      <c r="A7386" s="115">
        <v>7148920</v>
      </c>
      <c r="B7386" s="115" t="s">
        <v>7101</v>
      </c>
      <c r="C7386" s="117">
        <v>3467.14</v>
      </c>
    </row>
    <row r="7387" spans="1:3" x14ac:dyDescent="0.25">
      <c r="A7387" s="115">
        <v>7148720</v>
      </c>
      <c r="B7387" s="115" t="s">
        <v>7102</v>
      </c>
      <c r="C7387" s="117">
        <v>2784.01</v>
      </c>
    </row>
    <row r="7388" spans="1:3" x14ac:dyDescent="0.25">
      <c r="A7388" s="115">
        <v>7148725</v>
      </c>
      <c r="B7388" s="115" t="s">
        <v>7103</v>
      </c>
      <c r="C7388" s="117">
        <v>1702.87</v>
      </c>
    </row>
    <row r="7389" spans="1:3" x14ac:dyDescent="0.25">
      <c r="A7389" s="115">
        <v>7148724</v>
      </c>
      <c r="B7389" s="115" t="s">
        <v>7104</v>
      </c>
      <c r="C7389" s="117">
        <v>2845.15</v>
      </c>
    </row>
    <row r="7390" spans="1:3" x14ac:dyDescent="0.25">
      <c r="A7390" s="115">
        <v>7148726</v>
      </c>
      <c r="B7390" s="115" t="s">
        <v>7105</v>
      </c>
      <c r="C7390" s="117">
        <v>2447.4299999999998</v>
      </c>
    </row>
    <row r="7391" spans="1:3" x14ac:dyDescent="0.25">
      <c r="A7391" s="115">
        <v>7148732</v>
      </c>
      <c r="B7391" s="115" t="s">
        <v>11966</v>
      </c>
      <c r="C7391" s="117">
        <v>2790.07</v>
      </c>
    </row>
    <row r="7392" spans="1:3" x14ac:dyDescent="0.25">
      <c r="A7392" s="115">
        <v>7140710</v>
      </c>
      <c r="B7392" s="115" t="s">
        <v>7106</v>
      </c>
      <c r="C7392" s="117">
        <v>1560.07</v>
      </c>
    </row>
    <row r="7393" spans="1:3" x14ac:dyDescent="0.25">
      <c r="A7393" s="115">
        <v>7140720</v>
      </c>
      <c r="B7393" s="115" t="s">
        <v>7107</v>
      </c>
      <c r="C7393" s="117">
        <v>2620.73</v>
      </c>
    </row>
    <row r="7394" spans="1:3" x14ac:dyDescent="0.25">
      <c r="A7394" s="115">
        <v>7148542</v>
      </c>
      <c r="B7394" s="115" t="s">
        <v>7108</v>
      </c>
      <c r="C7394" s="117">
        <v>2447.4299999999998</v>
      </c>
    </row>
    <row r="7395" spans="1:3" x14ac:dyDescent="0.25">
      <c r="A7395" s="115">
        <v>7148702</v>
      </c>
      <c r="B7395" s="115" t="s">
        <v>7109</v>
      </c>
      <c r="C7395" s="117">
        <v>2447.4299999999998</v>
      </c>
    </row>
    <row r="7396" spans="1:3" x14ac:dyDescent="0.25">
      <c r="A7396" s="115">
        <v>7140410</v>
      </c>
      <c r="B7396" s="115" t="s">
        <v>7110</v>
      </c>
      <c r="C7396" s="117">
        <v>1749.09</v>
      </c>
    </row>
    <row r="7397" spans="1:3" x14ac:dyDescent="0.25">
      <c r="A7397" s="115">
        <v>7140420</v>
      </c>
      <c r="B7397" s="115" t="s">
        <v>7111</v>
      </c>
      <c r="C7397" s="117">
        <v>2631</v>
      </c>
    </row>
    <row r="7398" spans="1:3" x14ac:dyDescent="0.25">
      <c r="A7398" s="115">
        <v>7140423</v>
      </c>
      <c r="B7398" s="115" t="s">
        <v>7112</v>
      </c>
      <c r="C7398" s="117">
        <v>2855.42</v>
      </c>
    </row>
    <row r="7399" spans="1:3" x14ac:dyDescent="0.25">
      <c r="A7399" s="115">
        <v>7140225</v>
      </c>
      <c r="B7399" s="115" t="s">
        <v>12379</v>
      </c>
      <c r="C7399" s="117">
        <v>1208.2</v>
      </c>
    </row>
    <row r="7400" spans="1:3" x14ac:dyDescent="0.25">
      <c r="A7400" s="115">
        <v>7140221</v>
      </c>
      <c r="B7400" s="115" t="s">
        <v>12380</v>
      </c>
      <c r="C7400" s="117">
        <v>1801.14</v>
      </c>
    </row>
    <row r="7401" spans="1:3" x14ac:dyDescent="0.25">
      <c r="A7401" s="115">
        <v>7140224</v>
      </c>
      <c r="B7401" s="115" t="s">
        <v>12381</v>
      </c>
      <c r="C7401" s="117">
        <v>1776.21</v>
      </c>
    </row>
    <row r="7402" spans="1:3" x14ac:dyDescent="0.25">
      <c r="A7402" s="115">
        <v>7140223</v>
      </c>
      <c r="B7402" s="115" t="s">
        <v>12382</v>
      </c>
      <c r="C7402" s="117">
        <v>1083.74</v>
      </c>
    </row>
    <row r="7403" spans="1:3" x14ac:dyDescent="0.25">
      <c r="A7403" s="115">
        <v>7140222</v>
      </c>
      <c r="B7403" s="115" t="s">
        <v>12383</v>
      </c>
      <c r="C7403" s="117">
        <v>1642.07</v>
      </c>
    </row>
    <row r="7404" spans="1:3" x14ac:dyDescent="0.25">
      <c r="A7404" s="115">
        <v>7140220</v>
      </c>
      <c r="B7404" s="115" t="s">
        <v>7113</v>
      </c>
      <c r="C7404" s="117">
        <v>1780.75</v>
      </c>
    </row>
    <row r="7405" spans="1:3" x14ac:dyDescent="0.25">
      <c r="A7405" s="115">
        <v>7140422</v>
      </c>
      <c r="B7405" s="115" t="s">
        <v>7114</v>
      </c>
      <c r="C7405" s="117">
        <v>359.3</v>
      </c>
    </row>
    <row r="7406" spans="1:3" x14ac:dyDescent="0.25">
      <c r="A7406" s="115">
        <v>7140421</v>
      </c>
      <c r="B7406" s="115" t="s">
        <v>7115</v>
      </c>
      <c r="C7406" s="117">
        <v>2631</v>
      </c>
    </row>
    <row r="7407" spans="1:3" x14ac:dyDescent="0.25">
      <c r="A7407" s="115">
        <v>7140424</v>
      </c>
      <c r="B7407" s="115" t="s">
        <v>7116</v>
      </c>
      <c r="C7407" s="117">
        <v>2855.42</v>
      </c>
    </row>
    <row r="7408" spans="1:3" x14ac:dyDescent="0.25">
      <c r="A7408" s="115">
        <v>7148716</v>
      </c>
      <c r="B7408" s="115" t="s">
        <v>7117</v>
      </c>
      <c r="C7408" s="117">
        <v>359.3</v>
      </c>
    </row>
    <row r="7409" spans="1:3" x14ac:dyDescent="0.25">
      <c r="A7409" s="115">
        <v>7140312</v>
      </c>
      <c r="B7409" s="115" t="s">
        <v>7118</v>
      </c>
      <c r="C7409" s="117">
        <v>1701.11</v>
      </c>
    </row>
    <row r="7410" spans="1:3" x14ac:dyDescent="0.25">
      <c r="A7410" s="115">
        <v>7148705</v>
      </c>
      <c r="B7410" s="115" t="s">
        <v>7119</v>
      </c>
      <c r="C7410" s="117">
        <v>2620.73</v>
      </c>
    </row>
    <row r="7411" spans="1:3" x14ac:dyDescent="0.25">
      <c r="A7411" s="115">
        <v>7140320</v>
      </c>
      <c r="B7411" s="115" t="s">
        <v>7120</v>
      </c>
      <c r="C7411" s="117">
        <v>2631</v>
      </c>
    </row>
    <row r="7412" spans="1:3" x14ac:dyDescent="0.25">
      <c r="A7412" s="115">
        <v>7140323</v>
      </c>
      <c r="B7412" s="115" t="s">
        <v>11621</v>
      </c>
      <c r="C7412" s="117">
        <v>2855.42</v>
      </c>
    </row>
    <row r="7413" spans="1:3" x14ac:dyDescent="0.25">
      <c r="A7413" s="115">
        <v>7141028</v>
      </c>
      <c r="B7413" s="115" t="s">
        <v>7121</v>
      </c>
      <c r="C7413" s="117">
        <v>1039.5999999999999</v>
      </c>
    </row>
    <row r="7414" spans="1:3" x14ac:dyDescent="0.25">
      <c r="A7414" s="115">
        <v>7141083</v>
      </c>
      <c r="B7414" s="115" t="s">
        <v>7162</v>
      </c>
      <c r="C7414" s="117">
        <v>1039.5999999999999</v>
      </c>
    </row>
    <row r="7415" spans="1:3" x14ac:dyDescent="0.25">
      <c r="A7415" s="115">
        <v>7141000</v>
      </c>
      <c r="B7415" s="115" t="s">
        <v>7122</v>
      </c>
      <c r="C7415" s="117">
        <v>1039.5999999999999</v>
      </c>
    </row>
    <row r="7416" spans="1:3" x14ac:dyDescent="0.25">
      <c r="A7416" s="115">
        <v>7141129</v>
      </c>
      <c r="B7416" s="115" t="s">
        <v>7123</v>
      </c>
      <c r="C7416" s="117">
        <v>1195.53</v>
      </c>
    </row>
    <row r="7417" spans="1:3" x14ac:dyDescent="0.25">
      <c r="A7417" s="115">
        <v>7141183</v>
      </c>
      <c r="B7417" s="115" t="s">
        <v>7124</v>
      </c>
      <c r="C7417" s="117">
        <v>1195.53</v>
      </c>
    </row>
    <row r="7418" spans="1:3" x14ac:dyDescent="0.25">
      <c r="A7418" s="115">
        <v>7141100</v>
      </c>
      <c r="B7418" s="115" t="s">
        <v>7125</v>
      </c>
      <c r="C7418" s="117">
        <v>1195.53</v>
      </c>
    </row>
    <row r="7419" spans="1:3" x14ac:dyDescent="0.25">
      <c r="A7419" s="115">
        <v>7141199</v>
      </c>
      <c r="B7419" s="115" t="s">
        <v>7126</v>
      </c>
      <c r="C7419" s="117">
        <v>1437.36</v>
      </c>
    </row>
    <row r="7420" spans="1:3" x14ac:dyDescent="0.25">
      <c r="A7420" s="115">
        <v>7141121</v>
      </c>
      <c r="B7420" s="115" t="s">
        <v>7127</v>
      </c>
      <c r="C7420" s="117">
        <v>1039.5999999999999</v>
      </c>
    </row>
    <row r="7421" spans="1:3" x14ac:dyDescent="0.25">
      <c r="A7421" s="115">
        <v>7149005</v>
      </c>
      <c r="B7421" s="115" t="s">
        <v>7128</v>
      </c>
      <c r="C7421" s="117">
        <v>2090.63</v>
      </c>
    </row>
    <row r="7422" spans="1:3" x14ac:dyDescent="0.25">
      <c r="A7422" s="115">
        <v>7148030</v>
      </c>
      <c r="B7422" s="115" t="s">
        <v>7129</v>
      </c>
      <c r="C7422" s="117">
        <v>2446.67</v>
      </c>
    </row>
    <row r="7423" spans="1:3" x14ac:dyDescent="0.25">
      <c r="A7423" s="115">
        <v>7149094</v>
      </c>
      <c r="B7423" s="115" t="s">
        <v>12384</v>
      </c>
      <c r="C7423" s="117">
        <v>1776.31</v>
      </c>
    </row>
    <row r="7424" spans="1:3" x14ac:dyDescent="0.25">
      <c r="A7424" s="115">
        <v>7149014</v>
      </c>
      <c r="B7424" s="115" t="s">
        <v>7130</v>
      </c>
      <c r="C7424" s="117">
        <v>2063.13</v>
      </c>
    </row>
    <row r="7425" spans="1:3" x14ac:dyDescent="0.25">
      <c r="A7425" s="115">
        <v>7149012</v>
      </c>
      <c r="B7425" s="115" t="s">
        <v>7131</v>
      </c>
      <c r="C7425" s="117">
        <v>1286.01</v>
      </c>
    </row>
    <row r="7426" spans="1:3" x14ac:dyDescent="0.25">
      <c r="A7426" s="115">
        <v>7149013</v>
      </c>
      <c r="B7426" s="115" t="s">
        <v>7132</v>
      </c>
      <c r="C7426" s="117">
        <v>1303.54</v>
      </c>
    </row>
    <row r="7427" spans="1:3" x14ac:dyDescent="0.25">
      <c r="A7427" s="115">
        <v>7149003</v>
      </c>
      <c r="B7427" s="115" t="s">
        <v>7133</v>
      </c>
      <c r="C7427" s="117">
        <v>1776.21</v>
      </c>
    </row>
    <row r="7428" spans="1:3" x14ac:dyDescent="0.25">
      <c r="A7428" s="115">
        <v>7149006</v>
      </c>
      <c r="B7428" s="115" t="s">
        <v>7134</v>
      </c>
      <c r="C7428" s="117">
        <v>2067.73</v>
      </c>
    </row>
    <row r="7429" spans="1:3" x14ac:dyDescent="0.25">
      <c r="A7429" s="115">
        <v>7149010</v>
      </c>
      <c r="B7429" s="115" t="s">
        <v>7135</v>
      </c>
      <c r="C7429" s="117">
        <v>1060.8399999999999</v>
      </c>
    </row>
    <row r="7430" spans="1:3" x14ac:dyDescent="0.25">
      <c r="A7430" s="115">
        <v>7149002</v>
      </c>
      <c r="B7430" s="115" t="s">
        <v>12385</v>
      </c>
      <c r="C7430" s="117">
        <v>1642.07</v>
      </c>
    </row>
    <row r="7431" spans="1:3" x14ac:dyDescent="0.25">
      <c r="A7431" s="115">
        <v>7149001</v>
      </c>
      <c r="B7431" s="115" t="s">
        <v>7136</v>
      </c>
      <c r="C7431" s="117">
        <v>2090.63</v>
      </c>
    </row>
    <row r="7432" spans="1:3" x14ac:dyDescent="0.25">
      <c r="A7432" s="115">
        <v>7241510</v>
      </c>
      <c r="B7432" s="115" t="s">
        <v>12386</v>
      </c>
      <c r="C7432" s="117">
        <v>11207.14</v>
      </c>
    </row>
    <row r="7433" spans="1:3" x14ac:dyDescent="0.25">
      <c r="A7433" s="115">
        <v>7241515</v>
      </c>
      <c r="B7433" s="115" t="s">
        <v>12387</v>
      </c>
      <c r="C7433" s="117">
        <v>12417.89</v>
      </c>
    </row>
    <row r="7434" spans="1:3" x14ac:dyDescent="0.25">
      <c r="A7434" s="115">
        <v>7241006</v>
      </c>
      <c r="B7434" s="115" t="s">
        <v>12388</v>
      </c>
      <c r="C7434" s="117">
        <v>1440.55</v>
      </c>
    </row>
    <row r="7435" spans="1:3" x14ac:dyDescent="0.25">
      <c r="A7435" s="115">
        <v>7241012</v>
      </c>
      <c r="B7435" s="115" t="s">
        <v>12389</v>
      </c>
      <c r="C7435" s="117">
        <v>1440.57</v>
      </c>
    </row>
    <row r="7436" spans="1:3" x14ac:dyDescent="0.25">
      <c r="A7436" s="115">
        <v>7241203</v>
      </c>
      <c r="B7436" s="115" t="s">
        <v>7137</v>
      </c>
      <c r="C7436" s="117">
        <v>671.02</v>
      </c>
    </row>
    <row r="7437" spans="1:3" x14ac:dyDescent="0.25">
      <c r="A7437" s="115">
        <v>7241200</v>
      </c>
      <c r="B7437" s="115" t="s">
        <v>7138</v>
      </c>
      <c r="C7437" s="117">
        <v>671.02</v>
      </c>
    </row>
    <row r="7438" spans="1:3" x14ac:dyDescent="0.25">
      <c r="A7438" s="115">
        <v>7241205</v>
      </c>
      <c r="B7438" s="115" t="s">
        <v>7139</v>
      </c>
      <c r="C7438" s="117">
        <v>671.02</v>
      </c>
    </row>
    <row r="7439" spans="1:3" x14ac:dyDescent="0.25">
      <c r="A7439" s="115">
        <v>7241206</v>
      </c>
      <c r="B7439" s="115" t="s">
        <v>7140</v>
      </c>
      <c r="C7439" s="117">
        <v>16775.47</v>
      </c>
    </row>
    <row r="7440" spans="1:3" x14ac:dyDescent="0.25">
      <c r="A7440" s="115">
        <v>7241202</v>
      </c>
      <c r="B7440" s="115" t="s">
        <v>7141</v>
      </c>
      <c r="C7440" s="117">
        <v>671.02</v>
      </c>
    </row>
    <row r="7441" spans="1:3" x14ac:dyDescent="0.25">
      <c r="A7441" s="115">
        <v>7241305</v>
      </c>
      <c r="B7441" s="115" t="s">
        <v>7142</v>
      </c>
      <c r="C7441" s="117">
        <v>16489.87</v>
      </c>
    </row>
    <row r="7442" spans="1:3" x14ac:dyDescent="0.25">
      <c r="A7442" s="115">
        <v>7241303</v>
      </c>
      <c r="B7442" s="115" t="s">
        <v>7143</v>
      </c>
      <c r="C7442" s="117">
        <v>16489.87</v>
      </c>
    </row>
    <row r="7443" spans="1:3" x14ac:dyDescent="0.25">
      <c r="A7443" s="115">
        <v>7241300</v>
      </c>
      <c r="B7443" s="115" t="s">
        <v>7144</v>
      </c>
      <c r="C7443" s="117">
        <v>16489.87</v>
      </c>
    </row>
    <row r="7444" spans="1:3" x14ac:dyDescent="0.25">
      <c r="A7444" s="115">
        <v>7241411</v>
      </c>
      <c r="B7444" s="115" t="s">
        <v>7145</v>
      </c>
      <c r="C7444" s="117">
        <v>6885.35</v>
      </c>
    </row>
    <row r="7445" spans="1:3" x14ac:dyDescent="0.25">
      <c r="A7445" s="115">
        <v>7241417</v>
      </c>
      <c r="B7445" s="115" t="s">
        <v>7146</v>
      </c>
      <c r="C7445" s="117">
        <v>1880.63</v>
      </c>
    </row>
    <row r="7446" spans="1:3" x14ac:dyDescent="0.25">
      <c r="A7446" s="115">
        <v>7241403</v>
      </c>
      <c r="B7446" s="115" t="s">
        <v>7147</v>
      </c>
      <c r="C7446" s="117">
        <v>82.59</v>
      </c>
    </row>
    <row r="7447" spans="1:3" x14ac:dyDescent="0.25">
      <c r="A7447" s="115">
        <v>7241494</v>
      </c>
      <c r="B7447" s="115" t="s">
        <v>7148</v>
      </c>
      <c r="C7447" s="117">
        <v>6885.35</v>
      </c>
    </row>
    <row r="7448" spans="1:3" x14ac:dyDescent="0.25">
      <c r="A7448" s="115">
        <v>7241449</v>
      </c>
      <c r="B7448" s="115" t="s">
        <v>7149</v>
      </c>
      <c r="C7448" s="117">
        <v>16174.22</v>
      </c>
    </row>
    <row r="7449" spans="1:3" x14ac:dyDescent="0.25">
      <c r="A7449" s="115">
        <v>7241407</v>
      </c>
      <c r="B7449" s="115" t="s">
        <v>7150</v>
      </c>
      <c r="C7449" s="117">
        <v>1219.52</v>
      </c>
    </row>
    <row r="7450" spans="1:3" x14ac:dyDescent="0.25">
      <c r="A7450" s="115">
        <v>7241404</v>
      </c>
      <c r="B7450" s="115" t="s">
        <v>7151</v>
      </c>
      <c r="C7450" s="117">
        <v>6885.35</v>
      </c>
    </row>
    <row r="7451" spans="1:3" x14ac:dyDescent="0.25">
      <c r="A7451" s="115">
        <v>7241454</v>
      </c>
      <c r="B7451" s="115" t="s">
        <v>7152</v>
      </c>
      <c r="C7451" s="117">
        <v>8681.11</v>
      </c>
    </row>
    <row r="7452" spans="1:3" x14ac:dyDescent="0.25">
      <c r="A7452" s="115">
        <v>7241418</v>
      </c>
      <c r="B7452" s="115" t="s">
        <v>7153</v>
      </c>
      <c r="C7452" s="117">
        <v>16174.22</v>
      </c>
    </row>
    <row r="7453" spans="1:3" x14ac:dyDescent="0.25">
      <c r="A7453" s="115">
        <v>7241401</v>
      </c>
      <c r="B7453" s="115" t="s">
        <v>7154</v>
      </c>
      <c r="C7453" s="117">
        <v>6885.35</v>
      </c>
    </row>
    <row r="7454" spans="1:3" x14ac:dyDescent="0.25">
      <c r="A7454" s="115">
        <v>7241460</v>
      </c>
      <c r="B7454" s="115" t="s">
        <v>7155</v>
      </c>
      <c r="C7454" s="117">
        <v>37.020000000000003</v>
      </c>
    </row>
    <row r="7455" spans="1:3" x14ac:dyDescent="0.25">
      <c r="A7455" s="115">
        <v>7283800</v>
      </c>
      <c r="B7455" s="115" t="s">
        <v>7156</v>
      </c>
      <c r="C7455" s="117">
        <v>2150.94</v>
      </c>
    </row>
    <row r="7456" spans="1:3" x14ac:dyDescent="0.25">
      <c r="A7456" s="115">
        <v>7282963</v>
      </c>
      <c r="B7456" s="115" t="s">
        <v>7157</v>
      </c>
      <c r="C7456" s="117">
        <v>2978.12</v>
      </c>
    </row>
    <row r="7457" spans="1:3" x14ac:dyDescent="0.25">
      <c r="A7457" s="115">
        <v>7282901</v>
      </c>
      <c r="B7457" s="115" t="s">
        <v>7158</v>
      </c>
      <c r="C7457" s="117">
        <v>2978.21</v>
      </c>
    </row>
    <row r="7458" spans="1:3" x14ac:dyDescent="0.25">
      <c r="A7458" s="115">
        <v>7282988</v>
      </c>
      <c r="B7458" s="115" t="s">
        <v>7159</v>
      </c>
      <c r="C7458" s="117">
        <v>2978.12</v>
      </c>
    </row>
    <row r="7459" spans="1:3" x14ac:dyDescent="0.25">
      <c r="A7459" s="115">
        <v>7282982</v>
      </c>
      <c r="B7459" s="115" t="s">
        <v>7160</v>
      </c>
      <c r="C7459" s="117">
        <v>2978.12</v>
      </c>
    </row>
    <row r="7460" spans="1:3" x14ac:dyDescent="0.25">
      <c r="A7460" s="115">
        <v>7283700</v>
      </c>
      <c r="B7460" s="115" t="s">
        <v>7161</v>
      </c>
      <c r="C7460" s="117">
        <v>2150.94</v>
      </c>
    </row>
    <row r="7461" spans="1:3" x14ac:dyDescent="0.25">
      <c r="A7461" s="144" t="s">
        <v>7163</v>
      </c>
      <c r="B7461" s="145"/>
      <c r="C7461" s="145"/>
    </row>
    <row r="7462" spans="1:3" x14ac:dyDescent="0.25">
      <c r="A7462" s="115">
        <v>7282742</v>
      </c>
      <c r="B7462" s="115" t="s">
        <v>7164</v>
      </c>
      <c r="C7462" s="117">
        <v>2185.5300000000002</v>
      </c>
    </row>
    <row r="7463" spans="1:3" x14ac:dyDescent="0.25">
      <c r="A7463" s="115">
        <v>7282741</v>
      </c>
      <c r="B7463" s="115" t="s">
        <v>7165</v>
      </c>
      <c r="C7463" s="117">
        <v>2185.5300000000002</v>
      </c>
    </row>
    <row r="7464" spans="1:3" x14ac:dyDescent="0.25">
      <c r="A7464" s="115">
        <v>7282740</v>
      </c>
      <c r="B7464" s="115" t="s">
        <v>11967</v>
      </c>
      <c r="C7464" s="117">
        <v>1986.77</v>
      </c>
    </row>
    <row r="7465" spans="1:3" x14ac:dyDescent="0.25">
      <c r="A7465" s="115">
        <v>7284102</v>
      </c>
      <c r="B7465" s="115" t="s">
        <v>7166</v>
      </c>
      <c r="C7465" s="117">
        <v>2936.58</v>
      </c>
    </row>
    <row r="7466" spans="1:3" x14ac:dyDescent="0.25">
      <c r="A7466" s="115">
        <v>7283600</v>
      </c>
      <c r="B7466" s="115" t="s">
        <v>7167</v>
      </c>
      <c r="C7466" s="117">
        <v>370.52</v>
      </c>
    </row>
    <row r="7467" spans="1:3" x14ac:dyDescent="0.25">
      <c r="A7467" s="115">
        <v>7283400</v>
      </c>
      <c r="B7467" s="115" t="s">
        <v>7168</v>
      </c>
      <c r="C7467" s="117">
        <v>3901.52</v>
      </c>
    </row>
    <row r="7468" spans="1:3" x14ac:dyDescent="0.25">
      <c r="A7468" s="115">
        <v>7283401</v>
      </c>
      <c r="B7468" s="115" t="s">
        <v>7169</v>
      </c>
      <c r="C7468" s="117">
        <v>3901.52</v>
      </c>
    </row>
    <row r="7469" spans="1:3" x14ac:dyDescent="0.25">
      <c r="A7469" s="115">
        <v>7282550</v>
      </c>
      <c r="B7469" s="115" t="s">
        <v>7170</v>
      </c>
      <c r="C7469" s="117">
        <v>1221.46</v>
      </c>
    </row>
    <row r="7470" spans="1:3" x14ac:dyDescent="0.25">
      <c r="A7470" s="115">
        <v>7284103</v>
      </c>
      <c r="B7470" s="115" t="s">
        <v>12390</v>
      </c>
      <c r="C7470" s="117">
        <v>3424.54</v>
      </c>
    </row>
    <row r="7471" spans="1:3" x14ac:dyDescent="0.25">
      <c r="A7471" s="115">
        <v>7284104</v>
      </c>
      <c r="B7471" s="115" t="s">
        <v>12391</v>
      </c>
      <c r="C7471" s="117">
        <v>3424.54</v>
      </c>
    </row>
    <row r="7472" spans="1:3" x14ac:dyDescent="0.25">
      <c r="A7472" s="115">
        <v>7284105</v>
      </c>
      <c r="B7472" s="115" t="s">
        <v>12392</v>
      </c>
      <c r="C7472" s="117">
        <v>3424.54</v>
      </c>
    </row>
    <row r="7473" spans="1:3" x14ac:dyDescent="0.25">
      <c r="A7473" s="115">
        <v>7282601</v>
      </c>
      <c r="B7473" s="115" t="s">
        <v>7171</v>
      </c>
      <c r="C7473" s="117">
        <v>3583.02</v>
      </c>
    </row>
    <row r="7474" spans="1:3" x14ac:dyDescent="0.25">
      <c r="A7474" s="115">
        <v>7282627</v>
      </c>
      <c r="B7474" s="115" t="s">
        <v>7172</v>
      </c>
      <c r="C7474" s="117">
        <v>3583.02</v>
      </c>
    </row>
    <row r="7475" spans="1:3" x14ac:dyDescent="0.25">
      <c r="A7475" s="115">
        <v>7282625</v>
      </c>
      <c r="B7475" s="115" t="s">
        <v>7173</v>
      </c>
      <c r="C7475" s="117">
        <v>3583.02</v>
      </c>
    </row>
    <row r="7476" spans="1:3" x14ac:dyDescent="0.25">
      <c r="A7476" s="115">
        <v>7282663</v>
      </c>
      <c r="B7476" s="115" t="s">
        <v>7174</v>
      </c>
      <c r="C7476" s="117">
        <v>3583.02</v>
      </c>
    </row>
    <row r="7477" spans="1:3" x14ac:dyDescent="0.25">
      <c r="A7477" s="115">
        <v>7282699</v>
      </c>
      <c r="B7477" s="115" t="s">
        <v>7175</v>
      </c>
      <c r="C7477" s="117">
        <v>3583.02</v>
      </c>
    </row>
    <row r="7478" spans="1:3" x14ac:dyDescent="0.25">
      <c r="A7478" s="115">
        <v>7282688</v>
      </c>
      <c r="B7478" s="115" t="s">
        <v>7176</v>
      </c>
      <c r="C7478" s="117">
        <v>3583.02</v>
      </c>
    </row>
    <row r="7479" spans="1:3" x14ac:dyDescent="0.25">
      <c r="A7479" s="115">
        <v>7282682</v>
      </c>
      <c r="B7479" s="115" t="s">
        <v>7177</v>
      </c>
      <c r="C7479" s="117">
        <v>3583.02</v>
      </c>
    </row>
    <row r="7480" spans="1:3" x14ac:dyDescent="0.25">
      <c r="A7480" s="144" t="s">
        <v>7178</v>
      </c>
      <c r="B7480" s="145"/>
      <c r="C7480" s="145"/>
    </row>
    <row r="7481" spans="1:3" x14ac:dyDescent="0.25">
      <c r="A7481" s="115">
        <v>1289712</v>
      </c>
      <c r="B7481" s="115" t="s">
        <v>7179</v>
      </c>
      <c r="C7481" s="117">
        <v>488.16</v>
      </c>
    </row>
    <row r="7482" spans="1:3" x14ac:dyDescent="0.25">
      <c r="A7482" s="115">
        <v>1289713</v>
      </c>
      <c r="B7482" s="115" t="s">
        <v>7180</v>
      </c>
      <c r="C7482" s="117">
        <v>488.16</v>
      </c>
    </row>
    <row r="7483" spans="1:3" x14ac:dyDescent="0.25">
      <c r="A7483" s="115">
        <v>1289711</v>
      </c>
      <c r="B7483" s="115" t="s">
        <v>7181</v>
      </c>
      <c r="C7483" s="117">
        <v>541.62</v>
      </c>
    </row>
    <row r="7484" spans="1:3" x14ac:dyDescent="0.25">
      <c r="A7484" s="115">
        <v>1289710</v>
      </c>
      <c r="B7484" s="115" t="s">
        <v>7182</v>
      </c>
      <c r="C7484" s="117">
        <v>541.62</v>
      </c>
    </row>
    <row r="7485" spans="1:3" x14ac:dyDescent="0.25">
      <c r="A7485" s="115">
        <v>1282263</v>
      </c>
      <c r="B7485" s="115" t="s">
        <v>7183</v>
      </c>
      <c r="C7485" s="117">
        <v>589.15</v>
      </c>
    </row>
    <row r="7486" spans="1:3" x14ac:dyDescent="0.25">
      <c r="A7486" s="115">
        <v>1282800</v>
      </c>
      <c r="B7486" s="115" t="s">
        <v>11622</v>
      </c>
      <c r="C7486" s="117">
        <v>722.49</v>
      </c>
    </row>
    <row r="7487" spans="1:3" x14ac:dyDescent="0.25">
      <c r="A7487" s="115">
        <v>1283589</v>
      </c>
      <c r="B7487" s="115" t="s">
        <v>12393</v>
      </c>
      <c r="C7487" s="117">
        <v>584.91999999999996</v>
      </c>
    </row>
    <row r="7488" spans="1:3" x14ac:dyDescent="0.25">
      <c r="A7488" s="115">
        <v>1283232</v>
      </c>
      <c r="B7488" s="115" t="s">
        <v>7184</v>
      </c>
      <c r="C7488" s="117">
        <v>678.44</v>
      </c>
    </row>
    <row r="7489" spans="1:3" x14ac:dyDescent="0.25">
      <c r="A7489" s="115">
        <v>1280154</v>
      </c>
      <c r="B7489" s="115" t="s">
        <v>7185</v>
      </c>
      <c r="C7489" s="117">
        <v>1066.52</v>
      </c>
    </row>
    <row r="7490" spans="1:3" x14ac:dyDescent="0.25">
      <c r="A7490" s="115">
        <v>1283869</v>
      </c>
      <c r="B7490" s="115" t="s">
        <v>12394</v>
      </c>
      <c r="C7490" s="117">
        <v>1559.07</v>
      </c>
    </row>
    <row r="7491" spans="1:3" x14ac:dyDescent="0.25">
      <c r="A7491" s="115">
        <v>1283873</v>
      </c>
      <c r="B7491" s="115" t="s">
        <v>12395</v>
      </c>
      <c r="C7491" s="117">
        <v>1559.07</v>
      </c>
    </row>
    <row r="7492" spans="1:3" x14ac:dyDescent="0.25">
      <c r="A7492" s="115">
        <v>1283880</v>
      </c>
      <c r="B7492" s="115" t="s">
        <v>12396</v>
      </c>
      <c r="C7492" s="117">
        <v>622.34</v>
      </c>
    </row>
    <row r="7493" spans="1:3" x14ac:dyDescent="0.25">
      <c r="A7493" s="115">
        <v>1283877</v>
      </c>
      <c r="B7493" s="115" t="s">
        <v>12397</v>
      </c>
      <c r="C7493" s="117">
        <v>622.34</v>
      </c>
    </row>
    <row r="7494" spans="1:3" x14ac:dyDescent="0.25">
      <c r="A7494" s="115">
        <v>1283875</v>
      </c>
      <c r="B7494" s="115" t="s">
        <v>12398</v>
      </c>
      <c r="C7494" s="117">
        <v>1559.07</v>
      </c>
    </row>
    <row r="7495" spans="1:3" x14ac:dyDescent="0.25">
      <c r="A7495" s="115">
        <v>1283878</v>
      </c>
      <c r="B7495" s="115" t="s">
        <v>12399</v>
      </c>
      <c r="C7495" s="117">
        <v>622.34</v>
      </c>
    </row>
    <row r="7496" spans="1:3" x14ac:dyDescent="0.25">
      <c r="A7496" s="115">
        <v>1285625</v>
      </c>
      <c r="B7496" s="115" t="s">
        <v>7186</v>
      </c>
      <c r="C7496" s="117">
        <v>678.44</v>
      </c>
    </row>
    <row r="7497" spans="1:3" x14ac:dyDescent="0.25">
      <c r="A7497" s="115">
        <v>1285663</v>
      </c>
      <c r="B7497" s="115" t="s">
        <v>7187</v>
      </c>
      <c r="C7497" s="117">
        <v>678.44</v>
      </c>
    </row>
    <row r="7498" spans="1:3" x14ac:dyDescent="0.25">
      <c r="A7498" s="115">
        <v>1285600</v>
      </c>
      <c r="B7498" s="115" t="s">
        <v>7188</v>
      </c>
      <c r="C7498" s="117">
        <v>678.44</v>
      </c>
    </row>
    <row r="7499" spans="1:3" x14ac:dyDescent="0.25">
      <c r="A7499" s="115">
        <v>1285639</v>
      </c>
      <c r="B7499" s="115" t="s">
        <v>7189</v>
      </c>
      <c r="C7499" s="117">
        <v>678.44</v>
      </c>
    </row>
    <row r="7500" spans="1:3" x14ac:dyDescent="0.25">
      <c r="A7500" s="115">
        <v>1285638</v>
      </c>
      <c r="B7500" s="115" t="s">
        <v>7190</v>
      </c>
      <c r="C7500" s="117">
        <v>678.44</v>
      </c>
    </row>
    <row r="7501" spans="1:3" x14ac:dyDescent="0.25">
      <c r="A7501" s="115">
        <v>1285632</v>
      </c>
      <c r="B7501" s="115" t="s">
        <v>7191</v>
      </c>
      <c r="C7501" s="117">
        <v>678.44</v>
      </c>
    </row>
    <row r="7502" spans="1:3" x14ac:dyDescent="0.25">
      <c r="A7502" s="115">
        <v>1285635</v>
      </c>
      <c r="B7502" s="115" t="s">
        <v>7192</v>
      </c>
      <c r="C7502" s="117">
        <v>678.44</v>
      </c>
    </row>
    <row r="7503" spans="1:3" x14ac:dyDescent="0.25">
      <c r="A7503" s="115">
        <v>1285654</v>
      </c>
      <c r="B7503" s="115" t="s">
        <v>7193</v>
      </c>
      <c r="C7503" s="117">
        <v>678.44</v>
      </c>
    </row>
    <row r="7504" spans="1:3" x14ac:dyDescent="0.25">
      <c r="A7504" s="115">
        <v>1285682</v>
      </c>
      <c r="B7504" s="115" t="s">
        <v>7194</v>
      </c>
      <c r="C7504" s="117">
        <v>678.44</v>
      </c>
    </row>
    <row r="7505" spans="1:3" x14ac:dyDescent="0.25">
      <c r="A7505" s="115">
        <v>1285132</v>
      </c>
      <c r="B7505" s="115" t="s">
        <v>7195</v>
      </c>
      <c r="C7505" s="117">
        <v>1385.34</v>
      </c>
    </row>
    <row r="7506" spans="1:3" x14ac:dyDescent="0.25">
      <c r="A7506" s="115">
        <v>1288605</v>
      </c>
      <c r="B7506" s="115" t="s">
        <v>7196</v>
      </c>
      <c r="C7506" s="117">
        <v>877.75</v>
      </c>
    </row>
    <row r="7507" spans="1:3" x14ac:dyDescent="0.25">
      <c r="A7507" s="115">
        <v>1288801</v>
      </c>
      <c r="B7507" s="115" t="s">
        <v>7197</v>
      </c>
      <c r="C7507" s="117">
        <v>401.13</v>
      </c>
    </row>
    <row r="7508" spans="1:3" x14ac:dyDescent="0.25">
      <c r="A7508" s="115">
        <v>1289001</v>
      </c>
      <c r="B7508" s="115" t="s">
        <v>7198</v>
      </c>
      <c r="C7508" s="117">
        <v>783.06</v>
      </c>
    </row>
    <row r="7509" spans="1:3" x14ac:dyDescent="0.25">
      <c r="A7509" s="115">
        <v>1289050</v>
      </c>
      <c r="B7509" s="115" t="s">
        <v>12400</v>
      </c>
      <c r="C7509" s="117">
        <v>1186.6099999999999</v>
      </c>
    </row>
    <row r="7510" spans="1:3" x14ac:dyDescent="0.25">
      <c r="A7510" s="115">
        <v>1281963</v>
      </c>
      <c r="B7510" s="115" t="s">
        <v>7199</v>
      </c>
      <c r="C7510" s="117">
        <v>644.03</v>
      </c>
    </row>
    <row r="7511" spans="1:3" x14ac:dyDescent="0.25">
      <c r="A7511" s="115">
        <v>1281901</v>
      </c>
      <c r="B7511" s="115" t="s">
        <v>7200</v>
      </c>
      <c r="C7511" s="117">
        <v>644.03</v>
      </c>
    </row>
    <row r="7512" spans="1:3" x14ac:dyDescent="0.25">
      <c r="A7512" s="115">
        <v>1281924</v>
      </c>
      <c r="B7512" s="115" t="s">
        <v>7201</v>
      </c>
      <c r="C7512" s="117">
        <v>644.03</v>
      </c>
    </row>
    <row r="7513" spans="1:3" x14ac:dyDescent="0.25">
      <c r="A7513" s="115">
        <v>1281938</v>
      </c>
      <c r="B7513" s="115" t="s">
        <v>7202</v>
      </c>
      <c r="C7513" s="117">
        <v>644.03</v>
      </c>
    </row>
    <row r="7514" spans="1:3" x14ac:dyDescent="0.25">
      <c r="A7514" s="115">
        <v>1281224</v>
      </c>
      <c r="B7514" s="115" t="s">
        <v>7203</v>
      </c>
      <c r="C7514" s="117">
        <v>92.53</v>
      </c>
    </row>
    <row r="7515" spans="1:3" x14ac:dyDescent="0.25">
      <c r="A7515" s="115">
        <v>1281236</v>
      </c>
      <c r="B7515" s="115" t="s">
        <v>7204</v>
      </c>
      <c r="C7515" s="117">
        <v>423.21</v>
      </c>
    </row>
    <row r="7516" spans="1:3" x14ac:dyDescent="0.25">
      <c r="A7516" s="115">
        <v>1281235</v>
      </c>
      <c r="B7516" s="115" t="s">
        <v>7205</v>
      </c>
      <c r="C7516" s="117">
        <v>92.53</v>
      </c>
    </row>
    <row r="7517" spans="1:3" x14ac:dyDescent="0.25">
      <c r="A7517" s="115">
        <v>1281238</v>
      </c>
      <c r="B7517" s="115" t="s">
        <v>7206</v>
      </c>
      <c r="C7517" s="117">
        <v>92.53</v>
      </c>
    </row>
    <row r="7518" spans="1:3" x14ac:dyDescent="0.25">
      <c r="A7518" s="115">
        <v>1281260</v>
      </c>
      <c r="B7518" s="115" t="s">
        <v>7207</v>
      </c>
      <c r="C7518" s="117">
        <v>423.21</v>
      </c>
    </row>
    <row r="7519" spans="1:3" x14ac:dyDescent="0.25">
      <c r="A7519" s="115">
        <v>1281239</v>
      </c>
      <c r="B7519" s="115" t="s">
        <v>7208</v>
      </c>
      <c r="C7519" s="117">
        <v>423.21</v>
      </c>
    </row>
    <row r="7520" spans="1:3" x14ac:dyDescent="0.25">
      <c r="A7520" s="115">
        <v>1281125</v>
      </c>
      <c r="B7520" s="115" t="s">
        <v>12401</v>
      </c>
      <c r="C7520" s="117">
        <v>651.83000000000004</v>
      </c>
    </row>
    <row r="7521" spans="1:3" x14ac:dyDescent="0.25">
      <c r="A7521" s="115">
        <v>1281183</v>
      </c>
      <c r="B7521" s="115" t="s">
        <v>12402</v>
      </c>
      <c r="C7521" s="117">
        <v>651.83000000000004</v>
      </c>
    </row>
    <row r="7522" spans="1:3" x14ac:dyDescent="0.25">
      <c r="A7522" s="115">
        <v>1287964</v>
      </c>
      <c r="B7522" s="115" t="s">
        <v>7209</v>
      </c>
      <c r="C7522" s="117">
        <v>679.66</v>
      </c>
    </row>
    <row r="7523" spans="1:3" x14ac:dyDescent="0.25">
      <c r="A7523" s="115">
        <v>1286164</v>
      </c>
      <c r="B7523" s="115" t="s">
        <v>7210</v>
      </c>
      <c r="C7523" s="117">
        <v>1553.72</v>
      </c>
    </row>
    <row r="7524" spans="1:3" x14ac:dyDescent="0.25">
      <c r="A7524" s="115">
        <v>1287969</v>
      </c>
      <c r="B7524" s="115" t="s">
        <v>7211</v>
      </c>
      <c r="C7524" s="117">
        <v>679.66</v>
      </c>
    </row>
    <row r="7525" spans="1:3" x14ac:dyDescent="0.25">
      <c r="A7525" s="115">
        <v>1287961</v>
      </c>
      <c r="B7525" s="115" t="s">
        <v>7212</v>
      </c>
      <c r="C7525" s="117">
        <v>679.66</v>
      </c>
    </row>
    <row r="7526" spans="1:3" x14ac:dyDescent="0.25">
      <c r="A7526" s="115">
        <v>1286163</v>
      </c>
      <c r="B7526" s="115" t="s">
        <v>7213</v>
      </c>
      <c r="C7526" s="117">
        <v>1553.72</v>
      </c>
    </row>
    <row r="7527" spans="1:3" x14ac:dyDescent="0.25">
      <c r="A7527" s="115">
        <v>1285820</v>
      </c>
      <c r="B7527" s="115" t="s">
        <v>7214</v>
      </c>
      <c r="C7527" s="117">
        <v>478.3</v>
      </c>
    </row>
    <row r="7528" spans="1:3" x14ac:dyDescent="0.25">
      <c r="A7528" s="115">
        <v>1280171</v>
      </c>
      <c r="B7528" s="115" t="s">
        <v>7215</v>
      </c>
      <c r="C7528" s="117">
        <v>622.78</v>
      </c>
    </row>
    <row r="7529" spans="1:3" x14ac:dyDescent="0.25">
      <c r="A7529" s="115">
        <v>1280123</v>
      </c>
      <c r="B7529" s="115" t="s">
        <v>7216</v>
      </c>
      <c r="C7529" s="117">
        <v>560.08000000000004</v>
      </c>
    </row>
    <row r="7530" spans="1:3" x14ac:dyDescent="0.25">
      <c r="A7530" s="115">
        <v>1280185</v>
      </c>
      <c r="B7530" s="115" t="s">
        <v>7217</v>
      </c>
      <c r="C7530" s="117">
        <v>390.06</v>
      </c>
    </row>
    <row r="7531" spans="1:3" x14ac:dyDescent="0.25">
      <c r="A7531" s="115">
        <v>1281124</v>
      </c>
      <c r="B7531" s="115" t="s">
        <v>7218</v>
      </c>
      <c r="C7531" s="117">
        <v>845.64</v>
      </c>
    </row>
    <row r="7532" spans="1:3" x14ac:dyDescent="0.25">
      <c r="A7532" s="115">
        <v>1281154</v>
      </c>
      <c r="B7532" s="115" t="s">
        <v>7219</v>
      </c>
      <c r="C7532" s="117">
        <v>845.64</v>
      </c>
    </row>
    <row r="7533" spans="1:3" x14ac:dyDescent="0.25">
      <c r="A7533" s="115">
        <v>1281182</v>
      </c>
      <c r="B7533" s="115" t="s">
        <v>7220</v>
      </c>
      <c r="C7533" s="117">
        <v>845.64</v>
      </c>
    </row>
    <row r="7534" spans="1:3" x14ac:dyDescent="0.25">
      <c r="A7534" s="115">
        <v>1282703</v>
      </c>
      <c r="B7534" s="115" t="s">
        <v>7221</v>
      </c>
      <c r="C7534" s="117">
        <v>1901.61</v>
      </c>
    </row>
    <row r="7535" spans="1:3" x14ac:dyDescent="0.25">
      <c r="A7535" s="115">
        <v>1282700</v>
      </c>
      <c r="B7535" s="115" t="s">
        <v>11623</v>
      </c>
      <c r="C7535" s="117">
        <v>722.49</v>
      </c>
    </row>
    <row r="7536" spans="1:3" x14ac:dyDescent="0.25">
      <c r="A7536" s="115">
        <v>1287970</v>
      </c>
      <c r="B7536" s="115" t="s">
        <v>7222</v>
      </c>
      <c r="C7536" s="117">
        <v>679.66</v>
      </c>
    </row>
    <row r="7537" spans="1:3" x14ac:dyDescent="0.25">
      <c r="A7537" s="115">
        <v>1282500</v>
      </c>
      <c r="B7537" s="115" t="s">
        <v>11624</v>
      </c>
      <c r="C7537" s="117">
        <v>722.49</v>
      </c>
    </row>
    <row r="7538" spans="1:3" x14ac:dyDescent="0.25">
      <c r="A7538" s="115">
        <v>1280424</v>
      </c>
      <c r="B7538" s="115" t="s">
        <v>11625</v>
      </c>
      <c r="C7538" s="117">
        <v>658.54</v>
      </c>
    </row>
    <row r="7539" spans="1:3" x14ac:dyDescent="0.25">
      <c r="A7539" s="115">
        <v>1280454</v>
      </c>
      <c r="B7539" s="115" t="s">
        <v>7223</v>
      </c>
      <c r="C7539" s="117">
        <v>658.54</v>
      </c>
    </row>
    <row r="7540" spans="1:3" x14ac:dyDescent="0.25">
      <c r="A7540" s="115">
        <v>1280438</v>
      </c>
      <c r="B7540" s="115" t="s">
        <v>11626</v>
      </c>
      <c r="C7540" s="117">
        <v>658.54</v>
      </c>
    </row>
    <row r="7541" spans="1:3" x14ac:dyDescent="0.25">
      <c r="A7541" s="115">
        <v>1280482</v>
      </c>
      <c r="B7541" s="115" t="s">
        <v>11627</v>
      </c>
      <c r="C7541" s="117">
        <v>658.54</v>
      </c>
    </row>
    <row r="7542" spans="1:3" x14ac:dyDescent="0.25">
      <c r="A7542" s="115">
        <v>1289917</v>
      </c>
      <c r="B7542" s="115" t="s">
        <v>7224</v>
      </c>
      <c r="C7542" s="117">
        <v>521.26</v>
      </c>
    </row>
    <row r="7543" spans="1:3" x14ac:dyDescent="0.25">
      <c r="A7543" s="115">
        <v>1289916</v>
      </c>
      <c r="B7543" s="115" t="s">
        <v>7225</v>
      </c>
      <c r="C7543" s="117">
        <v>521.26</v>
      </c>
    </row>
    <row r="7544" spans="1:3" x14ac:dyDescent="0.25">
      <c r="A7544" s="115">
        <v>1289930</v>
      </c>
      <c r="B7544" s="115" t="s">
        <v>7226</v>
      </c>
      <c r="C7544" s="117">
        <v>730.78</v>
      </c>
    </row>
    <row r="7545" spans="1:3" x14ac:dyDescent="0.25">
      <c r="A7545" s="115">
        <v>1280083</v>
      </c>
      <c r="B7545" s="115" t="s">
        <v>7227</v>
      </c>
      <c r="C7545" s="117">
        <v>601.12</v>
      </c>
    </row>
    <row r="7546" spans="1:3" x14ac:dyDescent="0.25">
      <c r="A7546" s="115">
        <v>1280000</v>
      </c>
      <c r="B7546" s="115" t="s">
        <v>7228</v>
      </c>
      <c r="C7546" s="117">
        <v>601.12</v>
      </c>
    </row>
    <row r="7547" spans="1:3" x14ac:dyDescent="0.25">
      <c r="A7547" s="115">
        <v>1280032</v>
      </c>
      <c r="B7547" s="115" t="s">
        <v>7229</v>
      </c>
      <c r="C7547" s="117">
        <v>601.12</v>
      </c>
    </row>
    <row r="7548" spans="1:3" x14ac:dyDescent="0.25">
      <c r="A7548" s="115">
        <v>1280024</v>
      </c>
      <c r="B7548" s="115" t="s">
        <v>7230</v>
      </c>
      <c r="C7548" s="117">
        <v>601.12</v>
      </c>
    </row>
    <row r="7549" spans="1:3" x14ac:dyDescent="0.25">
      <c r="A7549" s="115">
        <v>1280038</v>
      </c>
      <c r="B7549" s="115" t="s">
        <v>7231</v>
      </c>
      <c r="C7549" s="117">
        <v>601.12</v>
      </c>
    </row>
    <row r="7550" spans="1:3" x14ac:dyDescent="0.25">
      <c r="A7550" s="115">
        <v>1280066</v>
      </c>
      <c r="B7550" s="115" t="s">
        <v>7232</v>
      </c>
      <c r="C7550" s="117">
        <v>601.12</v>
      </c>
    </row>
    <row r="7551" spans="1:3" x14ac:dyDescent="0.25">
      <c r="A7551" s="115">
        <v>1280082</v>
      </c>
      <c r="B7551" s="115" t="s">
        <v>7233</v>
      </c>
      <c r="C7551" s="117">
        <v>601.12</v>
      </c>
    </row>
    <row r="7552" spans="1:3" x14ac:dyDescent="0.25">
      <c r="A7552" s="115">
        <v>1280054</v>
      </c>
      <c r="B7552" s="115" t="s">
        <v>7234</v>
      </c>
      <c r="C7552" s="117">
        <v>601.12</v>
      </c>
    </row>
    <row r="7553" spans="1:3" x14ac:dyDescent="0.25">
      <c r="A7553" s="115">
        <v>1280124</v>
      </c>
      <c r="B7553" s="115" t="s">
        <v>7235</v>
      </c>
      <c r="C7553" s="117">
        <v>1077.73</v>
      </c>
    </row>
    <row r="7554" spans="1:3" x14ac:dyDescent="0.25">
      <c r="A7554" s="115">
        <v>1280138</v>
      </c>
      <c r="B7554" s="115" t="s">
        <v>7236</v>
      </c>
      <c r="C7554" s="117">
        <v>1077.73</v>
      </c>
    </row>
    <row r="7555" spans="1:3" x14ac:dyDescent="0.25">
      <c r="A7555" s="115">
        <v>1280182</v>
      </c>
      <c r="B7555" s="115" t="s">
        <v>7237</v>
      </c>
      <c r="C7555" s="117">
        <v>1077.73</v>
      </c>
    </row>
    <row r="7556" spans="1:3" x14ac:dyDescent="0.25">
      <c r="A7556" s="115">
        <v>1280204</v>
      </c>
      <c r="B7556" s="115" t="s">
        <v>7238</v>
      </c>
      <c r="C7556" s="117">
        <v>521.26</v>
      </c>
    </row>
    <row r="7557" spans="1:3" x14ac:dyDescent="0.25">
      <c r="A7557" s="115">
        <v>1265040</v>
      </c>
      <c r="B7557" s="115" t="s">
        <v>7239</v>
      </c>
      <c r="C7557" s="117">
        <v>933.19</v>
      </c>
    </row>
    <row r="7558" spans="1:3" x14ac:dyDescent="0.25">
      <c r="A7558" s="115">
        <v>1287636</v>
      </c>
      <c r="B7558" s="115" t="s">
        <v>12403</v>
      </c>
      <c r="C7558" s="117">
        <v>932.04</v>
      </c>
    </row>
    <row r="7559" spans="1:3" x14ac:dyDescent="0.25">
      <c r="A7559" s="115">
        <v>1287620</v>
      </c>
      <c r="B7559" s="115" t="s">
        <v>7240</v>
      </c>
      <c r="C7559" s="117">
        <v>443.4</v>
      </c>
    </row>
    <row r="7560" spans="1:3" x14ac:dyDescent="0.25">
      <c r="A7560" s="115">
        <v>1289722</v>
      </c>
      <c r="B7560" s="115" t="s">
        <v>7241</v>
      </c>
      <c r="C7560" s="117">
        <v>712.95</v>
      </c>
    </row>
    <row r="7561" spans="1:3" x14ac:dyDescent="0.25">
      <c r="A7561" s="115">
        <v>1289732</v>
      </c>
      <c r="B7561" s="115" t="s">
        <v>7242</v>
      </c>
      <c r="C7561" s="117">
        <v>712.95</v>
      </c>
    </row>
    <row r="7562" spans="1:3" x14ac:dyDescent="0.25">
      <c r="A7562" s="115">
        <v>1287640</v>
      </c>
      <c r="B7562" s="115" t="s">
        <v>7243</v>
      </c>
      <c r="C7562" s="117">
        <v>878.23</v>
      </c>
    </row>
    <row r="7563" spans="1:3" x14ac:dyDescent="0.25">
      <c r="A7563" s="115">
        <v>1282024</v>
      </c>
      <c r="B7563" s="115" t="s">
        <v>11628</v>
      </c>
      <c r="C7563" s="117">
        <v>312.08999999999997</v>
      </c>
    </row>
    <row r="7564" spans="1:3" x14ac:dyDescent="0.25">
      <c r="A7564" s="115">
        <v>1282038</v>
      </c>
      <c r="B7564" s="115" t="s">
        <v>11629</v>
      </c>
      <c r="C7564" s="117">
        <v>312.08999999999997</v>
      </c>
    </row>
    <row r="7565" spans="1:3" x14ac:dyDescent="0.25">
      <c r="A7565" s="115">
        <v>1282082</v>
      </c>
      <c r="B7565" s="115" t="s">
        <v>11630</v>
      </c>
      <c r="C7565" s="117">
        <v>312.08999999999997</v>
      </c>
    </row>
    <row r="7566" spans="1:3" x14ac:dyDescent="0.25">
      <c r="A7566" s="115">
        <v>1287224</v>
      </c>
      <c r="B7566" s="115" t="s">
        <v>7244</v>
      </c>
      <c r="C7566" s="117">
        <v>599</v>
      </c>
    </row>
    <row r="7567" spans="1:3" x14ac:dyDescent="0.25">
      <c r="A7567" s="115">
        <v>1287238</v>
      </c>
      <c r="B7567" s="115" t="s">
        <v>11631</v>
      </c>
      <c r="C7567" s="117">
        <v>599</v>
      </c>
    </row>
    <row r="7568" spans="1:3" x14ac:dyDescent="0.25">
      <c r="A7568" s="115">
        <v>1287282</v>
      </c>
      <c r="B7568" s="115" t="s">
        <v>11632</v>
      </c>
      <c r="C7568" s="117">
        <v>599</v>
      </c>
    </row>
    <row r="7569" spans="1:3" x14ac:dyDescent="0.25">
      <c r="A7569" s="115">
        <v>1282600</v>
      </c>
      <c r="B7569" s="115" t="s">
        <v>12404</v>
      </c>
      <c r="C7569" s="117">
        <v>722.49</v>
      </c>
    </row>
    <row r="7570" spans="1:3" x14ac:dyDescent="0.25">
      <c r="A7570" s="115">
        <v>1285063</v>
      </c>
      <c r="B7570" s="115" t="s">
        <v>7245</v>
      </c>
      <c r="C7570" s="117">
        <v>254.09</v>
      </c>
    </row>
    <row r="7571" spans="1:3" x14ac:dyDescent="0.25">
      <c r="A7571" s="115">
        <v>1282932</v>
      </c>
      <c r="B7571" s="115" t="s">
        <v>7246</v>
      </c>
      <c r="C7571" s="117">
        <v>722.49</v>
      </c>
    </row>
    <row r="7572" spans="1:3" x14ac:dyDescent="0.25">
      <c r="A7572" s="115">
        <v>1282903</v>
      </c>
      <c r="B7572" s="115" t="s">
        <v>11633</v>
      </c>
      <c r="C7572" s="117">
        <v>1901.61</v>
      </c>
    </row>
    <row r="7573" spans="1:3" x14ac:dyDescent="0.25">
      <c r="A7573" s="115">
        <v>1280843</v>
      </c>
      <c r="B7573" s="115" t="s">
        <v>7247</v>
      </c>
      <c r="C7573" s="117">
        <v>496.1</v>
      </c>
    </row>
    <row r="7574" spans="1:3" x14ac:dyDescent="0.25">
      <c r="A7574" s="115">
        <v>1280836</v>
      </c>
      <c r="B7574" s="115" t="s">
        <v>7248</v>
      </c>
      <c r="C7574" s="117">
        <v>259.36</v>
      </c>
    </row>
    <row r="7575" spans="1:3" x14ac:dyDescent="0.25">
      <c r="A7575" s="115">
        <v>1281425</v>
      </c>
      <c r="B7575" s="115" t="s">
        <v>7249</v>
      </c>
      <c r="C7575" s="117">
        <v>683.42</v>
      </c>
    </row>
    <row r="7576" spans="1:3" x14ac:dyDescent="0.25">
      <c r="A7576" s="115">
        <v>1281473</v>
      </c>
      <c r="B7576" s="115" t="s">
        <v>7250</v>
      </c>
      <c r="C7576" s="117">
        <v>683.42</v>
      </c>
    </row>
    <row r="7577" spans="1:3" x14ac:dyDescent="0.25">
      <c r="A7577" s="115">
        <v>1287112</v>
      </c>
      <c r="B7577" s="115" t="s">
        <v>7251</v>
      </c>
      <c r="C7577" s="117">
        <v>391.69</v>
      </c>
    </row>
    <row r="7578" spans="1:3" x14ac:dyDescent="0.25">
      <c r="A7578" s="115">
        <v>1287312</v>
      </c>
      <c r="B7578" s="115" t="s">
        <v>7252</v>
      </c>
      <c r="C7578" s="117">
        <v>694.09</v>
      </c>
    </row>
    <row r="7579" spans="1:3" x14ac:dyDescent="0.25">
      <c r="A7579" s="115">
        <v>1287412</v>
      </c>
      <c r="B7579" s="115" t="s">
        <v>7253</v>
      </c>
      <c r="C7579" s="117">
        <v>1073.1099999999999</v>
      </c>
    </row>
    <row r="7580" spans="1:3" x14ac:dyDescent="0.25">
      <c r="A7580" s="115">
        <v>1287414</v>
      </c>
      <c r="B7580" s="115" t="s">
        <v>12405</v>
      </c>
      <c r="C7580" s="117">
        <v>1073.1099999999999</v>
      </c>
    </row>
    <row r="7581" spans="1:3" x14ac:dyDescent="0.25">
      <c r="A7581" s="115">
        <v>1287120</v>
      </c>
      <c r="B7581" s="115" t="s">
        <v>7254</v>
      </c>
      <c r="C7581" s="117">
        <v>391.69</v>
      </c>
    </row>
    <row r="7582" spans="1:3" x14ac:dyDescent="0.25">
      <c r="A7582" s="115">
        <v>1287320</v>
      </c>
      <c r="B7582" s="115" t="s">
        <v>12406</v>
      </c>
      <c r="C7582" s="117">
        <v>694.09</v>
      </c>
    </row>
    <row r="7583" spans="1:3" x14ac:dyDescent="0.25">
      <c r="A7583" s="115">
        <v>1287110</v>
      </c>
      <c r="B7583" s="115" t="s">
        <v>7255</v>
      </c>
      <c r="C7583" s="117">
        <v>391.69</v>
      </c>
    </row>
    <row r="7584" spans="1:3" x14ac:dyDescent="0.25">
      <c r="A7584" s="115">
        <v>1287310</v>
      </c>
      <c r="B7584" s="115" t="s">
        <v>7256</v>
      </c>
      <c r="C7584" s="117">
        <v>694.09</v>
      </c>
    </row>
    <row r="7585" spans="1:3" x14ac:dyDescent="0.25">
      <c r="A7585" s="115">
        <v>1287410</v>
      </c>
      <c r="B7585" s="115" t="s">
        <v>7257</v>
      </c>
      <c r="C7585" s="117">
        <v>1073.1099999999999</v>
      </c>
    </row>
    <row r="7586" spans="1:3" x14ac:dyDescent="0.25">
      <c r="A7586" s="115">
        <v>1287300</v>
      </c>
      <c r="B7586" s="115" t="s">
        <v>7258</v>
      </c>
      <c r="C7586" s="117">
        <v>694.09</v>
      </c>
    </row>
    <row r="7587" spans="1:3" x14ac:dyDescent="0.25">
      <c r="A7587" s="115">
        <v>1287121</v>
      </c>
      <c r="B7587" s="115" t="s">
        <v>7259</v>
      </c>
      <c r="C7587" s="117">
        <v>391.69</v>
      </c>
    </row>
    <row r="7588" spans="1:3" x14ac:dyDescent="0.25">
      <c r="A7588" s="115">
        <v>1287321</v>
      </c>
      <c r="B7588" s="115" t="s">
        <v>7260</v>
      </c>
      <c r="C7588" s="117">
        <v>694.09</v>
      </c>
    </row>
    <row r="7589" spans="1:3" x14ac:dyDescent="0.25">
      <c r="A7589" s="115">
        <v>1287421</v>
      </c>
      <c r="B7589" s="115" t="s">
        <v>7261</v>
      </c>
      <c r="C7589" s="117">
        <v>1073.1099999999999</v>
      </c>
    </row>
    <row r="7590" spans="1:3" x14ac:dyDescent="0.25">
      <c r="A7590" s="115">
        <v>1287107</v>
      </c>
      <c r="B7590" s="115" t="s">
        <v>7262</v>
      </c>
      <c r="C7590" s="117">
        <v>391.69</v>
      </c>
    </row>
    <row r="7591" spans="1:3" x14ac:dyDescent="0.25">
      <c r="A7591" s="115">
        <v>1287307</v>
      </c>
      <c r="B7591" s="115" t="s">
        <v>7263</v>
      </c>
      <c r="C7591" s="117">
        <v>694.09</v>
      </c>
    </row>
    <row r="7592" spans="1:3" x14ac:dyDescent="0.25">
      <c r="A7592" s="115">
        <v>1287407</v>
      </c>
      <c r="B7592" s="115" t="s">
        <v>7264</v>
      </c>
      <c r="C7592" s="117">
        <v>1073.1099999999999</v>
      </c>
    </row>
    <row r="7593" spans="1:3" x14ac:dyDescent="0.25">
      <c r="A7593" s="115">
        <v>1287106</v>
      </c>
      <c r="B7593" s="115" t="s">
        <v>7265</v>
      </c>
      <c r="C7593" s="117">
        <v>527.32000000000005</v>
      </c>
    </row>
    <row r="7594" spans="1:3" x14ac:dyDescent="0.25">
      <c r="A7594" s="115">
        <v>1287306</v>
      </c>
      <c r="B7594" s="115" t="s">
        <v>7266</v>
      </c>
      <c r="C7594" s="117">
        <v>935.95</v>
      </c>
    </row>
    <row r="7595" spans="1:3" x14ac:dyDescent="0.25">
      <c r="A7595" s="115">
        <v>1287406</v>
      </c>
      <c r="B7595" s="115" t="s">
        <v>7267</v>
      </c>
      <c r="C7595" s="117">
        <v>1338.9</v>
      </c>
    </row>
    <row r="7596" spans="1:3" x14ac:dyDescent="0.25">
      <c r="A7596" s="115">
        <v>1287398</v>
      </c>
      <c r="B7596" s="115" t="s">
        <v>12407</v>
      </c>
      <c r="C7596" s="117">
        <v>694.09</v>
      </c>
    </row>
    <row r="7597" spans="1:3" x14ac:dyDescent="0.25">
      <c r="A7597" s="115">
        <v>1287105</v>
      </c>
      <c r="B7597" s="115" t="s">
        <v>7268</v>
      </c>
      <c r="C7597" s="117">
        <v>412.31</v>
      </c>
    </row>
    <row r="7598" spans="1:3" x14ac:dyDescent="0.25">
      <c r="A7598" s="115">
        <v>1287332</v>
      </c>
      <c r="B7598" s="115" t="s">
        <v>7269</v>
      </c>
      <c r="C7598" s="117">
        <v>658.7</v>
      </c>
    </row>
    <row r="7599" spans="1:3" x14ac:dyDescent="0.25">
      <c r="A7599" s="115">
        <v>1287305</v>
      </c>
      <c r="B7599" s="115" t="s">
        <v>7270</v>
      </c>
      <c r="C7599" s="117">
        <v>694.09</v>
      </c>
    </row>
    <row r="7600" spans="1:3" x14ac:dyDescent="0.25">
      <c r="A7600" s="115">
        <v>1287405</v>
      </c>
      <c r="B7600" s="115" t="s">
        <v>7271</v>
      </c>
      <c r="C7600" s="117">
        <v>1044.8</v>
      </c>
    </row>
    <row r="7601" spans="1:3" x14ac:dyDescent="0.25">
      <c r="A7601" s="115">
        <v>1287326</v>
      </c>
      <c r="B7601" s="115" t="s">
        <v>12408</v>
      </c>
      <c r="C7601" s="117">
        <v>694.09</v>
      </c>
    </row>
    <row r="7602" spans="1:3" x14ac:dyDescent="0.25">
      <c r="A7602" s="115">
        <v>1287426</v>
      </c>
      <c r="B7602" s="115" t="s">
        <v>7272</v>
      </c>
      <c r="C7602" s="117">
        <v>1073.1099999999999</v>
      </c>
    </row>
    <row r="7603" spans="1:3" x14ac:dyDescent="0.25">
      <c r="A7603" s="115">
        <v>1280820</v>
      </c>
      <c r="B7603" s="115" t="s">
        <v>7273</v>
      </c>
      <c r="C7603" s="117">
        <v>505.69</v>
      </c>
    </row>
    <row r="7604" spans="1:3" x14ac:dyDescent="0.25">
      <c r="A7604" s="144" t="s">
        <v>7274</v>
      </c>
      <c r="B7604" s="145"/>
      <c r="C7604" s="145"/>
    </row>
    <row r="7605" spans="1:3" x14ac:dyDescent="0.25">
      <c r="A7605" s="115">
        <v>2189450</v>
      </c>
      <c r="B7605" s="115" t="s">
        <v>11968</v>
      </c>
      <c r="C7605" s="117">
        <v>4052.68</v>
      </c>
    </row>
    <row r="7606" spans="1:3" x14ac:dyDescent="0.25">
      <c r="A7606" s="115">
        <v>2189448</v>
      </c>
      <c r="B7606" s="115" t="s">
        <v>11969</v>
      </c>
      <c r="C7606" s="117">
        <v>4052.68</v>
      </c>
    </row>
    <row r="7607" spans="1:3" x14ac:dyDescent="0.25">
      <c r="A7607" s="115">
        <v>2180464</v>
      </c>
      <c r="B7607" s="115" t="s">
        <v>7275</v>
      </c>
      <c r="C7607" s="117">
        <v>217.9</v>
      </c>
    </row>
    <row r="7608" spans="1:3" x14ac:dyDescent="0.25">
      <c r="A7608" s="115">
        <v>2189063</v>
      </c>
      <c r="B7608" s="115" t="s">
        <v>7276</v>
      </c>
      <c r="C7608" s="117">
        <v>1456.19</v>
      </c>
    </row>
    <row r="7609" spans="1:3" x14ac:dyDescent="0.25">
      <c r="A7609" s="115">
        <v>2189223</v>
      </c>
      <c r="B7609" s="115" t="s">
        <v>7277</v>
      </c>
      <c r="C7609" s="117">
        <v>145.25</v>
      </c>
    </row>
    <row r="7610" spans="1:3" x14ac:dyDescent="0.25">
      <c r="A7610" s="115">
        <v>2189222</v>
      </c>
      <c r="B7610" s="115" t="s">
        <v>7278</v>
      </c>
      <c r="C7610" s="117">
        <v>145.25</v>
      </c>
    </row>
    <row r="7611" spans="1:3" x14ac:dyDescent="0.25">
      <c r="A7611" s="115">
        <v>2189025</v>
      </c>
      <c r="B7611" s="115" t="s">
        <v>7279</v>
      </c>
      <c r="C7611" s="117">
        <v>1456.19</v>
      </c>
    </row>
    <row r="7612" spans="1:3" x14ac:dyDescent="0.25">
      <c r="A7612" s="115">
        <v>2189067</v>
      </c>
      <c r="B7612" s="115" t="s">
        <v>7280</v>
      </c>
      <c r="C7612" s="117">
        <v>1456.19</v>
      </c>
    </row>
    <row r="7613" spans="1:3" x14ac:dyDescent="0.25">
      <c r="A7613" s="115">
        <v>2189024</v>
      </c>
      <c r="B7613" s="115" t="s">
        <v>7281</v>
      </c>
      <c r="C7613" s="117">
        <v>1456.19</v>
      </c>
    </row>
    <row r="7614" spans="1:3" x14ac:dyDescent="0.25">
      <c r="A7614" s="115">
        <v>2189035</v>
      </c>
      <c r="B7614" s="115" t="s">
        <v>11970</v>
      </c>
      <c r="C7614" s="117">
        <v>1456.19</v>
      </c>
    </row>
    <row r="7615" spans="1:3" x14ac:dyDescent="0.25">
      <c r="A7615" s="115">
        <v>2189082</v>
      </c>
      <c r="B7615" s="115" t="s">
        <v>7282</v>
      </c>
      <c r="C7615" s="117">
        <v>1456.19</v>
      </c>
    </row>
    <row r="7616" spans="1:3" x14ac:dyDescent="0.25">
      <c r="A7616" s="115">
        <v>2181626</v>
      </c>
      <c r="B7616" s="115" t="s">
        <v>7283</v>
      </c>
      <c r="C7616" s="117">
        <v>1062.53</v>
      </c>
    </row>
    <row r="7617" spans="1:3" x14ac:dyDescent="0.25">
      <c r="A7617" s="115">
        <v>2181667</v>
      </c>
      <c r="B7617" s="115" t="s">
        <v>7284</v>
      </c>
      <c r="C7617" s="117">
        <v>1062.53</v>
      </c>
    </row>
    <row r="7618" spans="1:3" x14ac:dyDescent="0.25">
      <c r="A7618" s="115">
        <v>2181635</v>
      </c>
      <c r="B7618" s="115" t="s">
        <v>7285</v>
      </c>
      <c r="C7618" s="117">
        <v>1062.53</v>
      </c>
    </row>
    <row r="7619" spans="1:3" x14ac:dyDescent="0.25">
      <c r="A7619" s="115">
        <v>2181624</v>
      </c>
      <c r="B7619" s="115" t="s">
        <v>7286</v>
      </c>
      <c r="C7619" s="117">
        <v>1062.53</v>
      </c>
    </row>
    <row r="7620" spans="1:3" x14ac:dyDescent="0.25">
      <c r="A7620" s="115">
        <v>2181600</v>
      </c>
      <c r="B7620" s="115" t="s">
        <v>7287</v>
      </c>
      <c r="C7620" s="117">
        <v>1062.53</v>
      </c>
    </row>
    <row r="7621" spans="1:3" x14ac:dyDescent="0.25">
      <c r="A7621" s="115">
        <v>2180026</v>
      </c>
      <c r="B7621" s="115" t="s">
        <v>7288</v>
      </c>
      <c r="C7621" s="117">
        <v>1052.06</v>
      </c>
    </row>
    <row r="7622" spans="1:3" x14ac:dyDescent="0.25">
      <c r="A7622" s="115">
        <v>2180082</v>
      </c>
      <c r="B7622" s="115" t="s">
        <v>7289</v>
      </c>
      <c r="C7622" s="117">
        <v>1052.06</v>
      </c>
    </row>
    <row r="7623" spans="1:3" x14ac:dyDescent="0.25">
      <c r="A7623" s="115">
        <v>2180067</v>
      </c>
      <c r="B7623" s="115" t="s">
        <v>7290</v>
      </c>
      <c r="C7623" s="117">
        <v>1052.06</v>
      </c>
    </row>
    <row r="7624" spans="1:3" x14ac:dyDescent="0.25">
      <c r="A7624" s="115">
        <v>2181663</v>
      </c>
      <c r="B7624" s="115" t="s">
        <v>7291</v>
      </c>
      <c r="C7624" s="117">
        <v>1052.06</v>
      </c>
    </row>
    <row r="7625" spans="1:3" x14ac:dyDescent="0.25">
      <c r="A7625" s="115">
        <v>2180035</v>
      </c>
      <c r="B7625" s="115" t="s">
        <v>7292</v>
      </c>
      <c r="C7625" s="117">
        <v>1052.06</v>
      </c>
    </row>
    <row r="7626" spans="1:3" x14ac:dyDescent="0.25">
      <c r="A7626" s="115">
        <v>2180235</v>
      </c>
      <c r="B7626" s="115" t="s">
        <v>7293</v>
      </c>
      <c r="C7626" s="117">
        <v>1043.18</v>
      </c>
    </row>
    <row r="7627" spans="1:3" x14ac:dyDescent="0.25">
      <c r="A7627" s="115">
        <v>2181590</v>
      </c>
      <c r="B7627" s="115" t="s">
        <v>7294</v>
      </c>
      <c r="C7627" s="117">
        <v>852.81</v>
      </c>
    </row>
    <row r="7628" spans="1:3" x14ac:dyDescent="0.25">
      <c r="A7628" s="144" t="s">
        <v>7295</v>
      </c>
      <c r="B7628" s="145"/>
      <c r="C7628" s="145"/>
    </row>
    <row r="7629" spans="1:3" x14ac:dyDescent="0.25">
      <c r="A7629" s="115">
        <v>1284713</v>
      </c>
      <c r="B7629" s="115" t="s">
        <v>7296</v>
      </c>
      <c r="C7629" s="117">
        <v>746.52</v>
      </c>
    </row>
    <row r="7630" spans="1:3" x14ac:dyDescent="0.25">
      <c r="A7630" s="115">
        <v>1280863</v>
      </c>
      <c r="B7630" s="115" t="s">
        <v>7297</v>
      </c>
      <c r="C7630" s="117">
        <v>282.11</v>
      </c>
    </row>
    <row r="7631" spans="1:3" x14ac:dyDescent="0.25">
      <c r="A7631" s="115">
        <v>1280862</v>
      </c>
      <c r="B7631" s="115" t="s">
        <v>7298</v>
      </c>
      <c r="C7631" s="117">
        <v>282.11</v>
      </c>
    </row>
    <row r="7632" spans="1:3" x14ac:dyDescent="0.25">
      <c r="A7632" s="115">
        <v>1280882</v>
      </c>
      <c r="B7632" s="115" t="s">
        <v>7299</v>
      </c>
      <c r="C7632" s="117">
        <v>282.11</v>
      </c>
    </row>
    <row r="7633" spans="1:3" x14ac:dyDescent="0.25">
      <c r="A7633" s="115">
        <v>1286712</v>
      </c>
      <c r="B7633" s="115" t="s">
        <v>7300</v>
      </c>
      <c r="C7633" s="117">
        <v>400.94</v>
      </c>
    </row>
    <row r="7634" spans="1:3" x14ac:dyDescent="0.25">
      <c r="A7634" s="115">
        <v>1286727</v>
      </c>
      <c r="B7634" s="115" t="s">
        <v>7301</v>
      </c>
      <c r="C7634" s="117">
        <v>400.94</v>
      </c>
    </row>
    <row r="7635" spans="1:3" x14ac:dyDescent="0.25">
      <c r="A7635" s="115">
        <v>1286799</v>
      </c>
      <c r="B7635" s="115" t="s">
        <v>7302</v>
      </c>
      <c r="C7635" s="117">
        <v>467.2</v>
      </c>
    </row>
    <row r="7636" spans="1:3" x14ac:dyDescent="0.25">
      <c r="A7636" s="115">
        <v>1286769</v>
      </c>
      <c r="B7636" s="115" t="s">
        <v>7303</v>
      </c>
      <c r="C7636" s="117">
        <v>467.2</v>
      </c>
    </row>
    <row r="7637" spans="1:3" x14ac:dyDescent="0.25">
      <c r="A7637" s="115">
        <v>1283364</v>
      </c>
      <c r="B7637" s="115" t="s">
        <v>7304</v>
      </c>
      <c r="C7637" s="117">
        <v>2347.79</v>
      </c>
    </row>
    <row r="7638" spans="1:3" x14ac:dyDescent="0.25">
      <c r="A7638" s="115">
        <v>1283355</v>
      </c>
      <c r="B7638" s="115" t="s">
        <v>7305</v>
      </c>
      <c r="C7638" s="117">
        <v>3014.96</v>
      </c>
    </row>
    <row r="7639" spans="1:3" x14ac:dyDescent="0.25">
      <c r="A7639" s="115">
        <v>1280381</v>
      </c>
      <c r="B7639" s="115" t="s">
        <v>11971</v>
      </c>
      <c r="C7639" s="117">
        <v>494.18</v>
      </c>
    </row>
    <row r="7640" spans="1:3" x14ac:dyDescent="0.25">
      <c r="A7640" s="115">
        <v>1289699</v>
      </c>
      <c r="B7640" s="115" t="s">
        <v>11972</v>
      </c>
      <c r="C7640" s="117">
        <v>1275.93</v>
      </c>
    </row>
    <row r="7641" spans="1:3" x14ac:dyDescent="0.25">
      <c r="A7641" s="115">
        <v>1289663</v>
      </c>
      <c r="B7641" s="115" t="s">
        <v>11973</v>
      </c>
      <c r="C7641" s="117">
        <v>1814.73</v>
      </c>
    </row>
    <row r="7642" spans="1:3" x14ac:dyDescent="0.25">
      <c r="A7642" s="115">
        <v>1289627</v>
      </c>
      <c r="B7642" s="115" t="s">
        <v>11974</v>
      </c>
      <c r="C7642" s="117">
        <v>1275.93</v>
      </c>
    </row>
    <row r="7643" spans="1:3" x14ac:dyDescent="0.25">
      <c r="A7643" s="115">
        <v>1289642</v>
      </c>
      <c r="B7643" s="115" t="s">
        <v>11975</v>
      </c>
      <c r="C7643" s="117">
        <v>1553.64</v>
      </c>
    </row>
    <row r="7644" spans="1:3" x14ac:dyDescent="0.25">
      <c r="A7644" s="115">
        <v>1289210</v>
      </c>
      <c r="B7644" s="115" t="s">
        <v>7306</v>
      </c>
      <c r="C7644" s="117">
        <v>368.1</v>
      </c>
    </row>
    <row r="7645" spans="1:3" x14ac:dyDescent="0.25">
      <c r="A7645" s="115">
        <v>1289230</v>
      </c>
      <c r="B7645" s="115" t="s">
        <v>7307</v>
      </c>
      <c r="C7645" s="117">
        <v>736.21</v>
      </c>
    </row>
    <row r="7646" spans="1:3" x14ac:dyDescent="0.25">
      <c r="A7646" s="115">
        <v>1289250</v>
      </c>
      <c r="B7646" s="115" t="s">
        <v>7308</v>
      </c>
      <c r="C7646" s="117">
        <v>1104.31</v>
      </c>
    </row>
    <row r="7647" spans="1:3" x14ac:dyDescent="0.25">
      <c r="A7647" s="115">
        <v>1284329</v>
      </c>
      <c r="B7647" s="115" t="s">
        <v>7309</v>
      </c>
      <c r="C7647" s="117">
        <v>1011.8</v>
      </c>
    </row>
    <row r="7648" spans="1:3" x14ac:dyDescent="0.25">
      <c r="A7648" s="115">
        <v>1284376</v>
      </c>
      <c r="B7648" s="115" t="s">
        <v>7310</v>
      </c>
      <c r="C7648" s="117">
        <v>1011.8</v>
      </c>
    </row>
    <row r="7649" spans="1:3" x14ac:dyDescent="0.25">
      <c r="A7649" s="115">
        <v>1284375</v>
      </c>
      <c r="B7649" s="115" t="s">
        <v>7311</v>
      </c>
      <c r="C7649" s="117">
        <v>1011.8</v>
      </c>
    </row>
    <row r="7650" spans="1:3" x14ac:dyDescent="0.25">
      <c r="A7650" s="115">
        <v>1280348</v>
      </c>
      <c r="B7650" s="115" t="s">
        <v>11976</v>
      </c>
      <c r="C7650" s="117">
        <v>575.49</v>
      </c>
    </row>
    <row r="7651" spans="1:3" x14ac:dyDescent="0.25">
      <c r="A7651" s="115">
        <v>1283772</v>
      </c>
      <c r="B7651" s="115" t="s">
        <v>11977</v>
      </c>
      <c r="C7651" s="117">
        <v>678.44</v>
      </c>
    </row>
    <row r="7652" spans="1:3" x14ac:dyDescent="0.25">
      <c r="A7652" s="115">
        <v>1280380</v>
      </c>
      <c r="B7652" s="115" t="s">
        <v>11978</v>
      </c>
      <c r="C7652" s="117">
        <v>494.18</v>
      </c>
    </row>
    <row r="7653" spans="1:3" x14ac:dyDescent="0.25">
      <c r="A7653" s="115">
        <v>1283126</v>
      </c>
      <c r="B7653" s="115" t="s">
        <v>7312</v>
      </c>
      <c r="C7653" s="117">
        <v>1133.55</v>
      </c>
    </row>
    <row r="7654" spans="1:3" x14ac:dyDescent="0.25">
      <c r="A7654" s="115">
        <v>1283125</v>
      </c>
      <c r="B7654" s="115" t="s">
        <v>12409</v>
      </c>
      <c r="C7654" s="117">
        <v>1133.55</v>
      </c>
    </row>
    <row r="7655" spans="1:3" x14ac:dyDescent="0.25">
      <c r="A7655" s="115">
        <v>1283116</v>
      </c>
      <c r="B7655" s="115" t="s">
        <v>7313</v>
      </c>
      <c r="C7655" s="117">
        <v>471.29</v>
      </c>
    </row>
    <row r="7656" spans="1:3" x14ac:dyDescent="0.25">
      <c r="A7656" s="115">
        <v>1283163</v>
      </c>
      <c r="B7656" s="115" t="s">
        <v>12410</v>
      </c>
      <c r="C7656" s="117">
        <v>1133.55</v>
      </c>
    </row>
    <row r="7657" spans="1:3" x14ac:dyDescent="0.25">
      <c r="A7657" s="115">
        <v>1283117</v>
      </c>
      <c r="B7657" s="115" t="s">
        <v>7314</v>
      </c>
      <c r="C7657" s="117">
        <v>814.46</v>
      </c>
    </row>
    <row r="7658" spans="1:3" x14ac:dyDescent="0.25">
      <c r="A7658" s="115">
        <v>1284300</v>
      </c>
      <c r="B7658" s="115" t="s">
        <v>7315</v>
      </c>
      <c r="C7658" s="117">
        <v>966.9</v>
      </c>
    </row>
    <row r="7659" spans="1:3" x14ac:dyDescent="0.25">
      <c r="A7659" s="115">
        <v>1283800</v>
      </c>
      <c r="B7659" s="115" t="s">
        <v>7316</v>
      </c>
      <c r="C7659" s="117">
        <v>966.9</v>
      </c>
    </row>
    <row r="7660" spans="1:3" x14ac:dyDescent="0.25">
      <c r="A7660" s="115">
        <v>1280724</v>
      </c>
      <c r="B7660" s="115" t="s">
        <v>7317</v>
      </c>
      <c r="C7660" s="117">
        <v>887.16</v>
      </c>
    </row>
    <row r="7661" spans="1:3" x14ac:dyDescent="0.25">
      <c r="A7661" s="115">
        <v>1283300</v>
      </c>
      <c r="B7661" s="115" t="s">
        <v>7318</v>
      </c>
      <c r="C7661" s="117">
        <v>814.46</v>
      </c>
    </row>
    <row r="7662" spans="1:3" x14ac:dyDescent="0.25">
      <c r="A7662" s="115">
        <v>1283501</v>
      </c>
      <c r="B7662" s="115" t="s">
        <v>12411</v>
      </c>
      <c r="C7662" s="117">
        <v>1181.72</v>
      </c>
    </row>
    <row r="7663" spans="1:3" x14ac:dyDescent="0.25">
      <c r="A7663" s="115">
        <v>1289245</v>
      </c>
      <c r="B7663" s="115" t="s">
        <v>7319</v>
      </c>
      <c r="C7663" s="117">
        <v>401.98</v>
      </c>
    </row>
    <row r="7664" spans="1:3" x14ac:dyDescent="0.25">
      <c r="A7664" s="115">
        <v>1289240</v>
      </c>
      <c r="B7664" s="115" t="s">
        <v>7320</v>
      </c>
      <c r="C7664" s="117">
        <v>1004.95</v>
      </c>
    </row>
    <row r="7665" spans="1:3" x14ac:dyDescent="0.25">
      <c r="A7665" s="115">
        <v>1280924</v>
      </c>
      <c r="B7665" s="115" t="s">
        <v>7321</v>
      </c>
      <c r="C7665" s="117">
        <v>678.44</v>
      </c>
    </row>
    <row r="7666" spans="1:3" x14ac:dyDescent="0.25">
      <c r="A7666" s="115">
        <v>1280928</v>
      </c>
      <c r="B7666" s="115" t="s">
        <v>7322</v>
      </c>
      <c r="C7666" s="117">
        <v>678.44</v>
      </c>
    </row>
    <row r="7667" spans="1:3" x14ac:dyDescent="0.25">
      <c r="A7667" s="115">
        <v>1280900</v>
      </c>
      <c r="B7667" s="115" t="s">
        <v>7323</v>
      </c>
      <c r="C7667" s="117">
        <v>678.44</v>
      </c>
    </row>
    <row r="7668" spans="1:3" x14ac:dyDescent="0.25">
      <c r="A7668" s="115">
        <v>1289071</v>
      </c>
      <c r="B7668" s="115" t="s">
        <v>7324</v>
      </c>
      <c r="C7668" s="117">
        <v>475.07</v>
      </c>
    </row>
    <row r="7669" spans="1:3" x14ac:dyDescent="0.25">
      <c r="A7669" s="115">
        <v>1289072</v>
      </c>
      <c r="B7669" s="115" t="s">
        <v>7325</v>
      </c>
      <c r="C7669" s="117">
        <v>475.07</v>
      </c>
    </row>
    <row r="7670" spans="1:3" x14ac:dyDescent="0.25">
      <c r="A7670" s="115">
        <v>1289073</v>
      </c>
      <c r="B7670" s="115" t="s">
        <v>7326</v>
      </c>
      <c r="C7670" s="117">
        <v>475.07</v>
      </c>
    </row>
    <row r="7671" spans="1:3" x14ac:dyDescent="0.25">
      <c r="A7671" s="115">
        <v>1289070</v>
      </c>
      <c r="B7671" s="115" t="s">
        <v>7327</v>
      </c>
      <c r="C7671" s="117">
        <v>475.07</v>
      </c>
    </row>
    <row r="7672" spans="1:3" x14ac:dyDescent="0.25">
      <c r="A7672" s="115">
        <v>1289030</v>
      </c>
      <c r="B7672" s="115" t="s">
        <v>7328</v>
      </c>
      <c r="C7672" s="117">
        <v>642.34</v>
      </c>
    </row>
    <row r="7673" spans="1:3" x14ac:dyDescent="0.25">
      <c r="A7673" s="115">
        <v>1289008</v>
      </c>
      <c r="B7673" s="115" t="s">
        <v>7329</v>
      </c>
      <c r="C7673" s="117">
        <v>665.91</v>
      </c>
    </row>
    <row r="7674" spans="1:3" x14ac:dyDescent="0.25">
      <c r="A7674" s="115">
        <v>1289004</v>
      </c>
      <c r="B7674" s="115" t="s">
        <v>7330</v>
      </c>
      <c r="C7674" s="117">
        <v>930.97</v>
      </c>
    </row>
    <row r="7675" spans="1:3" x14ac:dyDescent="0.25">
      <c r="A7675" s="115">
        <v>1283500</v>
      </c>
      <c r="B7675" s="115" t="s">
        <v>11634</v>
      </c>
      <c r="C7675" s="117">
        <v>970.14</v>
      </c>
    </row>
    <row r="7676" spans="1:3" x14ac:dyDescent="0.25">
      <c r="A7676" s="115">
        <v>1281639</v>
      </c>
      <c r="B7676" s="115" t="s">
        <v>7331</v>
      </c>
      <c r="C7676" s="117">
        <v>1315.73</v>
      </c>
    </row>
    <row r="7677" spans="1:3" x14ac:dyDescent="0.25">
      <c r="A7677" s="115">
        <v>1281616</v>
      </c>
      <c r="B7677" s="115" t="s">
        <v>7332</v>
      </c>
      <c r="C7677" s="117">
        <v>176.42</v>
      </c>
    </row>
    <row r="7678" spans="1:3" x14ac:dyDescent="0.25">
      <c r="A7678" s="115">
        <v>1285525</v>
      </c>
      <c r="B7678" s="115" t="s">
        <v>7333</v>
      </c>
      <c r="C7678" s="117">
        <v>1047.05</v>
      </c>
    </row>
    <row r="7679" spans="1:3" x14ac:dyDescent="0.25">
      <c r="A7679" s="115">
        <v>1285552</v>
      </c>
      <c r="B7679" s="115" t="s">
        <v>12412</v>
      </c>
      <c r="C7679" s="117">
        <v>548.6</v>
      </c>
    </row>
    <row r="7680" spans="1:3" x14ac:dyDescent="0.25">
      <c r="A7680" s="115">
        <v>1285563</v>
      </c>
      <c r="B7680" s="115" t="s">
        <v>7334</v>
      </c>
      <c r="C7680" s="117">
        <v>1047.05</v>
      </c>
    </row>
    <row r="7681" spans="1:3" x14ac:dyDescent="0.25">
      <c r="A7681" s="115">
        <v>1280324</v>
      </c>
      <c r="B7681" s="115" t="s">
        <v>7335</v>
      </c>
      <c r="C7681" s="117">
        <v>751.25</v>
      </c>
    </row>
    <row r="7682" spans="1:3" x14ac:dyDescent="0.25">
      <c r="A7682" s="115">
        <v>1280333</v>
      </c>
      <c r="B7682" s="115" t="s">
        <v>7336</v>
      </c>
      <c r="C7682" s="117">
        <v>926.42</v>
      </c>
    </row>
    <row r="7683" spans="1:3" x14ac:dyDescent="0.25">
      <c r="A7683" s="115">
        <v>1280331</v>
      </c>
      <c r="B7683" s="115" t="s">
        <v>7337</v>
      </c>
      <c r="C7683" s="117">
        <v>926.42</v>
      </c>
    </row>
    <row r="7684" spans="1:3" x14ac:dyDescent="0.25">
      <c r="A7684" s="115">
        <v>1280347</v>
      </c>
      <c r="B7684" s="115" t="s">
        <v>7338</v>
      </c>
      <c r="C7684" s="117">
        <v>883.3</v>
      </c>
    </row>
    <row r="7685" spans="1:3" x14ac:dyDescent="0.25">
      <c r="A7685" s="115">
        <v>1280336</v>
      </c>
      <c r="B7685" s="115" t="s">
        <v>7339</v>
      </c>
      <c r="C7685" s="117">
        <v>926.42</v>
      </c>
    </row>
    <row r="7686" spans="1:3" x14ac:dyDescent="0.25">
      <c r="A7686" s="115">
        <v>1280338</v>
      </c>
      <c r="B7686" s="115" t="s">
        <v>7340</v>
      </c>
      <c r="C7686" s="117">
        <v>933.19</v>
      </c>
    </row>
    <row r="7687" spans="1:3" x14ac:dyDescent="0.25">
      <c r="A7687" s="115">
        <v>1280500</v>
      </c>
      <c r="B7687" s="115" t="s">
        <v>7341</v>
      </c>
      <c r="C7687" s="117">
        <v>567.58000000000004</v>
      </c>
    </row>
    <row r="7688" spans="1:3" x14ac:dyDescent="0.25">
      <c r="A7688" s="115">
        <v>1280521</v>
      </c>
      <c r="B7688" s="115" t="s">
        <v>7342</v>
      </c>
      <c r="C7688" s="117">
        <v>624.29</v>
      </c>
    </row>
    <row r="7689" spans="1:3" x14ac:dyDescent="0.25">
      <c r="A7689" s="115">
        <v>1280518</v>
      </c>
      <c r="B7689" s="115" t="s">
        <v>7343</v>
      </c>
      <c r="C7689" s="117">
        <v>567.58000000000004</v>
      </c>
    </row>
    <row r="7690" spans="1:3" x14ac:dyDescent="0.25">
      <c r="A7690" s="115">
        <v>1289535</v>
      </c>
      <c r="B7690" s="115" t="s">
        <v>7344</v>
      </c>
      <c r="C7690" s="117">
        <v>975.19</v>
      </c>
    </row>
    <row r="7691" spans="1:3" x14ac:dyDescent="0.25">
      <c r="A7691" s="115">
        <v>1289537</v>
      </c>
      <c r="B7691" s="115" t="s">
        <v>7345</v>
      </c>
      <c r="C7691" s="117">
        <v>952.03</v>
      </c>
    </row>
    <row r="7692" spans="1:3" x14ac:dyDescent="0.25">
      <c r="A7692" s="115">
        <v>1289554</v>
      </c>
      <c r="B7692" s="115" t="s">
        <v>7346</v>
      </c>
      <c r="C7692" s="117">
        <v>952.24</v>
      </c>
    </row>
    <row r="7693" spans="1:3" x14ac:dyDescent="0.25">
      <c r="A7693" s="115">
        <v>1289536</v>
      </c>
      <c r="B7693" s="115" t="s">
        <v>7347</v>
      </c>
      <c r="C7693" s="117">
        <v>1448.21</v>
      </c>
    </row>
    <row r="7694" spans="1:3" x14ac:dyDescent="0.25">
      <c r="A7694" s="115">
        <v>1289528</v>
      </c>
      <c r="B7694" s="115" t="s">
        <v>7348</v>
      </c>
      <c r="C7694" s="117">
        <v>978.34</v>
      </c>
    </row>
    <row r="7695" spans="1:3" x14ac:dyDescent="0.25">
      <c r="A7695" s="115">
        <v>1289572</v>
      </c>
      <c r="B7695" s="115" t="s">
        <v>7349</v>
      </c>
      <c r="C7695" s="117">
        <v>787.48</v>
      </c>
    </row>
    <row r="7696" spans="1:3" x14ac:dyDescent="0.25">
      <c r="A7696" s="115">
        <v>1289538</v>
      </c>
      <c r="B7696" s="115" t="s">
        <v>7350</v>
      </c>
      <c r="C7696" s="117">
        <v>1360.08</v>
      </c>
    </row>
    <row r="7697" spans="1:3" x14ac:dyDescent="0.25">
      <c r="A7697" s="115">
        <v>1289524</v>
      </c>
      <c r="B7697" s="115" t="s">
        <v>7351</v>
      </c>
      <c r="C7697" s="117">
        <v>1079.97</v>
      </c>
    </row>
    <row r="7698" spans="1:3" x14ac:dyDescent="0.25">
      <c r="A7698" s="115">
        <v>1289573</v>
      </c>
      <c r="B7698" s="115" t="s">
        <v>7352</v>
      </c>
      <c r="C7698" s="117">
        <v>952.24</v>
      </c>
    </row>
    <row r="7699" spans="1:3" x14ac:dyDescent="0.25">
      <c r="A7699" s="115">
        <v>1285952</v>
      </c>
      <c r="B7699" s="115" t="s">
        <v>7353</v>
      </c>
      <c r="C7699" s="117">
        <v>589.16999999999996</v>
      </c>
    </row>
    <row r="7700" spans="1:3" x14ac:dyDescent="0.25">
      <c r="A7700" s="115">
        <v>1286352</v>
      </c>
      <c r="B7700" s="115" t="s">
        <v>7354</v>
      </c>
      <c r="C7700" s="117">
        <v>923.16</v>
      </c>
    </row>
    <row r="7701" spans="1:3" x14ac:dyDescent="0.25">
      <c r="A7701" s="115">
        <v>1285953</v>
      </c>
      <c r="B7701" s="115" t="s">
        <v>7355</v>
      </c>
      <c r="C7701" s="117">
        <v>589.16999999999996</v>
      </c>
    </row>
    <row r="7702" spans="1:3" x14ac:dyDescent="0.25">
      <c r="A7702" s="115">
        <v>1285701</v>
      </c>
      <c r="B7702" s="115" t="s">
        <v>7356</v>
      </c>
      <c r="C7702" s="117">
        <v>688.74</v>
      </c>
    </row>
    <row r="7703" spans="1:3" x14ac:dyDescent="0.25">
      <c r="A7703" s="115">
        <v>1285700</v>
      </c>
      <c r="B7703" s="115" t="s">
        <v>7357</v>
      </c>
      <c r="C7703" s="117">
        <v>688.74</v>
      </c>
    </row>
    <row r="7704" spans="1:3" x14ac:dyDescent="0.25">
      <c r="A7704" s="115">
        <v>1286000</v>
      </c>
      <c r="B7704" s="115" t="s">
        <v>7358</v>
      </c>
      <c r="C7704" s="117">
        <v>531.78</v>
      </c>
    </row>
    <row r="7705" spans="1:3" x14ac:dyDescent="0.25">
      <c r="A7705" s="115">
        <v>1285987</v>
      </c>
      <c r="B7705" s="115" t="s">
        <v>7359</v>
      </c>
      <c r="C7705" s="117">
        <v>589.16999999999996</v>
      </c>
    </row>
    <row r="7706" spans="1:3" x14ac:dyDescent="0.25">
      <c r="A7706" s="115">
        <v>1286387</v>
      </c>
      <c r="B7706" s="115" t="s">
        <v>7360</v>
      </c>
      <c r="C7706" s="117">
        <v>923.16</v>
      </c>
    </row>
    <row r="7707" spans="1:3" x14ac:dyDescent="0.25">
      <c r="A7707" s="115">
        <v>1285988</v>
      </c>
      <c r="B7707" s="115" t="s">
        <v>7361</v>
      </c>
      <c r="C7707" s="117">
        <v>589.16999999999996</v>
      </c>
    </row>
    <row r="7708" spans="1:3" x14ac:dyDescent="0.25">
      <c r="A7708" s="115">
        <v>1287902</v>
      </c>
      <c r="B7708" s="115" t="s">
        <v>7362</v>
      </c>
      <c r="C7708" s="117">
        <v>573.02</v>
      </c>
    </row>
    <row r="7709" spans="1:3" x14ac:dyDescent="0.25">
      <c r="A7709" s="115">
        <v>1286102</v>
      </c>
      <c r="B7709" s="115" t="s">
        <v>7363</v>
      </c>
      <c r="C7709" s="117">
        <v>1300.6600000000001</v>
      </c>
    </row>
    <row r="7710" spans="1:3" x14ac:dyDescent="0.25">
      <c r="A7710" s="115">
        <v>1288305</v>
      </c>
      <c r="B7710" s="115" t="s">
        <v>7364</v>
      </c>
      <c r="C7710" s="117">
        <v>1038.57</v>
      </c>
    </row>
    <row r="7711" spans="1:3" x14ac:dyDescent="0.25">
      <c r="A7711" s="115">
        <v>1288431</v>
      </c>
      <c r="B7711" s="115" t="s">
        <v>7365</v>
      </c>
      <c r="C7711" s="117">
        <v>1038.57</v>
      </c>
    </row>
    <row r="7712" spans="1:3" x14ac:dyDescent="0.25">
      <c r="A7712" s="115">
        <v>1288123</v>
      </c>
      <c r="B7712" s="115" t="s">
        <v>7366</v>
      </c>
      <c r="C7712" s="117">
        <v>1023.52</v>
      </c>
    </row>
    <row r="7713" spans="1:3" x14ac:dyDescent="0.25">
      <c r="A7713" s="115">
        <v>1288227</v>
      </c>
      <c r="B7713" s="115" t="s">
        <v>7367</v>
      </c>
      <c r="C7713" s="117">
        <v>1038.57</v>
      </c>
    </row>
    <row r="7714" spans="1:3" x14ac:dyDescent="0.25">
      <c r="A7714" s="115">
        <v>1288531</v>
      </c>
      <c r="B7714" s="115" t="s">
        <v>7368</v>
      </c>
      <c r="C7714" s="117">
        <v>1038.57</v>
      </c>
    </row>
    <row r="7715" spans="1:3" x14ac:dyDescent="0.25">
      <c r="A7715" s="115">
        <v>1281063</v>
      </c>
      <c r="B7715" s="115" t="s">
        <v>7369</v>
      </c>
      <c r="C7715" s="117">
        <v>588.82000000000005</v>
      </c>
    </row>
    <row r="7716" spans="1:3" x14ac:dyDescent="0.25">
      <c r="A7716" s="115">
        <v>1281053</v>
      </c>
      <c r="B7716" s="115" t="s">
        <v>7370</v>
      </c>
      <c r="C7716" s="117">
        <v>588.82000000000005</v>
      </c>
    </row>
    <row r="7717" spans="1:3" x14ac:dyDescent="0.25">
      <c r="A7717" s="115">
        <v>1281054</v>
      </c>
      <c r="B7717" s="115" t="s">
        <v>7371</v>
      </c>
      <c r="C7717" s="117">
        <v>588.82000000000005</v>
      </c>
    </row>
    <row r="7718" spans="1:3" x14ac:dyDescent="0.25">
      <c r="A7718" s="115">
        <v>1281014</v>
      </c>
      <c r="B7718" s="115" t="s">
        <v>7372</v>
      </c>
      <c r="C7718" s="117">
        <v>588.82000000000005</v>
      </c>
    </row>
    <row r="7719" spans="1:3" x14ac:dyDescent="0.25">
      <c r="A7719" s="115">
        <v>1281052</v>
      </c>
      <c r="B7719" s="115" t="s">
        <v>7373</v>
      </c>
      <c r="C7719" s="117">
        <v>845.64</v>
      </c>
    </row>
    <row r="7720" spans="1:3" x14ac:dyDescent="0.25">
      <c r="A7720" s="115">
        <v>1281082</v>
      </c>
      <c r="B7720" s="115" t="s">
        <v>7374</v>
      </c>
      <c r="C7720" s="117">
        <v>588.82000000000005</v>
      </c>
    </row>
    <row r="7721" spans="1:3" x14ac:dyDescent="0.25">
      <c r="A7721" s="115">
        <v>1281099</v>
      </c>
      <c r="B7721" s="115" t="s">
        <v>7375</v>
      </c>
      <c r="C7721" s="117">
        <v>1386.54</v>
      </c>
    </row>
    <row r="7722" spans="1:3" x14ac:dyDescent="0.25">
      <c r="A7722" s="115">
        <v>1283001</v>
      </c>
      <c r="B7722" s="115" t="s">
        <v>7376</v>
      </c>
      <c r="C7722" s="117">
        <v>698.22</v>
      </c>
    </row>
    <row r="7723" spans="1:3" x14ac:dyDescent="0.25">
      <c r="A7723" s="115">
        <v>1283037</v>
      </c>
      <c r="B7723" s="115" t="s">
        <v>7377</v>
      </c>
      <c r="C7723" s="117">
        <v>525.20000000000005</v>
      </c>
    </row>
    <row r="7724" spans="1:3" x14ac:dyDescent="0.25">
      <c r="A7724" s="115">
        <v>1287020</v>
      </c>
      <c r="B7724" s="115" t="s">
        <v>7378</v>
      </c>
      <c r="C7724" s="117">
        <v>854.71</v>
      </c>
    </row>
    <row r="7725" spans="1:3" x14ac:dyDescent="0.25">
      <c r="A7725" s="115">
        <v>1287040</v>
      </c>
      <c r="B7725" s="115" t="s">
        <v>7379</v>
      </c>
      <c r="C7725" s="117">
        <v>1636.66</v>
      </c>
    </row>
    <row r="7726" spans="1:3" x14ac:dyDescent="0.25">
      <c r="A7726" s="115">
        <v>1285218</v>
      </c>
      <c r="B7726" s="115" t="s">
        <v>7380</v>
      </c>
      <c r="C7726" s="117">
        <v>192.93</v>
      </c>
    </row>
    <row r="7727" spans="1:3" x14ac:dyDescent="0.25">
      <c r="A7727" s="115">
        <v>1280104</v>
      </c>
      <c r="B7727" s="115" t="s">
        <v>11635</v>
      </c>
      <c r="C7727" s="117">
        <v>1400.77</v>
      </c>
    </row>
    <row r="7728" spans="1:3" x14ac:dyDescent="0.25">
      <c r="A7728" s="115">
        <v>1280005</v>
      </c>
      <c r="B7728" s="115" t="s">
        <v>11636</v>
      </c>
      <c r="C7728" s="117">
        <v>1321.1</v>
      </c>
    </row>
    <row r="7729" spans="1:3" x14ac:dyDescent="0.25">
      <c r="A7729" s="115">
        <v>1280106</v>
      </c>
      <c r="B7729" s="115" t="s">
        <v>12413</v>
      </c>
      <c r="C7729" s="117">
        <v>1321.1</v>
      </c>
    </row>
    <row r="7730" spans="1:3" x14ac:dyDescent="0.25">
      <c r="A7730" s="115">
        <v>1280103</v>
      </c>
      <c r="B7730" s="115" t="s">
        <v>11637</v>
      </c>
      <c r="C7730" s="117">
        <v>1321.1</v>
      </c>
    </row>
    <row r="7731" spans="1:3" x14ac:dyDescent="0.25">
      <c r="A7731" s="115">
        <v>1280105</v>
      </c>
      <c r="B7731" s="115" t="s">
        <v>12414</v>
      </c>
      <c r="C7731" s="117">
        <v>1321.1</v>
      </c>
    </row>
    <row r="7732" spans="1:3" x14ac:dyDescent="0.25">
      <c r="A7732" s="115">
        <v>1280763</v>
      </c>
      <c r="B7732" s="115" t="s">
        <v>7381</v>
      </c>
      <c r="C7732" s="117">
        <v>182.93</v>
      </c>
    </row>
    <row r="7733" spans="1:3" x14ac:dyDescent="0.25">
      <c r="A7733" s="115">
        <v>1280782</v>
      </c>
      <c r="B7733" s="115" t="s">
        <v>7382</v>
      </c>
      <c r="C7733" s="117">
        <v>182.93</v>
      </c>
    </row>
    <row r="7734" spans="1:3" x14ac:dyDescent="0.25">
      <c r="A7734" s="115">
        <v>1288556</v>
      </c>
      <c r="B7734" s="115" t="s">
        <v>7383</v>
      </c>
      <c r="C7734" s="117">
        <v>1005.25</v>
      </c>
    </row>
    <row r="7735" spans="1:3" x14ac:dyDescent="0.25">
      <c r="A7735" s="115">
        <v>1288557</v>
      </c>
      <c r="B7735" s="115" t="s">
        <v>7384</v>
      </c>
      <c r="C7735" s="117">
        <v>1005.25</v>
      </c>
    </row>
    <row r="7736" spans="1:3" x14ac:dyDescent="0.25">
      <c r="A7736" s="115">
        <v>1288503</v>
      </c>
      <c r="B7736" s="115" t="s">
        <v>7385</v>
      </c>
      <c r="C7736" s="117">
        <v>153.22999999999999</v>
      </c>
    </row>
    <row r="7737" spans="1:3" x14ac:dyDescent="0.25">
      <c r="A7737" s="115">
        <v>1288521</v>
      </c>
      <c r="B7737" s="115" t="s">
        <v>7386</v>
      </c>
      <c r="C7737" s="117">
        <v>966.18</v>
      </c>
    </row>
    <row r="7738" spans="1:3" x14ac:dyDescent="0.25">
      <c r="A7738" s="115">
        <v>1288510</v>
      </c>
      <c r="B7738" s="115" t="s">
        <v>7387</v>
      </c>
      <c r="C7738" s="117">
        <v>626.97</v>
      </c>
    </row>
    <row r="7739" spans="1:3" x14ac:dyDescent="0.25">
      <c r="A7739" s="115">
        <v>1288573</v>
      </c>
      <c r="B7739" s="115" t="s">
        <v>7388</v>
      </c>
      <c r="C7739" s="117">
        <v>966.18</v>
      </c>
    </row>
    <row r="7740" spans="1:3" x14ac:dyDescent="0.25">
      <c r="A7740" s="115">
        <v>1288751</v>
      </c>
      <c r="B7740" s="115" t="s">
        <v>7389</v>
      </c>
      <c r="C7740" s="117">
        <v>1005.45</v>
      </c>
    </row>
    <row r="7741" spans="1:3" x14ac:dyDescent="0.25">
      <c r="A7741" s="115">
        <v>1288563</v>
      </c>
      <c r="B7741" s="115" t="s">
        <v>7390</v>
      </c>
      <c r="C7741" s="117">
        <v>1005.45</v>
      </c>
    </row>
    <row r="7742" spans="1:3" x14ac:dyDescent="0.25">
      <c r="A7742" s="115">
        <v>1288564</v>
      </c>
      <c r="B7742" s="115" t="s">
        <v>7391</v>
      </c>
      <c r="C7742" s="117">
        <v>1005.45</v>
      </c>
    </row>
    <row r="7743" spans="1:3" x14ac:dyDescent="0.25">
      <c r="A7743" s="115">
        <v>1288741</v>
      </c>
      <c r="B7743" s="115" t="s">
        <v>7392</v>
      </c>
      <c r="C7743" s="117">
        <v>1005.45</v>
      </c>
    </row>
    <row r="7744" spans="1:3" x14ac:dyDescent="0.25">
      <c r="A7744" s="115">
        <v>1286340</v>
      </c>
      <c r="B7744" s="115" t="s">
        <v>7393</v>
      </c>
      <c r="C7744" s="117">
        <v>180.41</v>
      </c>
    </row>
    <row r="7745" spans="1:3" x14ac:dyDescent="0.25">
      <c r="A7745" s="115">
        <v>1280299</v>
      </c>
      <c r="B7745" s="115" t="s">
        <v>7394</v>
      </c>
      <c r="C7745" s="117">
        <v>601.12</v>
      </c>
    </row>
    <row r="7746" spans="1:3" x14ac:dyDescent="0.25">
      <c r="A7746" s="115">
        <v>1280225</v>
      </c>
      <c r="B7746" s="115" t="s">
        <v>7395</v>
      </c>
      <c r="C7746" s="117">
        <v>521.26</v>
      </c>
    </row>
    <row r="7747" spans="1:3" x14ac:dyDescent="0.25">
      <c r="A7747" s="115">
        <v>1280224</v>
      </c>
      <c r="B7747" s="115" t="s">
        <v>7396</v>
      </c>
      <c r="C7747" s="117">
        <v>521.26</v>
      </c>
    </row>
    <row r="7748" spans="1:3" x14ac:dyDescent="0.25">
      <c r="A7748" s="115">
        <v>1280203</v>
      </c>
      <c r="B7748" s="115" t="s">
        <v>7397</v>
      </c>
      <c r="C7748" s="117">
        <v>521.26</v>
      </c>
    </row>
    <row r="7749" spans="1:3" x14ac:dyDescent="0.25">
      <c r="A7749" s="115">
        <v>1280262</v>
      </c>
      <c r="B7749" s="115" t="s">
        <v>7398</v>
      </c>
      <c r="C7749" s="117">
        <v>521.26</v>
      </c>
    </row>
    <row r="7750" spans="1:3" x14ac:dyDescent="0.25">
      <c r="A7750" s="115">
        <v>1280201</v>
      </c>
      <c r="B7750" s="115" t="s">
        <v>7399</v>
      </c>
      <c r="C7750" s="117">
        <v>521.26</v>
      </c>
    </row>
    <row r="7751" spans="1:3" x14ac:dyDescent="0.25">
      <c r="A7751" s="115">
        <v>1280266</v>
      </c>
      <c r="B7751" s="115" t="s">
        <v>7400</v>
      </c>
      <c r="C7751" s="117">
        <v>521.26</v>
      </c>
    </row>
    <row r="7752" spans="1:3" x14ac:dyDescent="0.25">
      <c r="A7752" s="115">
        <v>1280267</v>
      </c>
      <c r="B7752" s="115" t="s">
        <v>7401</v>
      </c>
      <c r="C7752" s="117">
        <v>521.26</v>
      </c>
    </row>
    <row r="7753" spans="1:3" x14ac:dyDescent="0.25">
      <c r="A7753" s="115">
        <v>1280282</v>
      </c>
      <c r="B7753" s="115" t="s">
        <v>7402</v>
      </c>
      <c r="C7753" s="117">
        <v>521.26</v>
      </c>
    </row>
    <row r="7754" spans="1:3" x14ac:dyDescent="0.25">
      <c r="A7754" s="115">
        <v>1282200</v>
      </c>
      <c r="B7754" s="115" t="s">
        <v>7403</v>
      </c>
      <c r="C7754" s="117">
        <v>816.65</v>
      </c>
    </row>
    <row r="7755" spans="1:3" x14ac:dyDescent="0.25">
      <c r="A7755" s="115">
        <v>1289800</v>
      </c>
      <c r="B7755" s="115" t="s">
        <v>7404</v>
      </c>
      <c r="C7755" s="117">
        <v>966.9</v>
      </c>
    </row>
    <row r="7756" spans="1:3" x14ac:dyDescent="0.25">
      <c r="A7756" s="115">
        <v>1287832</v>
      </c>
      <c r="B7756" s="115" t="s">
        <v>7405</v>
      </c>
      <c r="C7756" s="117">
        <v>698.47</v>
      </c>
    </row>
    <row r="7757" spans="1:3" x14ac:dyDescent="0.25">
      <c r="A7757" s="115">
        <v>1287854</v>
      </c>
      <c r="B7757" s="115" t="s">
        <v>7406</v>
      </c>
      <c r="C7757" s="117">
        <v>698.47</v>
      </c>
    </row>
    <row r="7758" spans="1:3" x14ac:dyDescent="0.25">
      <c r="A7758" s="115">
        <v>1287863</v>
      </c>
      <c r="B7758" s="115" t="s">
        <v>7407</v>
      </c>
      <c r="C7758" s="117">
        <v>698.47</v>
      </c>
    </row>
    <row r="7759" spans="1:3" x14ac:dyDescent="0.25">
      <c r="A7759" s="115">
        <v>1285038</v>
      </c>
      <c r="B7759" s="115" t="s">
        <v>7408</v>
      </c>
      <c r="C7759" s="117">
        <v>307.06</v>
      </c>
    </row>
    <row r="7760" spans="1:3" x14ac:dyDescent="0.25">
      <c r="A7760" s="115">
        <v>1285082</v>
      </c>
      <c r="B7760" s="115" t="s">
        <v>7409</v>
      </c>
      <c r="C7760" s="117">
        <v>307.06</v>
      </c>
    </row>
    <row r="7761" spans="1:3" x14ac:dyDescent="0.25">
      <c r="A7761" s="115">
        <v>1285064</v>
      </c>
      <c r="B7761" s="115" t="s">
        <v>7410</v>
      </c>
      <c r="C7761" s="117">
        <v>307.06</v>
      </c>
    </row>
    <row r="7762" spans="1:3" x14ac:dyDescent="0.25">
      <c r="A7762" s="115">
        <v>1281615</v>
      </c>
      <c r="B7762" s="115" t="s">
        <v>7411</v>
      </c>
      <c r="C7762" s="117">
        <v>403.8</v>
      </c>
    </row>
    <row r="7763" spans="1:3" x14ac:dyDescent="0.25">
      <c r="A7763" s="115">
        <v>1281640</v>
      </c>
      <c r="B7763" s="115" t="s">
        <v>7412</v>
      </c>
      <c r="C7763" s="117">
        <v>1040.9000000000001</v>
      </c>
    </row>
    <row r="7764" spans="1:3" x14ac:dyDescent="0.25">
      <c r="A7764" s="115">
        <v>1282150</v>
      </c>
      <c r="B7764" s="115" t="s">
        <v>7413</v>
      </c>
      <c r="C7764" s="117">
        <v>1604.87</v>
      </c>
    </row>
    <row r="7765" spans="1:3" x14ac:dyDescent="0.25">
      <c r="A7765" s="115">
        <v>1280834</v>
      </c>
      <c r="B7765" s="115" t="s">
        <v>7414</v>
      </c>
      <c r="C7765" s="117">
        <v>259.36</v>
      </c>
    </row>
    <row r="7766" spans="1:3" x14ac:dyDescent="0.25">
      <c r="A7766" s="115">
        <v>1280883</v>
      </c>
      <c r="B7766" s="115" t="s">
        <v>7415</v>
      </c>
      <c r="C7766" s="117">
        <v>422.15</v>
      </c>
    </row>
    <row r="7767" spans="1:3" x14ac:dyDescent="0.25">
      <c r="A7767" s="115">
        <v>1280823</v>
      </c>
      <c r="B7767" s="115" t="s">
        <v>7416</v>
      </c>
      <c r="C7767" s="117">
        <v>257.61</v>
      </c>
    </row>
    <row r="7768" spans="1:3" x14ac:dyDescent="0.25">
      <c r="A7768" s="115">
        <v>1280809</v>
      </c>
      <c r="B7768" s="115" t="s">
        <v>7417</v>
      </c>
      <c r="C7768" s="117">
        <v>259.36</v>
      </c>
    </row>
    <row r="7769" spans="1:3" x14ac:dyDescent="0.25">
      <c r="A7769" s="115">
        <v>1280884</v>
      </c>
      <c r="B7769" s="115" t="s">
        <v>7418</v>
      </c>
      <c r="C7769" s="117">
        <v>422.15</v>
      </c>
    </row>
    <row r="7770" spans="1:3" x14ac:dyDescent="0.25">
      <c r="A7770" s="115">
        <v>1280301</v>
      </c>
      <c r="B7770" s="115" t="s">
        <v>7419</v>
      </c>
      <c r="C7770" s="117">
        <v>205.11</v>
      </c>
    </row>
    <row r="7771" spans="1:3" x14ac:dyDescent="0.25">
      <c r="A7771" s="115">
        <v>1280300</v>
      </c>
      <c r="B7771" s="115" t="s">
        <v>7420</v>
      </c>
      <c r="C7771" s="117">
        <v>1010.33</v>
      </c>
    </row>
    <row r="7772" spans="1:3" x14ac:dyDescent="0.25">
      <c r="A7772" s="115">
        <v>1289830</v>
      </c>
      <c r="B7772" s="115" t="s">
        <v>7421</v>
      </c>
      <c r="C7772" s="117">
        <v>901.62</v>
      </c>
    </row>
    <row r="7773" spans="1:3" x14ac:dyDescent="0.25">
      <c r="A7773" s="115">
        <v>1289850</v>
      </c>
      <c r="B7773" s="115" t="s">
        <v>7422</v>
      </c>
      <c r="C7773" s="117">
        <v>370.51</v>
      </c>
    </row>
    <row r="7774" spans="1:3" x14ac:dyDescent="0.25">
      <c r="A7774" s="115">
        <v>1287104</v>
      </c>
      <c r="B7774" s="115" t="s">
        <v>7423</v>
      </c>
      <c r="C7774" s="117">
        <v>527.32000000000005</v>
      </c>
    </row>
    <row r="7775" spans="1:3" x14ac:dyDescent="0.25">
      <c r="A7775" s="115">
        <v>1287462</v>
      </c>
      <c r="B7775" s="115" t="s">
        <v>7424</v>
      </c>
      <c r="C7775" s="117">
        <v>992.56</v>
      </c>
    </row>
    <row r="7776" spans="1:3" x14ac:dyDescent="0.25">
      <c r="A7776" s="115">
        <v>1287454</v>
      </c>
      <c r="B7776" s="115" t="s">
        <v>7425</v>
      </c>
      <c r="C7776" s="117">
        <v>992.56</v>
      </c>
    </row>
    <row r="7777" spans="1:3" x14ac:dyDescent="0.25">
      <c r="A7777" s="115">
        <v>1287302</v>
      </c>
      <c r="B7777" s="115" t="s">
        <v>7426</v>
      </c>
      <c r="C7777" s="117">
        <v>694.09</v>
      </c>
    </row>
    <row r="7778" spans="1:3" x14ac:dyDescent="0.25">
      <c r="A7778" s="115">
        <v>1287325</v>
      </c>
      <c r="B7778" s="115" t="s">
        <v>7427</v>
      </c>
      <c r="C7778" s="117">
        <v>694.09</v>
      </c>
    </row>
    <row r="7779" spans="1:3" x14ac:dyDescent="0.25">
      <c r="A7779" s="115">
        <v>1287163</v>
      </c>
      <c r="B7779" s="115" t="s">
        <v>7428</v>
      </c>
      <c r="C7779" s="117">
        <v>527.32000000000005</v>
      </c>
    </row>
    <row r="7780" spans="1:3" x14ac:dyDescent="0.25">
      <c r="A7780" s="115">
        <v>1287363</v>
      </c>
      <c r="B7780" s="115" t="s">
        <v>7429</v>
      </c>
      <c r="C7780" s="117">
        <v>935.95</v>
      </c>
    </row>
    <row r="7781" spans="1:3" x14ac:dyDescent="0.25">
      <c r="A7781" s="115">
        <v>1287114</v>
      </c>
      <c r="B7781" s="115" t="s">
        <v>11979</v>
      </c>
      <c r="C7781" s="117">
        <v>384.6</v>
      </c>
    </row>
    <row r="7782" spans="1:3" x14ac:dyDescent="0.25">
      <c r="A7782" s="115">
        <v>1287314</v>
      </c>
      <c r="B7782" s="115" t="s">
        <v>7430</v>
      </c>
      <c r="C7782" s="117">
        <v>694.09</v>
      </c>
    </row>
    <row r="7783" spans="1:3" x14ac:dyDescent="0.25">
      <c r="A7783" s="115">
        <v>1287420</v>
      </c>
      <c r="B7783" s="115" t="s">
        <v>7431</v>
      </c>
      <c r="C7783" s="117">
        <v>992.56</v>
      </c>
    </row>
    <row r="7784" spans="1:3" x14ac:dyDescent="0.25">
      <c r="A7784" s="115">
        <v>1287182</v>
      </c>
      <c r="B7784" s="115" t="s">
        <v>7432</v>
      </c>
      <c r="C7784" s="117">
        <v>694.09</v>
      </c>
    </row>
    <row r="7785" spans="1:3" x14ac:dyDescent="0.25">
      <c r="A7785" s="115">
        <v>1287351</v>
      </c>
      <c r="B7785" s="115" t="s">
        <v>7433</v>
      </c>
      <c r="C7785" s="117">
        <v>908.41</v>
      </c>
    </row>
    <row r="7786" spans="1:3" x14ac:dyDescent="0.25">
      <c r="A7786" s="115">
        <v>1287108</v>
      </c>
      <c r="B7786" s="115" t="s">
        <v>7434</v>
      </c>
      <c r="C7786" s="117">
        <v>527.32000000000005</v>
      </c>
    </row>
    <row r="7787" spans="1:3" x14ac:dyDescent="0.25">
      <c r="A7787" s="115">
        <v>1287308</v>
      </c>
      <c r="B7787" s="115" t="s">
        <v>7435</v>
      </c>
      <c r="C7787" s="117">
        <v>935.95</v>
      </c>
    </row>
    <row r="7788" spans="1:3" x14ac:dyDescent="0.25">
      <c r="A7788" s="115">
        <v>1287315</v>
      </c>
      <c r="B7788" s="115" t="s">
        <v>7436</v>
      </c>
      <c r="C7788" s="117">
        <v>621.51</v>
      </c>
    </row>
    <row r="7789" spans="1:3" x14ac:dyDescent="0.25">
      <c r="A7789" s="115">
        <v>1287415</v>
      </c>
      <c r="B7789" s="115" t="s">
        <v>7437</v>
      </c>
      <c r="C7789" s="117">
        <v>1057.56</v>
      </c>
    </row>
    <row r="7790" spans="1:3" x14ac:dyDescent="0.25">
      <c r="A7790" s="115">
        <v>1287101</v>
      </c>
      <c r="B7790" s="115" t="s">
        <v>7438</v>
      </c>
      <c r="C7790" s="117">
        <v>391.69</v>
      </c>
    </row>
    <row r="7791" spans="1:3" x14ac:dyDescent="0.25">
      <c r="A7791" s="115">
        <v>1287301</v>
      </c>
      <c r="B7791" s="115" t="s">
        <v>7439</v>
      </c>
      <c r="C7791" s="117">
        <v>694.09</v>
      </c>
    </row>
    <row r="7792" spans="1:3" x14ac:dyDescent="0.25">
      <c r="A7792" s="115">
        <v>1287303</v>
      </c>
      <c r="B7792" s="115" t="s">
        <v>12415</v>
      </c>
      <c r="C7792" s="117">
        <v>694.09</v>
      </c>
    </row>
    <row r="7793" spans="1:3" x14ac:dyDescent="0.25">
      <c r="A7793" s="115">
        <v>1287118</v>
      </c>
      <c r="B7793" s="115" t="s">
        <v>7440</v>
      </c>
      <c r="C7793" s="117">
        <v>391.69</v>
      </c>
    </row>
    <row r="7794" spans="1:3" x14ac:dyDescent="0.25">
      <c r="A7794" s="115">
        <v>1287418</v>
      </c>
      <c r="B7794" s="115" t="s">
        <v>7441</v>
      </c>
      <c r="C7794" s="117">
        <v>992.56</v>
      </c>
    </row>
    <row r="7795" spans="1:3" x14ac:dyDescent="0.25">
      <c r="A7795" s="115">
        <v>1287103</v>
      </c>
      <c r="B7795" s="115" t="s">
        <v>7442</v>
      </c>
      <c r="C7795" s="117">
        <v>391.69</v>
      </c>
    </row>
    <row r="7796" spans="1:3" x14ac:dyDescent="0.25">
      <c r="A7796" s="115">
        <v>1287403</v>
      </c>
      <c r="B7796" s="115" t="s">
        <v>7443</v>
      </c>
      <c r="C7796" s="117">
        <v>992.56</v>
      </c>
    </row>
    <row r="7797" spans="1:3" x14ac:dyDescent="0.25">
      <c r="A7797" s="115">
        <v>1287116</v>
      </c>
      <c r="B7797" s="115" t="s">
        <v>7444</v>
      </c>
      <c r="C7797" s="117">
        <v>391.69</v>
      </c>
    </row>
    <row r="7798" spans="1:3" x14ac:dyDescent="0.25">
      <c r="A7798" s="115">
        <v>1287316</v>
      </c>
      <c r="B7798" s="115" t="s">
        <v>7445</v>
      </c>
      <c r="C7798" s="117">
        <v>694.09</v>
      </c>
    </row>
    <row r="7799" spans="1:3" x14ac:dyDescent="0.25">
      <c r="A7799" s="115">
        <v>1287916</v>
      </c>
      <c r="B7799" s="115" t="s">
        <v>7446</v>
      </c>
      <c r="C7799" s="117">
        <v>670.21</v>
      </c>
    </row>
    <row r="7800" spans="1:3" x14ac:dyDescent="0.25">
      <c r="A7800" s="115">
        <v>1287932</v>
      </c>
      <c r="B7800" s="115" t="s">
        <v>7447</v>
      </c>
      <c r="C7800" s="117">
        <v>1296.6099999999999</v>
      </c>
    </row>
    <row r="7801" spans="1:3" x14ac:dyDescent="0.25">
      <c r="A7801" s="115">
        <v>1287980</v>
      </c>
      <c r="B7801" s="115" t="s">
        <v>7448</v>
      </c>
      <c r="C7801" s="117">
        <v>305.7</v>
      </c>
    </row>
    <row r="7802" spans="1:3" x14ac:dyDescent="0.25">
      <c r="A7802" s="115">
        <v>1287901</v>
      </c>
      <c r="B7802" s="115" t="s">
        <v>7449</v>
      </c>
      <c r="C7802" s="117">
        <v>679.18</v>
      </c>
    </row>
    <row r="7803" spans="1:3" x14ac:dyDescent="0.25">
      <c r="A7803" s="115">
        <v>1287904</v>
      </c>
      <c r="B7803" s="115" t="s">
        <v>7450</v>
      </c>
      <c r="C7803" s="117">
        <v>1957.63</v>
      </c>
    </row>
    <row r="7804" spans="1:3" x14ac:dyDescent="0.25">
      <c r="A7804" s="115">
        <v>1287912</v>
      </c>
      <c r="B7804" s="115" t="s">
        <v>7451</v>
      </c>
      <c r="C7804" s="117">
        <v>1177.3399999999999</v>
      </c>
    </row>
    <row r="7805" spans="1:3" x14ac:dyDescent="0.25">
      <c r="A7805" s="115">
        <v>1287936</v>
      </c>
      <c r="B7805" s="115" t="s">
        <v>7452</v>
      </c>
      <c r="C7805" s="117">
        <v>3177.91</v>
      </c>
    </row>
    <row r="7806" spans="1:3" x14ac:dyDescent="0.25">
      <c r="A7806" s="115">
        <v>1281722</v>
      </c>
      <c r="B7806" s="115" t="s">
        <v>7453</v>
      </c>
      <c r="C7806" s="117">
        <v>490.47</v>
      </c>
    </row>
    <row r="7807" spans="1:3" x14ac:dyDescent="0.25">
      <c r="A7807" s="115">
        <v>1281822</v>
      </c>
      <c r="B7807" s="115" t="s">
        <v>7454</v>
      </c>
      <c r="C7807" s="117">
        <v>1249.21</v>
      </c>
    </row>
    <row r="7808" spans="1:3" x14ac:dyDescent="0.25">
      <c r="A7808" s="115">
        <v>1281824</v>
      </c>
      <c r="B7808" s="115" t="s">
        <v>7455</v>
      </c>
      <c r="C7808" s="117">
        <v>1099.27</v>
      </c>
    </row>
    <row r="7809" spans="1:3" x14ac:dyDescent="0.25">
      <c r="A7809" s="115">
        <v>1281724</v>
      </c>
      <c r="B7809" s="115" t="s">
        <v>7456</v>
      </c>
      <c r="C7809" s="117">
        <v>435.83</v>
      </c>
    </row>
    <row r="7810" spans="1:3" x14ac:dyDescent="0.25">
      <c r="A7810" s="115">
        <v>1284701</v>
      </c>
      <c r="B7810" s="115" t="s">
        <v>7457</v>
      </c>
      <c r="C7810" s="117">
        <v>609.80999999999995</v>
      </c>
    </row>
    <row r="7811" spans="1:3" x14ac:dyDescent="0.25">
      <c r="A7811" s="115">
        <v>1284702</v>
      </c>
      <c r="B7811" s="115" t="s">
        <v>7458</v>
      </c>
      <c r="C7811" s="117">
        <v>609.80999999999995</v>
      </c>
    </row>
    <row r="7812" spans="1:3" x14ac:dyDescent="0.25">
      <c r="A7812" s="115">
        <v>1284711</v>
      </c>
      <c r="B7812" s="115" t="s">
        <v>7459</v>
      </c>
      <c r="C7812" s="117">
        <v>631.29</v>
      </c>
    </row>
    <row r="7813" spans="1:3" x14ac:dyDescent="0.25">
      <c r="A7813" s="115">
        <v>1284712</v>
      </c>
      <c r="B7813" s="115" t="s">
        <v>7460</v>
      </c>
      <c r="C7813" s="117">
        <v>631.29</v>
      </c>
    </row>
    <row r="7814" spans="1:3" x14ac:dyDescent="0.25">
      <c r="A7814" s="115">
        <v>1287131</v>
      </c>
      <c r="B7814" s="115" t="s">
        <v>7461</v>
      </c>
      <c r="C7814" s="117">
        <v>694.09</v>
      </c>
    </row>
    <row r="7815" spans="1:3" x14ac:dyDescent="0.25">
      <c r="A7815" s="115">
        <v>1287132</v>
      </c>
      <c r="B7815" s="115" t="s">
        <v>7462</v>
      </c>
      <c r="C7815" s="117">
        <v>684.04</v>
      </c>
    </row>
    <row r="7816" spans="1:3" x14ac:dyDescent="0.25">
      <c r="A7816" s="115">
        <v>1304753</v>
      </c>
      <c r="B7816" s="115" t="s">
        <v>7463</v>
      </c>
      <c r="C7816" s="117">
        <v>1098.69</v>
      </c>
    </row>
    <row r="7817" spans="1:3" x14ac:dyDescent="0.25">
      <c r="A7817" s="144" t="s">
        <v>7464</v>
      </c>
      <c r="B7817" s="145"/>
      <c r="C7817" s="145"/>
    </row>
    <row r="7818" spans="1:3" x14ac:dyDescent="0.25">
      <c r="A7818" s="115">
        <v>1286500</v>
      </c>
      <c r="B7818" s="115" t="s">
        <v>7465</v>
      </c>
      <c r="C7818" s="117">
        <v>545.89</v>
      </c>
    </row>
    <row r="7819" spans="1:3" x14ac:dyDescent="0.25">
      <c r="A7819" s="115">
        <v>1286401</v>
      </c>
      <c r="B7819" s="115" t="s">
        <v>7466</v>
      </c>
      <c r="C7819" s="117">
        <v>545.89</v>
      </c>
    </row>
    <row r="7820" spans="1:3" x14ac:dyDescent="0.25">
      <c r="A7820" s="115">
        <v>1121624</v>
      </c>
      <c r="B7820" s="115" t="s">
        <v>7467</v>
      </c>
      <c r="C7820" s="117">
        <v>545.89</v>
      </c>
    </row>
    <row r="7821" spans="1:3" x14ac:dyDescent="0.25">
      <c r="A7821" s="115">
        <v>1121607</v>
      </c>
      <c r="B7821" s="115" t="s">
        <v>11638</v>
      </c>
      <c r="C7821" s="117">
        <v>545.91</v>
      </c>
    </row>
    <row r="7822" spans="1:3" x14ac:dyDescent="0.25">
      <c r="A7822" s="115">
        <v>1121606</v>
      </c>
      <c r="B7822" s="115" t="s">
        <v>7468</v>
      </c>
      <c r="C7822" s="117">
        <v>545.89</v>
      </c>
    </row>
    <row r="7823" spans="1:3" x14ac:dyDescent="0.25">
      <c r="A7823" s="115">
        <v>1121605</v>
      </c>
      <c r="B7823" s="115" t="s">
        <v>7469</v>
      </c>
      <c r="C7823" s="117">
        <v>545.89</v>
      </c>
    </row>
    <row r="7824" spans="1:3" x14ac:dyDescent="0.25">
      <c r="A7824" s="115">
        <v>1121801</v>
      </c>
      <c r="B7824" s="115" t="s">
        <v>7470</v>
      </c>
      <c r="C7824" s="117">
        <v>1301.3699999999999</v>
      </c>
    </row>
    <row r="7825" spans="1:3" x14ac:dyDescent="0.25">
      <c r="A7825" s="115">
        <v>1121803</v>
      </c>
      <c r="B7825" s="115" t="s">
        <v>7471</v>
      </c>
      <c r="C7825" s="117">
        <v>1301.3699999999999</v>
      </c>
    </row>
    <row r="7826" spans="1:3" x14ac:dyDescent="0.25">
      <c r="A7826" s="115">
        <v>1121804</v>
      </c>
      <c r="B7826" s="115" t="s">
        <v>7472</v>
      </c>
      <c r="C7826" s="117">
        <v>722.05</v>
      </c>
    </row>
    <row r="7827" spans="1:3" x14ac:dyDescent="0.25">
      <c r="A7827" s="115">
        <v>1121847</v>
      </c>
      <c r="B7827" s="115" t="s">
        <v>7473</v>
      </c>
      <c r="C7827" s="117">
        <v>722.05</v>
      </c>
    </row>
    <row r="7828" spans="1:3" x14ac:dyDescent="0.25">
      <c r="A7828" s="115">
        <v>1126110</v>
      </c>
      <c r="B7828" s="115" t="s">
        <v>7474</v>
      </c>
      <c r="C7828" s="117">
        <v>1548.49</v>
      </c>
    </row>
    <row r="7829" spans="1:3" x14ac:dyDescent="0.25">
      <c r="A7829" s="115">
        <v>1126130</v>
      </c>
      <c r="B7829" s="115" t="s">
        <v>7475</v>
      </c>
      <c r="C7829" s="117">
        <v>754.64</v>
      </c>
    </row>
    <row r="7830" spans="1:3" x14ac:dyDescent="0.25">
      <c r="A7830" s="115">
        <v>1126100</v>
      </c>
      <c r="B7830" s="115" t="s">
        <v>7476</v>
      </c>
      <c r="C7830" s="117">
        <v>844.9</v>
      </c>
    </row>
    <row r="7831" spans="1:3" x14ac:dyDescent="0.25">
      <c r="A7831" s="115">
        <v>1126120</v>
      </c>
      <c r="B7831" s="115" t="s">
        <v>7477</v>
      </c>
      <c r="C7831" s="117">
        <v>244.15</v>
      </c>
    </row>
    <row r="7832" spans="1:3" x14ac:dyDescent="0.25">
      <c r="A7832" s="115">
        <v>1126125</v>
      </c>
      <c r="B7832" s="115" t="s">
        <v>7478</v>
      </c>
      <c r="C7832" s="117">
        <v>110.98</v>
      </c>
    </row>
    <row r="7833" spans="1:3" x14ac:dyDescent="0.25">
      <c r="A7833" s="115">
        <v>1121705</v>
      </c>
      <c r="B7833" s="115" t="s">
        <v>11980</v>
      </c>
      <c r="C7833" s="117">
        <v>1139.5</v>
      </c>
    </row>
    <row r="7834" spans="1:3" x14ac:dyDescent="0.25">
      <c r="A7834" s="115">
        <v>1121701</v>
      </c>
      <c r="B7834" s="115" t="s">
        <v>7479</v>
      </c>
      <c r="C7834" s="117">
        <v>603.28</v>
      </c>
    </row>
    <row r="7835" spans="1:3" x14ac:dyDescent="0.25">
      <c r="A7835" s="115">
        <v>1121703</v>
      </c>
      <c r="B7835" s="115" t="s">
        <v>7480</v>
      </c>
      <c r="C7835" s="117">
        <v>603.28</v>
      </c>
    </row>
    <row r="7836" spans="1:3" x14ac:dyDescent="0.25">
      <c r="A7836" s="115">
        <v>1121702</v>
      </c>
      <c r="B7836" s="115" t="s">
        <v>7481</v>
      </c>
      <c r="C7836" s="117">
        <v>603.28</v>
      </c>
    </row>
    <row r="7837" spans="1:3" x14ac:dyDescent="0.25">
      <c r="A7837" s="115">
        <v>1120455</v>
      </c>
      <c r="B7837" s="115" t="s">
        <v>7482</v>
      </c>
      <c r="C7837" s="117">
        <v>124.67</v>
      </c>
    </row>
    <row r="7838" spans="1:3" x14ac:dyDescent="0.25">
      <c r="A7838" s="115">
        <v>1120320</v>
      </c>
      <c r="B7838" s="115" t="s">
        <v>7483</v>
      </c>
      <c r="C7838" s="117">
        <v>549.13</v>
      </c>
    </row>
    <row r="7839" spans="1:3" x14ac:dyDescent="0.25">
      <c r="A7839" s="115">
        <v>1121500</v>
      </c>
      <c r="B7839" s="115" t="s">
        <v>7484</v>
      </c>
      <c r="C7839" s="117">
        <v>596.04</v>
      </c>
    </row>
    <row r="7840" spans="1:3" x14ac:dyDescent="0.25">
      <c r="A7840" s="115">
        <v>1121503</v>
      </c>
      <c r="B7840" s="115" t="s">
        <v>7485</v>
      </c>
      <c r="C7840" s="117">
        <v>596.04</v>
      </c>
    </row>
    <row r="7841" spans="1:3" x14ac:dyDescent="0.25">
      <c r="A7841" s="115">
        <v>1121102</v>
      </c>
      <c r="B7841" s="115" t="s">
        <v>7486</v>
      </c>
      <c r="C7841" s="117">
        <v>504.29</v>
      </c>
    </row>
    <row r="7842" spans="1:3" x14ac:dyDescent="0.25">
      <c r="A7842" s="115">
        <v>1121103</v>
      </c>
      <c r="B7842" s="115" t="s">
        <v>7487</v>
      </c>
      <c r="C7842" s="117">
        <v>1008.58</v>
      </c>
    </row>
    <row r="7843" spans="1:3" x14ac:dyDescent="0.25">
      <c r="A7843" s="115">
        <v>1120593</v>
      </c>
      <c r="B7843" s="115" t="s">
        <v>7488</v>
      </c>
      <c r="C7843" s="117">
        <v>125.21</v>
      </c>
    </row>
    <row r="7844" spans="1:3" x14ac:dyDescent="0.25">
      <c r="A7844" s="115">
        <v>1120503</v>
      </c>
      <c r="B7844" s="115" t="s">
        <v>7489</v>
      </c>
      <c r="C7844" s="117">
        <v>125.21</v>
      </c>
    </row>
    <row r="7845" spans="1:3" x14ac:dyDescent="0.25">
      <c r="A7845" s="115">
        <v>1120288</v>
      </c>
      <c r="B7845" s="115" t="s">
        <v>7490</v>
      </c>
      <c r="C7845" s="117">
        <v>259.37</v>
      </c>
    </row>
    <row r="7846" spans="1:3" x14ac:dyDescent="0.25">
      <c r="A7846" s="115">
        <v>1120203</v>
      </c>
      <c r="B7846" s="115" t="s">
        <v>7491</v>
      </c>
      <c r="C7846" s="117">
        <v>259.37</v>
      </c>
    </row>
    <row r="7847" spans="1:3" x14ac:dyDescent="0.25">
      <c r="A7847" s="144" t="s">
        <v>7492</v>
      </c>
      <c r="B7847" s="145"/>
      <c r="C7847" s="145"/>
    </row>
    <row r="7848" spans="1:3" x14ac:dyDescent="0.25">
      <c r="A7848" s="115">
        <v>1104925</v>
      </c>
      <c r="B7848" s="115" t="s">
        <v>11981</v>
      </c>
      <c r="C7848" s="117">
        <v>4339.3999999999996</v>
      </c>
    </row>
    <row r="7849" spans="1:3" x14ac:dyDescent="0.25">
      <c r="A7849" s="115">
        <v>1307872</v>
      </c>
      <c r="B7849" s="115" t="s">
        <v>7493</v>
      </c>
      <c r="C7849" s="117">
        <v>748.71</v>
      </c>
    </row>
    <row r="7850" spans="1:3" x14ac:dyDescent="0.25">
      <c r="A7850" s="115">
        <v>1188732</v>
      </c>
      <c r="B7850" s="115" t="s">
        <v>7494</v>
      </c>
      <c r="C7850" s="117">
        <v>2697.44</v>
      </c>
    </row>
    <row r="7851" spans="1:3" x14ac:dyDescent="0.25">
      <c r="A7851" s="115">
        <v>1188754</v>
      </c>
      <c r="B7851" s="115" t="s">
        <v>7495</v>
      </c>
      <c r="C7851" s="117">
        <v>2697.44</v>
      </c>
    </row>
    <row r="7852" spans="1:3" x14ac:dyDescent="0.25">
      <c r="A7852" s="115">
        <v>1188769</v>
      </c>
      <c r="B7852" s="115" t="s">
        <v>7496</v>
      </c>
      <c r="C7852" s="117">
        <v>2697.44</v>
      </c>
    </row>
    <row r="7853" spans="1:3" x14ac:dyDescent="0.25">
      <c r="A7853" s="115">
        <v>1188738</v>
      </c>
      <c r="B7853" s="115" t="s">
        <v>7497</v>
      </c>
      <c r="C7853" s="117">
        <v>2697.44</v>
      </c>
    </row>
    <row r="7854" spans="1:3" x14ac:dyDescent="0.25">
      <c r="A7854" s="115">
        <v>1186663</v>
      </c>
      <c r="B7854" s="115" t="s">
        <v>7498</v>
      </c>
      <c r="C7854" s="117">
        <v>96.51</v>
      </c>
    </row>
    <row r="7855" spans="1:3" x14ac:dyDescent="0.25">
      <c r="A7855" s="115">
        <v>1186638</v>
      </c>
      <c r="B7855" s="115" t="s">
        <v>7499</v>
      </c>
      <c r="C7855" s="117">
        <v>96.51</v>
      </c>
    </row>
    <row r="7856" spans="1:3" x14ac:dyDescent="0.25">
      <c r="A7856" s="115">
        <v>1309655</v>
      </c>
      <c r="B7856" s="115" t="s">
        <v>7500</v>
      </c>
      <c r="C7856" s="117">
        <v>717.13</v>
      </c>
    </row>
    <row r="7857" spans="1:3" x14ac:dyDescent="0.25">
      <c r="A7857" s="115">
        <v>1308236</v>
      </c>
      <c r="B7857" s="115" t="s">
        <v>7501</v>
      </c>
      <c r="C7857" s="117">
        <v>685.62</v>
      </c>
    </row>
    <row r="7858" spans="1:3" x14ac:dyDescent="0.25">
      <c r="A7858" s="115">
        <v>1308200</v>
      </c>
      <c r="B7858" s="115" t="s">
        <v>7502</v>
      </c>
      <c r="C7858" s="117">
        <v>685.62</v>
      </c>
    </row>
    <row r="7859" spans="1:3" x14ac:dyDescent="0.25">
      <c r="A7859" s="115">
        <v>1308238</v>
      </c>
      <c r="B7859" s="115" t="s">
        <v>7503</v>
      </c>
      <c r="C7859" s="117">
        <v>685.62</v>
      </c>
    </row>
    <row r="7860" spans="1:3" x14ac:dyDescent="0.25">
      <c r="A7860" s="115">
        <v>1308264</v>
      </c>
      <c r="B7860" s="115" t="s">
        <v>7504</v>
      </c>
      <c r="C7860" s="117">
        <v>726.97</v>
      </c>
    </row>
    <row r="7861" spans="1:3" x14ac:dyDescent="0.25">
      <c r="A7861" s="115">
        <v>1308274</v>
      </c>
      <c r="B7861" s="115" t="s">
        <v>7505</v>
      </c>
      <c r="C7861" s="117">
        <v>685.62</v>
      </c>
    </row>
    <row r="7862" spans="1:3" x14ac:dyDescent="0.25">
      <c r="A7862" s="115">
        <v>1308203</v>
      </c>
      <c r="B7862" s="115" t="s">
        <v>7506</v>
      </c>
      <c r="C7862" s="117">
        <v>726.97</v>
      </c>
    </row>
    <row r="7863" spans="1:3" x14ac:dyDescent="0.25">
      <c r="A7863" s="115">
        <v>1308563</v>
      </c>
      <c r="B7863" s="115" t="s">
        <v>7507</v>
      </c>
      <c r="C7863" s="117">
        <v>7632.78</v>
      </c>
    </row>
    <row r="7864" spans="1:3" x14ac:dyDescent="0.25">
      <c r="A7864" s="115">
        <v>1307201</v>
      </c>
      <c r="B7864" s="115" t="s">
        <v>7508</v>
      </c>
      <c r="C7864" s="117">
        <v>564.32000000000005</v>
      </c>
    </row>
    <row r="7865" spans="1:3" x14ac:dyDescent="0.25">
      <c r="A7865" s="115">
        <v>1307204</v>
      </c>
      <c r="B7865" s="115" t="s">
        <v>7509</v>
      </c>
      <c r="C7865" s="117">
        <v>564.32000000000005</v>
      </c>
    </row>
    <row r="7866" spans="1:3" x14ac:dyDescent="0.25">
      <c r="A7866" s="115">
        <v>1307200</v>
      </c>
      <c r="B7866" s="115" t="s">
        <v>7510</v>
      </c>
      <c r="C7866" s="117">
        <v>564.32000000000005</v>
      </c>
    </row>
    <row r="7867" spans="1:3" x14ac:dyDescent="0.25">
      <c r="A7867" s="115">
        <v>1308100</v>
      </c>
      <c r="B7867" s="115" t="s">
        <v>7511</v>
      </c>
      <c r="C7867" s="117">
        <v>698.61</v>
      </c>
    </row>
    <row r="7868" spans="1:3" x14ac:dyDescent="0.25">
      <c r="A7868" s="115">
        <v>1308138</v>
      </c>
      <c r="B7868" s="115" t="s">
        <v>7512</v>
      </c>
      <c r="C7868" s="117">
        <v>658.87</v>
      </c>
    </row>
    <row r="7869" spans="1:3" x14ac:dyDescent="0.25">
      <c r="A7869" s="115">
        <v>1308165</v>
      </c>
      <c r="B7869" s="115" t="s">
        <v>7513</v>
      </c>
      <c r="C7869" s="117">
        <v>658.87</v>
      </c>
    </row>
    <row r="7870" spans="1:3" x14ac:dyDescent="0.25">
      <c r="A7870" s="115">
        <v>1308174</v>
      </c>
      <c r="B7870" s="115" t="s">
        <v>7514</v>
      </c>
      <c r="C7870" s="117">
        <v>658.87</v>
      </c>
    </row>
    <row r="7871" spans="1:3" x14ac:dyDescent="0.25">
      <c r="A7871" s="115">
        <v>1300198</v>
      </c>
      <c r="B7871" s="115" t="s">
        <v>7515</v>
      </c>
      <c r="C7871" s="117">
        <v>123.37</v>
      </c>
    </row>
    <row r="7872" spans="1:3" x14ac:dyDescent="0.25">
      <c r="A7872" s="115">
        <v>1304402</v>
      </c>
      <c r="B7872" s="115" t="s">
        <v>7516</v>
      </c>
      <c r="C7872" s="117">
        <v>731.14</v>
      </c>
    </row>
    <row r="7873" spans="1:3" x14ac:dyDescent="0.25">
      <c r="A7873" s="115">
        <v>1304401</v>
      </c>
      <c r="B7873" s="115" t="s">
        <v>7517</v>
      </c>
      <c r="C7873" s="117">
        <v>731.14</v>
      </c>
    </row>
    <row r="7874" spans="1:3" x14ac:dyDescent="0.25">
      <c r="A7874" s="115">
        <v>1304400</v>
      </c>
      <c r="B7874" s="115" t="s">
        <v>7518</v>
      </c>
      <c r="C7874" s="117">
        <v>731.14</v>
      </c>
    </row>
    <row r="7875" spans="1:3" x14ac:dyDescent="0.25">
      <c r="A7875" s="115">
        <v>1307977</v>
      </c>
      <c r="B7875" s="115" t="s">
        <v>7519</v>
      </c>
      <c r="C7875" s="117">
        <v>731.21</v>
      </c>
    </row>
    <row r="7876" spans="1:3" x14ac:dyDescent="0.25">
      <c r="A7876" s="115">
        <v>1307972</v>
      </c>
      <c r="B7876" s="115" t="s">
        <v>7520</v>
      </c>
      <c r="C7876" s="117">
        <v>731.21</v>
      </c>
    </row>
    <row r="7877" spans="1:3" x14ac:dyDescent="0.25">
      <c r="A7877" s="115">
        <v>1307912</v>
      </c>
      <c r="B7877" s="115" t="s">
        <v>7521</v>
      </c>
      <c r="C7877" s="117">
        <v>1881.62</v>
      </c>
    </row>
    <row r="7878" spans="1:3" x14ac:dyDescent="0.25">
      <c r="A7878" s="115">
        <v>1301800</v>
      </c>
      <c r="B7878" s="115" t="s">
        <v>7522</v>
      </c>
      <c r="C7878" s="117">
        <v>621.02</v>
      </c>
    </row>
    <row r="7879" spans="1:3" x14ac:dyDescent="0.25">
      <c r="A7879" s="115">
        <v>1301700</v>
      </c>
      <c r="B7879" s="115" t="s">
        <v>7523</v>
      </c>
      <c r="C7879" s="117">
        <v>950.5</v>
      </c>
    </row>
    <row r="7880" spans="1:3" x14ac:dyDescent="0.25">
      <c r="A7880" s="115">
        <v>1301500</v>
      </c>
      <c r="B7880" s="115" t="s">
        <v>7524</v>
      </c>
      <c r="C7880" s="117">
        <v>319.52999999999997</v>
      </c>
    </row>
    <row r="7881" spans="1:3" x14ac:dyDescent="0.25">
      <c r="A7881" s="115">
        <v>1301600</v>
      </c>
      <c r="B7881" s="115" t="s">
        <v>7525</v>
      </c>
      <c r="C7881" s="117">
        <v>528.84</v>
      </c>
    </row>
    <row r="7882" spans="1:3" x14ac:dyDescent="0.25">
      <c r="A7882" s="115">
        <v>1307754</v>
      </c>
      <c r="B7882" s="115" t="s">
        <v>7526</v>
      </c>
      <c r="C7882" s="117">
        <v>330.16</v>
      </c>
    </row>
    <row r="7883" spans="1:3" x14ac:dyDescent="0.25">
      <c r="A7883" s="115">
        <v>1306823</v>
      </c>
      <c r="B7883" s="115" t="s">
        <v>7527</v>
      </c>
      <c r="C7883" s="117">
        <v>575.37</v>
      </c>
    </row>
    <row r="7884" spans="1:3" x14ac:dyDescent="0.25">
      <c r="A7884" s="115">
        <v>1306576</v>
      </c>
      <c r="B7884" s="115" t="s">
        <v>7528</v>
      </c>
      <c r="C7884" s="117">
        <v>614.08000000000004</v>
      </c>
    </row>
    <row r="7885" spans="1:3" x14ac:dyDescent="0.25">
      <c r="A7885" s="115">
        <v>1306854</v>
      </c>
      <c r="B7885" s="115" t="s">
        <v>7529</v>
      </c>
      <c r="C7885" s="117">
        <v>584.27</v>
      </c>
    </row>
    <row r="7886" spans="1:3" x14ac:dyDescent="0.25">
      <c r="A7886" s="115">
        <v>1306572</v>
      </c>
      <c r="B7886" s="115" t="s">
        <v>7530</v>
      </c>
      <c r="C7886" s="117">
        <v>466.79</v>
      </c>
    </row>
    <row r="7887" spans="1:3" x14ac:dyDescent="0.25">
      <c r="A7887" s="115">
        <v>1306527</v>
      </c>
      <c r="B7887" s="115" t="s">
        <v>7531</v>
      </c>
      <c r="C7887" s="117">
        <v>743.77</v>
      </c>
    </row>
    <row r="7888" spans="1:3" x14ac:dyDescent="0.25">
      <c r="A7888" s="115">
        <v>1306876</v>
      </c>
      <c r="B7888" s="115" t="s">
        <v>7532</v>
      </c>
      <c r="C7888" s="117">
        <v>623.91999999999996</v>
      </c>
    </row>
    <row r="7889" spans="1:3" x14ac:dyDescent="0.25">
      <c r="A7889" s="115">
        <v>1306873</v>
      </c>
      <c r="B7889" s="115" t="s">
        <v>7533</v>
      </c>
      <c r="C7889" s="117">
        <v>584.27</v>
      </c>
    </row>
    <row r="7890" spans="1:3" x14ac:dyDescent="0.25">
      <c r="A7890" s="115">
        <v>1306877</v>
      </c>
      <c r="B7890" s="115" t="s">
        <v>7534</v>
      </c>
      <c r="C7890" s="117">
        <v>429.93</v>
      </c>
    </row>
    <row r="7891" spans="1:3" x14ac:dyDescent="0.25">
      <c r="A7891" s="115">
        <v>1306574</v>
      </c>
      <c r="B7891" s="115" t="s">
        <v>7535</v>
      </c>
      <c r="C7891" s="117">
        <v>568.76</v>
      </c>
    </row>
    <row r="7892" spans="1:3" x14ac:dyDescent="0.25">
      <c r="A7892" s="115">
        <v>1308873</v>
      </c>
      <c r="B7892" s="115" t="s">
        <v>12416</v>
      </c>
      <c r="C7892" s="117">
        <v>731.21</v>
      </c>
    </row>
    <row r="7893" spans="1:3" x14ac:dyDescent="0.25">
      <c r="A7893" s="115">
        <v>1308836</v>
      </c>
      <c r="B7893" s="115" t="s">
        <v>7536</v>
      </c>
      <c r="C7893" s="117">
        <v>731.21</v>
      </c>
    </row>
    <row r="7894" spans="1:3" x14ac:dyDescent="0.25">
      <c r="A7894" s="115">
        <v>1305400</v>
      </c>
      <c r="B7894" s="115" t="s">
        <v>7537</v>
      </c>
      <c r="C7894" s="117">
        <v>731.21</v>
      </c>
    </row>
    <row r="7895" spans="1:3" x14ac:dyDescent="0.25">
      <c r="A7895" s="115">
        <v>1305030</v>
      </c>
      <c r="B7895" s="115" t="s">
        <v>7538</v>
      </c>
      <c r="C7895" s="117">
        <v>731.21</v>
      </c>
    </row>
    <row r="7896" spans="1:3" x14ac:dyDescent="0.25">
      <c r="A7896" s="115">
        <v>1308803</v>
      </c>
      <c r="B7896" s="115" t="s">
        <v>7539</v>
      </c>
      <c r="C7896" s="117">
        <v>1881.62</v>
      </c>
    </row>
    <row r="7897" spans="1:3" x14ac:dyDescent="0.25">
      <c r="A7897" s="115">
        <v>1305403</v>
      </c>
      <c r="B7897" s="115" t="s">
        <v>7540</v>
      </c>
      <c r="C7897" s="117">
        <v>1881.62</v>
      </c>
    </row>
    <row r="7898" spans="1:3" x14ac:dyDescent="0.25">
      <c r="A7898" s="115">
        <v>1305003</v>
      </c>
      <c r="B7898" s="115" t="s">
        <v>7541</v>
      </c>
      <c r="C7898" s="117">
        <v>1881.62</v>
      </c>
    </row>
    <row r="7899" spans="1:3" x14ac:dyDescent="0.25">
      <c r="A7899" s="115">
        <v>1302825</v>
      </c>
      <c r="B7899" s="115" t="s">
        <v>12417</v>
      </c>
      <c r="C7899" s="117">
        <v>1474.79</v>
      </c>
    </row>
    <row r="7900" spans="1:3" x14ac:dyDescent="0.25">
      <c r="A7900" s="115">
        <v>1302812</v>
      </c>
      <c r="B7900" s="115" t="s">
        <v>7542</v>
      </c>
      <c r="C7900" s="117">
        <v>1018.31</v>
      </c>
    </row>
    <row r="7901" spans="1:3" x14ac:dyDescent="0.25">
      <c r="A7901" s="115">
        <v>1302875</v>
      </c>
      <c r="B7901" s="115" t="s">
        <v>7543</v>
      </c>
      <c r="C7901" s="117">
        <v>624.32000000000005</v>
      </c>
    </row>
    <row r="7902" spans="1:3" x14ac:dyDescent="0.25">
      <c r="A7902" s="115">
        <v>1307000</v>
      </c>
      <c r="B7902" s="115" t="s">
        <v>7544</v>
      </c>
      <c r="C7902" s="117">
        <v>791.78</v>
      </c>
    </row>
    <row r="7903" spans="1:3" x14ac:dyDescent="0.25">
      <c r="A7903" s="115">
        <v>1305901</v>
      </c>
      <c r="B7903" s="115" t="s">
        <v>7545</v>
      </c>
      <c r="C7903" s="117">
        <v>1475.72</v>
      </c>
    </row>
    <row r="7904" spans="1:3" x14ac:dyDescent="0.25">
      <c r="A7904" s="115">
        <v>1305974</v>
      </c>
      <c r="B7904" s="115" t="s">
        <v>7547</v>
      </c>
      <c r="C7904" s="117">
        <v>1421.49</v>
      </c>
    </row>
    <row r="7905" spans="1:3" x14ac:dyDescent="0.25">
      <c r="A7905" s="115">
        <v>1306074</v>
      </c>
      <c r="B7905" s="115" t="s">
        <v>7546</v>
      </c>
      <c r="C7905" s="117">
        <v>969.27</v>
      </c>
    </row>
    <row r="7906" spans="1:3" x14ac:dyDescent="0.25">
      <c r="A7906" s="115">
        <v>1306072</v>
      </c>
      <c r="B7906" s="115" t="s">
        <v>7548</v>
      </c>
      <c r="C7906" s="117">
        <v>927.31</v>
      </c>
    </row>
    <row r="7907" spans="1:3" x14ac:dyDescent="0.25">
      <c r="A7907" s="115">
        <v>1305972</v>
      </c>
      <c r="B7907" s="115" t="s">
        <v>7549</v>
      </c>
      <c r="C7907" s="117">
        <v>1180.05</v>
      </c>
    </row>
    <row r="7908" spans="1:3" x14ac:dyDescent="0.25">
      <c r="A7908" s="115">
        <v>1305601</v>
      </c>
      <c r="B7908" s="115" t="s">
        <v>12418</v>
      </c>
      <c r="C7908" s="117">
        <v>739.29</v>
      </c>
    </row>
    <row r="7909" spans="1:3" x14ac:dyDescent="0.25">
      <c r="A7909" s="115">
        <v>104330</v>
      </c>
      <c r="B7909" s="115" t="s">
        <v>12419</v>
      </c>
      <c r="C7909" s="117">
        <v>830.98</v>
      </c>
    </row>
    <row r="7910" spans="1:3" x14ac:dyDescent="0.25">
      <c r="A7910" s="115">
        <v>1305600</v>
      </c>
      <c r="B7910" s="115" t="s">
        <v>7550</v>
      </c>
      <c r="C7910" s="117">
        <v>778.32</v>
      </c>
    </row>
    <row r="7911" spans="1:3" x14ac:dyDescent="0.25">
      <c r="A7911" s="115">
        <v>1305701</v>
      </c>
      <c r="B7911" s="115" t="s">
        <v>7551</v>
      </c>
      <c r="C7911" s="117">
        <v>730.41</v>
      </c>
    </row>
    <row r="7912" spans="1:3" x14ac:dyDescent="0.25">
      <c r="A7912" s="115">
        <v>1305700</v>
      </c>
      <c r="B7912" s="115" t="s">
        <v>7552</v>
      </c>
      <c r="C7912" s="117">
        <v>911.11</v>
      </c>
    </row>
    <row r="7913" spans="1:3" x14ac:dyDescent="0.25">
      <c r="A7913" s="115">
        <v>1301400</v>
      </c>
      <c r="B7913" s="115" t="s">
        <v>7553</v>
      </c>
      <c r="C7913" s="117">
        <v>911.65</v>
      </c>
    </row>
    <row r="7914" spans="1:3" x14ac:dyDescent="0.25">
      <c r="A7914" s="115">
        <v>1301405</v>
      </c>
      <c r="B7914" s="115" t="s">
        <v>7554</v>
      </c>
      <c r="C7914" s="117">
        <v>1382.28</v>
      </c>
    </row>
    <row r="7915" spans="1:3" x14ac:dyDescent="0.25">
      <c r="A7915" s="115">
        <v>1301300</v>
      </c>
      <c r="B7915" s="115" t="s">
        <v>7555</v>
      </c>
      <c r="C7915" s="117">
        <v>270.08</v>
      </c>
    </row>
    <row r="7916" spans="1:3" x14ac:dyDescent="0.25">
      <c r="A7916" s="115">
        <v>1302078</v>
      </c>
      <c r="B7916" s="115" t="s">
        <v>7556</v>
      </c>
      <c r="C7916" s="117">
        <v>716.91</v>
      </c>
    </row>
    <row r="7917" spans="1:3" x14ac:dyDescent="0.25">
      <c r="A7917" s="115">
        <v>1302021</v>
      </c>
      <c r="B7917" s="115" t="s">
        <v>7557</v>
      </c>
      <c r="C7917" s="117">
        <v>716.91</v>
      </c>
    </row>
    <row r="7918" spans="1:3" x14ac:dyDescent="0.25">
      <c r="A7918" s="115">
        <v>1302024</v>
      </c>
      <c r="B7918" s="115" t="s">
        <v>7558</v>
      </c>
      <c r="C7918" s="117">
        <v>716.91</v>
      </c>
    </row>
    <row r="7919" spans="1:3" x14ac:dyDescent="0.25">
      <c r="A7919" s="115">
        <v>1302002</v>
      </c>
      <c r="B7919" s="115" t="s">
        <v>7559</v>
      </c>
      <c r="C7919" s="117">
        <v>716.91</v>
      </c>
    </row>
    <row r="7920" spans="1:3" x14ac:dyDescent="0.25">
      <c r="A7920" s="115">
        <v>1302038</v>
      </c>
      <c r="B7920" s="115" t="s">
        <v>12420</v>
      </c>
      <c r="C7920" s="117">
        <v>716.9</v>
      </c>
    </row>
    <row r="7921" spans="1:3" x14ac:dyDescent="0.25">
      <c r="A7921" s="115">
        <v>1300704</v>
      </c>
      <c r="B7921" s="115" t="s">
        <v>7560</v>
      </c>
      <c r="C7921" s="117">
        <v>634.02</v>
      </c>
    </row>
    <row r="7922" spans="1:3" x14ac:dyDescent="0.25">
      <c r="A7922" s="115">
        <v>1300701</v>
      </c>
      <c r="B7922" s="115" t="s">
        <v>7561</v>
      </c>
      <c r="C7922" s="117">
        <v>765.6</v>
      </c>
    </row>
    <row r="7923" spans="1:3" x14ac:dyDescent="0.25">
      <c r="A7923" s="115">
        <v>1300700</v>
      </c>
      <c r="B7923" s="115" t="s">
        <v>7562</v>
      </c>
      <c r="C7923" s="117">
        <v>765.6</v>
      </c>
    </row>
    <row r="7924" spans="1:3" x14ac:dyDescent="0.25">
      <c r="A7924" s="115">
        <v>1300703</v>
      </c>
      <c r="B7924" s="115" t="s">
        <v>7563</v>
      </c>
      <c r="C7924" s="117">
        <v>765.6</v>
      </c>
    </row>
    <row r="7925" spans="1:3" x14ac:dyDescent="0.25">
      <c r="A7925" s="115">
        <v>1300702</v>
      </c>
      <c r="B7925" s="115" t="s">
        <v>7564</v>
      </c>
      <c r="C7925" s="117">
        <v>634.02</v>
      </c>
    </row>
    <row r="7926" spans="1:3" x14ac:dyDescent="0.25">
      <c r="A7926" s="115">
        <v>1303014</v>
      </c>
      <c r="B7926" s="115" t="s">
        <v>7565</v>
      </c>
      <c r="C7926" s="117">
        <v>765.6</v>
      </c>
    </row>
    <row r="7927" spans="1:3" x14ac:dyDescent="0.25">
      <c r="A7927" s="115">
        <v>1302725</v>
      </c>
      <c r="B7927" s="115" t="s">
        <v>12421</v>
      </c>
      <c r="C7927" s="117">
        <v>1474.79</v>
      </c>
    </row>
    <row r="7928" spans="1:3" x14ac:dyDescent="0.25">
      <c r="A7928" s="115">
        <v>1302712</v>
      </c>
      <c r="B7928" s="115" t="s">
        <v>7566</v>
      </c>
      <c r="C7928" s="117">
        <v>1018.31</v>
      </c>
    </row>
    <row r="7929" spans="1:3" x14ac:dyDescent="0.25">
      <c r="A7929" s="115">
        <v>1302775</v>
      </c>
      <c r="B7929" s="115" t="s">
        <v>7567</v>
      </c>
      <c r="C7929" s="117">
        <v>624.32000000000005</v>
      </c>
    </row>
    <row r="7930" spans="1:3" x14ac:dyDescent="0.25">
      <c r="A7930" s="115">
        <v>1302776</v>
      </c>
      <c r="B7930" s="115" t="s">
        <v>7568</v>
      </c>
      <c r="C7930" s="117">
        <v>579.58000000000004</v>
      </c>
    </row>
    <row r="7931" spans="1:3" x14ac:dyDescent="0.25">
      <c r="A7931" s="115">
        <v>1309514</v>
      </c>
      <c r="B7931" s="115" t="s">
        <v>11982</v>
      </c>
      <c r="C7931" s="117">
        <v>743.96</v>
      </c>
    </row>
    <row r="7932" spans="1:3" x14ac:dyDescent="0.25">
      <c r="A7932" s="115">
        <v>1301122</v>
      </c>
      <c r="B7932" s="115" t="s">
        <v>7569</v>
      </c>
      <c r="C7932" s="117">
        <v>775.82</v>
      </c>
    </row>
    <row r="7933" spans="1:3" x14ac:dyDescent="0.25">
      <c r="A7933" s="115">
        <v>1301152</v>
      </c>
      <c r="B7933" s="115" t="s">
        <v>7570</v>
      </c>
      <c r="C7933" s="117">
        <v>775.82</v>
      </c>
    </row>
    <row r="7934" spans="1:3" x14ac:dyDescent="0.25">
      <c r="A7934" s="115">
        <v>1301172</v>
      </c>
      <c r="B7934" s="115" t="s">
        <v>7571</v>
      </c>
      <c r="C7934" s="117">
        <v>775.82</v>
      </c>
    </row>
    <row r="7935" spans="1:3" x14ac:dyDescent="0.25">
      <c r="A7935" s="115">
        <v>1301174</v>
      </c>
      <c r="B7935" s="115" t="s">
        <v>7572</v>
      </c>
      <c r="C7935" s="117">
        <v>775.82</v>
      </c>
    </row>
    <row r="7936" spans="1:3" x14ac:dyDescent="0.25">
      <c r="A7936" s="115">
        <v>1301065</v>
      </c>
      <c r="B7936" s="115" t="s">
        <v>7573</v>
      </c>
      <c r="C7936" s="117">
        <v>374.5</v>
      </c>
    </row>
    <row r="7937" spans="1:3" x14ac:dyDescent="0.25">
      <c r="A7937" s="115">
        <v>1301022</v>
      </c>
      <c r="B7937" s="115" t="s">
        <v>7574</v>
      </c>
      <c r="C7937" s="117">
        <v>374.5</v>
      </c>
    </row>
    <row r="7938" spans="1:3" x14ac:dyDescent="0.25">
      <c r="A7938" s="115">
        <v>1301052</v>
      </c>
      <c r="B7938" s="115" t="s">
        <v>7575</v>
      </c>
      <c r="C7938" s="117">
        <v>374.5</v>
      </c>
    </row>
    <row r="7939" spans="1:3" x14ac:dyDescent="0.25">
      <c r="A7939" s="115">
        <v>1301074</v>
      </c>
      <c r="B7939" s="115" t="s">
        <v>7576</v>
      </c>
      <c r="C7939" s="117">
        <v>374.5</v>
      </c>
    </row>
    <row r="7940" spans="1:3" x14ac:dyDescent="0.25">
      <c r="A7940" s="115">
        <v>1301165</v>
      </c>
      <c r="B7940" s="115" t="s">
        <v>7577</v>
      </c>
      <c r="C7940" s="117">
        <v>775.82</v>
      </c>
    </row>
    <row r="7941" spans="1:3" x14ac:dyDescent="0.25">
      <c r="A7941" s="115">
        <v>1303802</v>
      </c>
      <c r="B7941" s="115" t="s">
        <v>12422</v>
      </c>
      <c r="C7941" s="117">
        <v>401.94</v>
      </c>
    </row>
    <row r="7942" spans="1:3" x14ac:dyDescent="0.25">
      <c r="A7942" s="115">
        <v>1300660</v>
      </c>
      <c r="B7942" s="115" t="s">
        <v>12423</v>
      </c>
      <c r="C7942" s="117">
        <v>286.54000000000002</v>
      </c>
    </row>
    <row r="7943" spans="1:3" x14ac:dyDescent="0.25">
      <c r="A7943" s="115">
        <v>1300631</v>
      </c>
      <c r="B7943" s="115" t="s">
        <v>7578</v>
      </c>
      <c r="C7943" s="117">
        <v>747.49</v>
      </c>
    </row>
    <row r="7944" spans="1:3" x14ac:dyDescent="0.25">
      <c r="A7944" s="115">
        <v>1308732</v>
      </c>
      <c r="B7944" s="115" t="s">
        <v>7579</v>
      </c>
      <c r="C7944" s="117">
        <v>246.51</v>
      </c>
    </row>
    <row r="7945" spans="1:3" x14ac:dyDescent="0.25">
      <c r="A7945" s="115">
        <v>1308731</v>
      </c>
      <c r="B7945" s="115" t="s">
        <v>7580</v>
      </c>
      <c r="C7945" s="117">
        <v>246.51</v>
      </c>
    </row>
    <row r="7946" spans="1:3" x14ac:dyDescent="0.25">
      <c r="A7946" s="115">
        <v>1308730</v>
      </c>
      <c r="B7946" s="115" t="s">
        <v>7581</v>
      </c>
      <c r="C7946" s="117">
        <v>246.51</v>
      </c>
    </row>
    <row r="7947" spans="1:3" x14ac:dyDescent="0.25">
      <c r="A7947" s="115">
        <v>1308733</v>
      </c>
      <c r="B7947" s="115" t="s">
        <v>7582</v>
      </c>
      <c r="C7947" s="117">
        <v>246.51</v>
      </c>
    </row>
    <row r="7948" spans="1:3" x14ac:dyDescent="0.25">
      <c r="A7948" s="115">
        <v>1308610</v>
      </c>
      <c r="B7948" s="115" t="s">
        <v>7583</v>
      </c>
      <c r="C7948" s="117">
        <v>246.51</v>
      </c>
    </row>
    <row r="7949" spans="1:3" x14ac:dyDescent="0.25">
      <c r="A7949" s="115">
        <v>1308622</v>
      </c>
      <c r="B7949" s="115" t="s">
        <v>7584</v>
      </c>
      <c r="C7949" s="117">
        <v>383.46</v>
      </c>
    </row>
    <row r="7950" spans="1:3" x14ac:dyDescent="0.25">
      <c r="A7950" s="115">
        <v>1308617</v>
      </c>
      <c r="B7950" s="115" t="s">
        <v>7585</v>
      </c>
      <c r="C7950" s="117">
        <v>383.46</v>
      </c>
    </row>
    <row r="7951" spans="1:3" x14ac:dyDescent="0.25">
      <c r="A7951" s="115">
        <v>1308634</v>
      </c>
      <c r="B7951" s="115" t="s">
        <v>7586</v>
      </c>
      <c r="C7951" s="117">
        <v>181.27</v>
      </c>
    </row>
    <row r="7952" spans="1:3" x14ac:dyDescent="0.25">
      <c r="A7952" s="115">
        <v>1308633</v>
      </c>
      <c r="B7952" s="115" t="s">
        <v>7587</v>
      </c>
      <c r="C7952" s="117">
        <v>542.54999999999995</v>
      </c>
    </row>
    <row r="7953" spans="1:3" x14ac:dyDescent="0.25">
      <c r="A7953" s="115">
        <v>1308636</v>
      </c>
      <c r="B7953" s="115" t="s">
        <v>7588</v>
      </c>
      <c r="C7953" s="117">
        <v>290.76</v>
      </c>
    </row>
    <row r="7954" spans="1:3" x14ac:dyDescent="0.25">
      <c r="A7954" s="115">
        <v>1304801</v>
      </c>
      <c r="B7954" s="115" t="s">
        <v>7589</v>
      </c>
      <c r="C7954" s="117">
        <v>712.12</v>
      </c>
    </row>
    <row r="7955" spans="1:3" x14ac:dyDescent="0.25">
      <c r="A7955" s="115">
        <v>1304878</v>
      </c>
      <c r="B7955" s="115" t="s">
        <v>11983</v>
      </c>
      <c r="C7955" s="117">
        <v>712.12</v>
      </c>
    </row>
    <row r="7956" spans="1:3" x14ac:dyDescent="0.25">
      <c r="A7956" s="115">
        <v>1304800</v>
      </c>
      <c r="B7956" s="115" t="s">
        <v>7590</v>
      </c>
      <c r="C7956" s="117">
        <v>681.43</v>
      </c>
    </row>
    <row r="7957" spans="1:3" x14ac:dyDescent="0.25">
      <c r="A7957" s="115">
        <v>1302276</v>
      </c>
      <c r="B7957" s="115" t="s">
        <v>11984</v>
      </c>
      <c r="C7957" s="117">
        <v>1334.11</v>
      </c>
    </row>
    <row r="7958" spans="1:3" x14ac:dyDescent="0.25">
      <c r="A7958" s="115">
        <v>1308094</v>
      </c>
      <c r="B7958" s="115" t="s">
        <v>12424</v>
      </c>
      <c r="C7958" s="117">
        <v>433.59</v>
      </c>
    </row>
    <row r="7959" spans="1:3" x14ac:dyDescent="0.25">
      <c r="A7959" s="115">
        <v>1308093</v>
      </c>
      <c r="B7959" s="115" t="s">
        <v>12425</v>
      </c>
      <c r="C7959" s="117">
        <v>433.59</v>
      </c>
    </row>
    <row r="7960" spans="1:3" x14ac:dyDescent="0.25">
      <c r="A7960" s="115">
        <v>1302100</v>
      </c>
      <c r="B7960" s="115" t="s">
        <v>12426</v>
      </c>
      <c r="C7960" s="117">
        <v>386.98</v>
      </c>
    </row>
    <row r="7961" spans="1:3" x14ac:dyDescent="0.25">
      <c r="A7961" s="115">
        <v>1302200</v>
      </c>
      <c r="B7961" s="115" t="s">
        <v>11985</v>
      </c>
      <c r="C7961" s="117">
        <v>1067.29</v>
      </c>
    </row>
    <row r="7962" spans="1:3" x14ac:dyDescent="0.25">
      <c r="A7962" s="115">
        <v>1302201</v>
      </c>
      <c r="B7962" s="115" t="s">
        <v>12427</v>
      </c>
      <c r="C7962" s="117">
        <v>1455.64</v>
      </c>
    </row>
    <row r="7963" spans="1:3" x14ac:dyDescent="0.25">
      <c r="A7963" s="115">
        <v>1120417</v>
      </c>
      <c r="B7963" s="115" t="s">
        <v>7591</v>
      </c>
      <c r="C7963" s="117">
        <v>625.13</v>
      </c>
    </row>
    <row r="7964" spans="1:3" x14ac:dyDescent="0.25">
      <c r="A7964" s="115">
        <v>1120482</v>
      </c>
      <c r="B7964" s="115" t="s">
        <v>7592</v>
      </c>
      <c r="C7964" s="117">
        <v>625.13</v>
      </c>
    </row>
    <row r="7965" spans="1:3" x14ac:dyDescent="0.25">
      <c r="A7965" s="115">
        <v>1304202</v>
      </c>
      <c r="B7965" s="115" t="s">
        <v>7593</v>
      </c>
      <c r="C7965" s="117">
        <v>721.67</v>
      </c>
    </row>
    <row r="7966" spans="1:3" x14ac:dyDescent="0.25">
      <c r="A7966" s="115">
        <v>1304299</v>
      </c>
      <c r="B7966" s="115" t="s">
        <v>7594</v>
      </c>
      <c r="C7966" s="117">
        <v>721.67</v>
      </c>
    </row>
    <row r="7967" spans="1:3" x14ac:dyDescent="0.25">
      <c r="A7967" s="115">
        <v>1304210</v>
      </c>
      <c r="B7967" s="115" t="s">
        <v>7595</v>
      </c>
      <c r="C7967" s="117">
        <v>721.67</v>
      </c>
    </row>
    <row r="7968" spans="1:3" x14ac:dyDescent="0.25">
      <c r="A7968" s="115">
        <v>1304273</v>
      </c>
      <c r="B7968" s="115" t="s">
        <v>7596</v>
      </c>
      <c r="C7968" s="117">
        <v>721.67</v>
      </c>
    </row>
    <row r="7969" spans="1:3" x14ac:dyDescent="0.25">
      <c r="A7969" s="115">
        <v>1304277</v>
      </c>
      <c r="B7969" s="115" t="s">
        <v>7597</v>
      </c>
      <c r="C7969" s="117">
        <v>625.44000000000005</v>
      </c>
    </row>
    <row r="7970" spans="1:3" x14ac:dyDescent="0.25">
      <c r="A7970" s="115">
        <v>1304200</v>
      </c>
      <c r="B7970" s="115" t="s">
        <v>7598</v>
      </c>
      <c r="C7970" s="117">
        <v>625.44000000000005</v>
      </c>
    </row>
    <row r="7971" spans="1:3" x14ac:dyDescent="0.25">
      <c r="A7971" s="115">
        <v>1369399</v>
      </c>
      <c r="B7971" s="115" t="s">
        <v>12428</v>
      </c>
      <c r="C7971" s="117">
        <v>326.68</v>
      </c>
    </row>
    <row r="7972" spans="1:3" x14ac:dyDescent="0.25">
      <c r="A7972" s="115">
        <v>1302410</v>
      </c>
      <c r="B7972" s="115" t="s">
        <v>7599</v>
      </c>
      <c r="C7972" s="117">
        <v>865.63</v>
      </c>
    </row>
    <row r="7973" spans="1:3" x14ac:dyDescent="0.25">
      <c r="A7973" s="115">
        <v>1302415</v>
      </c>
      <c r="B7973" s="115" t="s">
        <v>7600</v>
      </c>
      <c r="C7973" s="117">
        <v>865.63</v>
      </c>
    </row>
    <row r="7974" spans="1:3" x14ac:dyDescent="0.25">
      <c r="A7974" s="115">
        <v>1302416</v>
      </c>
      <c r="B7974" s="115" t="s">
        <v>7601</v>
      </c>
      <c r="C7974" s="117">
        <v>865.63</v>
      </c>
    </row>
    <row r="7975" spans="1:3" x14ac:dyDescent="0.25">
      <c r="A7975" s="115">
        <v>1301125</v>
      </c>
      <c r="B7975" s="115" t="s">
        <v>11986</v>
      </c>
      <c r="C7975" s="117">
        <v>775.84</v>
      </c>
    </row>
    <row r="7976" spans="1:3" x14ac:dyDescent="0.25">
      <c r="A7976" s="115">
        <v>1306953</v>
      </c>
      <c r="B7976" s="115" t="s">
        <v>7602</v>
      </c>
      <c r="C7976" s="117">
        <v>748.71</v>
      </c>
    </row>
    <row r="7977" spans="1:3" x14ac:dyDescent="0.25">
      <c r="A7977" s="115">
        <v>1306952</v>
      </c>
      <c r="B7977" s="115" t="s">
        <v>7603</v>
      </c>
      <c r="C7977" s="117">
        <v>748.71</v>
      </c>
    </row>
    <row r="7978" spans="1:3" x14ac:dyDescent="0.25">
      <c r="A7978" s="115">
        <v>1306978</v>
      </c>
      <c r="B7978" s="115" t="s">
        <v>7604</v>
      </c>
      <c r="C7978" s="117">
        <v>35.57</v>
      </c>
    </row>
    <row r="7979" spans="1:3" x14ac:dyDescent="0.25">
      <c r="A7979" s="115">
        <v>1306904</v>
      </c>
      <c r="B7979" s="115" t="s">
        <v>7605</v>
      </c>
      <c r="C7979" s="117">
        <v>748.71</v>
      </c>
    </row>
    <row r="7980" spans="1:3" x14ac:dyDescent="0.25">
      <c r="A7980" s="115">
        <v>1306050</v>
      </c>
      <c r="B7980" s="115" t="s">
        <v>7606</v>
      </c>
      <c r="C7980" s="117">
        <v>273.56</v>
      </c>
    </row>
    <row r="7981" spans="1:3" x14ac:dyDescent="0.25">
      <c r="A7981" s="115">
        <v>1308969</v>
      </c>
      <c r="B7981" s="115" t="s">
        <v>7607</v>
      </c>
      <c r="C7981" s="117">
        <v>660.39</v>
      </c>
    </row>
    <row r="7982" spans="1:3" x14ac:dyDescent="0.25">
      <c r="A7982" s="115">
        <v>1308972</v>
      </c>
      <c r="B7982" s="115" t="s">
        <v>7608</v>
      </c>
      <c r="C7982" s="117">
        <v>660.39</v>
      </c>
    </row>
    <row r="7983" spans="1:3" x14ac:dyDescent="0.25">
      <c r="A7983" s="115">
        <v>1308915</v>
      </c>
      <c r="B7983" s="115" t="s">
        <v>7609</v>
      </c>
      <c r="C7983" s="117">
        <v>660.39</v>
      </c>
    </row>
    <row r="7984" spans="1:3" x14ac:dyDescent="0.25">
      <c r="A7984" s="115">
        <v>1308900</v>
      </c>
      <c r="B7984" s="115" t="s">
        <v>7610</v>
      </c>
      <c r="C7984" s="117">
        <v>660.42</v>
      </c>
    </row>
    <row r="7985" spans="1:3" x14ac:dyDescent="0.25">
      <c r="A7985" s="115">
        <v>1308952</v>
      </c>
      <c r="B7985" s="115" t="s">
        <v>7611</v>
      </c>
      <c r="C7985" s="117">
        <v>660.39</v>
      </c>
    </row>
    <row r="7986" spans="1:3" x14ac:dyDescent="0.25">
      <c r="A7986" s="115">
        <v>1308974</v>
      </c>
      <c r="B7986" s="115" t="s">
        <v>7612</v>
      </c>
      <c r="C7986" s="117">
        <v>660.39</v>
      </c>
    </row>
    <row r="7987" spans="1:3" x14ac:dyDescent="0.25">
      <c r="A7987" s="115">
        <v>1308978</v>
      </c>
      <c r="B7987" s="115" t="s">
        <v>7613</v>
      </c>
      <c r="C7987" s="117">
        <v>660.39</v>
      </c>
    </row>
    <row r="7988" spans="1:3" x14ac:dyDescent="0.25">
      <c r="A7988" s="115">
        <v>1306700</v>
      </c>
      <c r="B7988" s="115" t="s">
        <v>7614</v>
      </c>
      <c r="C7988" s="117">
        <v>812.68</v>
      </c>
    </row>
    <row r="7989" spans="1:3" x14ac:dyDescent="0.25">
      <c r="A7989" s="115">
        <v>1306738</v>
      </c>
      <c r="B7989" s="115" t="s">
        <v>7615</v>
      </c>
      <c r="C7989" s="117">
        <v>760.86</v>
      </c>
    </row>
    <row r="7990" spans="1:3" x14ac:dyDescent="0.25">
      <c r="A7990" s="115">
        <v>1306774</v>
      </c>
      <c r="B7990" s="115" t="s">
        <v>7616</v>
      </c>
      <c r="C7990" s="117">
        <v>812.68</v>
      </c>
    </row>
    <row r="7991" spans="1:3" x14ac:dyDescent="0.25">
      <c r="A7991" s="115">
        <v>1308312</v>
      </c>
      <c r="B7991" s="115" t="s">
        <v>7617</v>
      </c>
      <c r="C7991" s="117">
        <v>951.3</v>
      </c>
    </row>
    <row r="7992" spans="1:3" x14ac:dyDescent="0.25">
      <c r="A7992" s="115">
        <v>1308300</v>
      </c>
      <c r="B7992" s="115" t="s">
        <v>7618</v>
      </c>
      <c r="C7992" s="117">
        <v>951.3</v>
      </c>
    </row>
    <row r="7993" spans="1:3" x14ac:dyDescent="0.25">
      <c r="A7993" s="115">
        <v>1308310</v>
      </c>
      <c r="B7993" s="115" t="s">
        <v>7619</v>
      </c>
      <c r="C7993" s="117">
        <v>951.3</v>
      </c>
    </row>
    <row r="7994" spans="1:3" x14ac:dyDescent="0.25">
      <c r="A7994" s="115">
        <v>1307103</v>
      </c>
      <c r="B7994" s="115" t="s">
        <v>7620</v>
      </c>
      <c r="C7994" s="117">
        <v>498.04</v>
      </c>
    </row>
    <row r="7995" spans="1:3" x14ac:dyDescent="0.25">
      <c r="A7995" s="115">
        <v>1304403</v>
      </c>
      <c r="B7995" s="115" t="s">
        <v>7621</v>
      </c>
      <c r="C7995" s="117">
        <v>655.33000000000004</v>
      </c>
    </row>
    <row r="7996" spans="1:3" x14ac:dyDescent="0.25">
      <c r="A7996" s="115">
        <v>1308471</v>
      </c>
      <c r="B7996" s="115" t="s">
        <v>7622</v>
      </c>
      <c r="C7996" s="117">
        <v>253.59</v>
      </c>
    </row>
    <row r="7997" spans="1:3" x14ac:dyDescent="0.25">
      <c r="A7997" s="115">
        <v>1308487</v>
      </c>
      <c r="B7997" s="115" t="s">
        <v>7623</v>
      </c>
      <c r="C7997" s="117">
        <v>253.59</v>
      </c>
    </row>
    <row r="7998" spans="1:3" x14ac:dyDescent="0.25">
      <c r="A7998" s="115">
        <v>1309636</v>
      </c>
      <c r="B7998" s="115" t="s">
        <v>7624</v>
      </c>
      <c r="C7998" s="117">
        <v>250.53</v>
      </c>
    </row>
    <row r="7999" spans="1:3" x14ac:dyDescent="0.25">
      <c r="A7999" s="115">
        <v>1309642</v>
      </c>
      <c r="B7999" s="115" t="s">
        <v>7625</v>
      </c>
      <c r="C7999" s="117">
        <v>740.76</v>
      </c>
    </row>
    <row r="8000" spans="1:3" x14ac:dyDescent="0.25">
      <c r="A8000" s="115">
        <v>1308324</v>
      </c>
      <c r="B8000" s="115" t="s">
        <v>7626</v>
      </c>
      <c r="C8000" s="117">
        <v>740.76</v>
      </c>
    </row>
    <row r="8001" spans="1:3" x14ac:dyDescent="0.25">
      <c r="A8001" s="115">
        <v>1309641</v>
      </c>
      <c r="B8001" s="115" t="s">
        <v>7627</v>
      </c>
      <c r="C8001" s="117">
        <v>740.76</v>
      </c>
    </row>
    <row r="8002" spans="1:3" x14ac:dyDescent="0.25">
      <c r="A8002" s="115">
        <v>1303912</v>
      </c>
      <c r="B8002" s="115" t="s">
        <v>7628</v>
      </c>
      <c r="C8002" s="117">
        <v>634.61</v>
      </c>
    </row>
    <row r="8003" spans="1:3" x14ac:dyDescent="0.25">
      <c r="A8003" s="115">
        <v>1303926</v>
      </c>
      <c r="B8003" s="115" t="s">
        <v>7629</v>
      </c>
      <c r="C8003" s="117">
        <v>939.76</v>
      </c>
    </row>
    <row r="8004" spans="1:3" x14ac:dyDescent="0.25">
      <c r="A8004" s="115">
        <v>1303970</v>
      </c>
      <c r="B8004" s="115" t="s">
        <v>7630</v>
      </c>
      <c r="C8004" s="117">
        <v>939.76</v>
      </c>
    </row>
    <row r="8005" spans="1:3" x14ac:dyDescent="0.25">
      <c r="A8005" s="115">
        <v>1304700</v>
      </c>
      <c r="B8005" s="115" t="s">
        <v>7631</v>
      </c>
      <c r="C8005" s="117">
        <v>1098.69</v>
      </c>
    </row>
    <row r="8006" spans="1:3" x14ac:dyDescent="0.25">
      <c r="A8006" s="115">
        <v>1307100</v>
      </c>
      <c r="B8006" s="115" t="s">
        <v>7632</v>
      </c>
      <c r="C8006" s="117">
        <v>498.04</v>
      </c>
    </row>
    <row r="8007" spans="1:3" x14ac:dyDescent="0.25">
      <c r="A8007" s="115">
        <v>1307101</v>
      </c>
      <c r="B8007" s="115" t="s">
        <v>7633</v>
      </c>
      <c r="C8007" s="117">
        <v>498.04</v>
      </c>
    </row>
    <row r="8008" spans="1:3" x14ac:dyDescent="0.25">
      <c r="A8008" s="115">
        <v>1308320</v>
      </c>
      <c r="B8008" s="115" t="s">
        <v>7634</v>
      </c>
      <c r="C8008" s="117">
        <v>912.46</v>
      </c>
    </row>
    <row r="8009" spans="1:3" x14ac:dyDescent="0.25">
      <c r="A8009" s="115">
        <v>1308323</v>
      </c>
      <c r="B8009" s="115" t="s">
        <v>7635</v>
      </c>
      <c r="C8009" s="117">
        <v>1025.1600000000001</v>
      </c>
    </row>
    <row r="8010" spans="1:3" x14ac:dyDescent="0.25">
      <c r="A8010" s="115">
        <v>1308322</v>
      </c>
      <c r="B8010" s="115" t="s">
        <v>7636</v>
      </c>
      <c r="C8010" s="117">
        <v>973.9</v>
      </c>
    </row>
    <row r="8011" spans="1:3" x14ac:dyDescent="0.25">
      <c r="A8011" s="115">
        <v>1301200</v>
      </c>
      <c r="B8011" s="115" t="s">
        <v>7637</v>
      </c>
      <c r="C8011" s="117">
        <v>1103.8499999999999</v>
      </c>
    </row>
    <row r="8012" spans="1:3" x14ac:dyDescent="0.25">
      <c r="A8012" s="115">
        <v>1301202</v>
      </c>
      <c r="B8012" s="115" t="s">
        <v>7638</v>
      </c>
      <c r="C8012" s="117">
        <v>1103.8499999999999</v>
      </c>
    </row>
    <row r="8013" spans="1:3" x14ac:dyDescent="0.25">
      <c r="A8013" s="115">
        <v>1301204</v>
      </c>
      <c r="B8013" s="115" t="s">
        <v>7639</v>
      </c>
      <c r="C8013" s="117">
        <v>1103.8499999999999</v>
      </c>
    </row>
    <row r="8014" spans="1:3" x14ac:dyDescent="0.25">
      <c r="A8014" s="115">
        <v>1301201</v>
      </c>
      <c r="B8014" s="115" t="s">
        <v>7640</v>
      </c>
      <c r="C8014" s="117">
        <v>1103.8499999999999</v>
      </c>
    </row>
    <row r="8015" spans="1:3" x14ac:dyDescent="0.25">
      <c r="A8015" s="115">
        <v>1301203</v>
      </c>
      <c r="B8015" s="115" t="s">
        <v>7641</v>
      </c>
      <c r="C8015" s="117">
        <v>1103.8499999999999</v>
      </c>
    </row>
    <row r="8016" spans="1:3" x14ac:dyDescent="0.25">
      <c r="A8016" s="115">
        <v>1302412</v>
      </c>
      <c r="B8016" s="115" t="s">
        <v>7642</v>
      </c>
      <c r="C8016" s="117">
        <v>642.26</v>
      </c>
    </row>
    <row r="8017" spans="1:3" x14ac:dyDescent="0.25">
      <c r="A8017" s="115">
        <v>1302499</v>
      </c>
      <c r="B8017" s="115" t="s">
        <v>7643</v>
      </c>
      <c r="C8017" s="117">
        <v>642.26</v>
      </c>
    </row>
    <row r="8018" spans="1:3" x14ac:dyDescent="0.25">
      <c r="A8018" s="115">
        <v>1302400</v>
      </c>
      <c r="B8018" s="115" t="s">
        <v>7644</v>
      </c>
      <c r="C8018" s="117">
        <v>642.26</v>
      </c>
    </row>
    <row r="8019" spans="1:3" x14ac:dyDescent="0.25">
      <c r="A8019" s="115">
        <v>1302474</v>
      </c>
      <c r="B8019" s="115" t="s">
        <v>7645</v>
      </c>
      <c r="C8019" s="117">
        <v>642.26</v>
      </c>
    </row>
    <row r="8020" spans="1:3" x14ac:dyDescent="0.25">
      <c r="A8020" s="115">
        <v>1304399</v>
      </c>
      <c r="B8020" s="115" t="s">
        <v>12429</v>
      </c>
      <c r="C8020" s="117">
        <v>817.54</v>
      </c>
    </row>
    <row r="8021" spans="1:3" x14ac:dyDescent="0.25">
      <c r="A8021" s="115">
        <v>1304395</v>
      </c>
      <c r="B8021" s="115" t="s">
        <v>7646</v>
      </c>
      <c r="C8021" s="117">
        <v>741.24</v>
      </c>
    </row>
    <row r="8022" spans="1:3" x14ac:dyDescent="0.25">
      <c r="A8022" s="115">
        <v>1304398</v>
      </c>
      <c r="B8022" s="115" t="s">
        <v>7647</v>
      </c>
      <c r="C8022" s="117">
        <v>741.24</v>
      </c>
    </row>
    <row r="8023" spans="1:3" x14ac:dyDescent="0.25">
      <c r="A8023" s="115">
        <v>1304394</v>
      </c>
      <c r="B8023" s="115" t="s">
        <v>7648</v>
      </c>
      <c r="C8023" s="117">
        <v>741.24</v>
      </c>
    </row>
    <row r="8024" spans="1:3" x14ac:dyDescent="0.25">
      <c r="A8024" s="115">
        <v>1304367</v>
      </c>
      <c r="B8024" s="115" t="s">
        <v>7649</v>
      </c>
      <c r="C8024" s="117">
        <v>741.24</v>
      </c>
    </row>
    <row r="8025" spans="1:3" x14ac:dyDescent="0.25">
      <c r="A8025" s="115">
        <v>1309152</v>
      </c>
      <c r="B8025" s="115" t="s">
        <v>12430</v>
      </c>
      <c r="C8025" s="117">
        <v>2131.67</v>
      </c>
    </row>
    <row r="8026" spans="1:3" x14ac:dyDescent="0.25">
      <c r="A8026" s="115">
        <v>1309178</v>
      </c>
      <c r="B8026" s="115" t="s">
        <v>7650</v>
      </c>
      <c r="C8026" s="117">
        <v>2131.67</v>
      </c>
    </row>
    <row r="8027" spans="1:3" x14ac:dyDescent="0.25">
      <c r="A8027" s="115">
        <v>1309052</v>
      </c>
      <c r="B8027" s="115" t="s">
        <v>7651</v>
      </c>
      <c r="C8027" s="117">
        <v>1136.67</v>
      </c>
    </row>
    <row r="8028" spans="1:3" x14ac:dyDescent="0.25">
      <c r="A8028" s="115">
        <v>1309278</v>
      </c>
      <c r="B8028" s="115" t="s">
        <v>7652</v>
      </c>
      <c r="C8028" s="117">
        <v>1136.67</v>
      </c>
    </row>
    <row r="8029" spans="1:3" x14ac:dyDescent="0.25">
      <c r="A8029" s="144" t="s">
        <v>7653</v>
      </c>
      <c r="B8029" s="145"/>
      <c r="C8029" s="145"/>
    </row>
    <row r="8030" spans="1:3" x14ac:dyDescent="0.25">
      <c r="A8030" s="115">
        <v>9993900</v>
      </c>
      <c r="B8030" s="115" t="s">
        <v>7654</v>
      </c>
      <c r="C8030" s="117">
        <v>3000</v>
      </c>
    </row>
    <row r="8031" spans="1:3" x14ac:dyDescent="0.25">
      <c r="A8031" s="115">
        <v>9999676</v>
      </c>
      <c r="B8031" s="115" t="s">
        <v>12431</v>
      </c>
      <c r="C8031" s="117">
        <v>9526.18</v>
      </c>
    </row>
    <row r="8032" spans="1:3" x14ac:dyDescent="0.25">
      <c r="A8032" s="115">
        <v>9999536</v>
      </c>
      <c r="B8032" s="115" t="s">
        <v>7655</v>
      </c>
      <c r="C8032" s="117">
        <v>7807.11</v>
      </c>
    </row>
    <row r="8033" spans="1:3" x14ac:dyDescent="0.25">
      <c r="A8033" s="115">
        <v>9999537</v>
      </c>
      <c r="B8033" s="115" t="s">
        <v>7656</v>
      </c>
      <c r="C8033" s="117">
        <v>8157.11</v>
      </c>
    </row>
    <row r="8034" spans="1:3" x14ac:dyDescent="0.25">
      <c r="A8034" s="115">
        <v>9999634</v>
      </c>
      <c r="B8034" s="115" t="s">
        <v>12432</v>
      </c>
      <c r="C8034" s="117">
        <v>51631.73</v>
      </c>
    </row>
    <row r="8035" spans="1:3" x14ac:dyDescent="0.25">
      <c r="A8035" s="115">
        <v>9999662</v>
      </c>
      <c r="B8035" s="115" t="s">
        <v>12433</v>
      </c>
      <c r="C8035" s="117">
        <v>11001.74</v>
      </c>
    </row>
    <row r="8036" spans="1:3" x14ac:dyDescent="0.25">
      <c r="A8036" s="115">
        <v>9999660</v>
      </c>
      <c r="B8036" s="115" t="s">
        <v>12434</v>
      </c>
      <c r="C8036" s="117">
        <v>12446.73</v>
      </c>
    </row>
    <row r="8037" spans="1:3" x14ac:dyDescent="0.25">
      <c r="A8037" s="115">
        <v>9999661</v>
      </c>
      <c r="B8037" s="115" t="s">
        <v>12435</v>
      </c>
      <c r="C8037" s="117">
        <v>11314.93</v>
      </c>
    </row>
    <row r="8038" spans="1:3" x14ac:dyDescent="0.25">
      <c r="A8038" s="115">
        <v>9999638</v>
      </c>
      <c r="B8038" s="115" t="s">
        <v>12436</v>
      </c>
      <c r="C8038" s="117">
        <v>24234.55</v>
      </c>
    </row>
    <row r="8039" spans="1:3" x14ac:dyDescent="0.25">
      <c r="A8039" s="115">
        <v>9999674</v>
      </c>
      <c r="B8039" s="115" t="s">
        <v>12437</v>
      </c>
      <c r="C8039" s="117">
        <v>8170.83</v>
      </c>
    </row>
    <row r="8040" spans="1:3" x14ac:dyDescent="0.25">
      <c r="A8040" s="115">
        <v>9999673</v>
      </c>
      <c r="B8040" s="115" t="s">
        <v>12438</v>
      </c>
      <c r="C8040" s="117">
        <v>8170.85</v>
      </c>
    </row>
    <row r="8041" spans="1:3" x14ac:dyDescent="0.25">
      <c r="A8041" s="115">
        <v>9999649</v>
      </c>
      <c r="B8041" s="115" t="s">
        <v>12439</v>
      </c>
      <c r="C8041" s="117">
        <v>27533.95</v>
      </c>
    </row>
    <row r="8042" spans="1:3" x14ac:dyDescent="0.25">
      <c r="A8042" s="115">
        <v>9999675</v>
      </c>
      <c r="B8042" s="115" t="s">
        <v>12440</v>
      </c>
      <c r="C8042" s="117">
        <v>38675.08</v>
      </c>
    </row>
    <row r="8043" spans="1:3" x14ac:dyDescent="0.25">
      <c r="A8043" s="115">
        <v>9999552</v>
      </c>
      <c r="B8043" s="115" t="s">
        <v>7657</v>
      </c>
      <c r="C8043" s="117">
        <v>29610.82</v>
      </c>
    </row>
    <row r="8044" spans="1:3" x14ac:dyDescent="0.25">
      <c r="A8044" s="115">
        <v>9999358</v>
      </c>
      <c r="B8044" s="115" t="s">
        <v>7658</v>
      </c>
      <c r="C8044" s="117">
        <v>131743.99</v>
      </c>
    </row>
    <row r="8045" spans="1:3" x14ac:dyDescent="0.25">
      <c r="A8045" s="115">
        <v>9999359</v>
      </c>
      <c r="B8045" s="115" t="s">
        <v>7659</v>
      </c>
      <c r="C8045" s="117">
        <v>478986.88</v>
      </c>
    </row>
    <row r="8046" spans="1:3" x14ac:dyDescent="0.25">
      <c r="A8046" s="115">
        <v>9999254</v>
      </c>
      <c r="B8046" s="115" t="s">
        <v>7660</v>
      </c>
      <c r="C8046" s="117">
        <v>180363.42</v>
      </c>
    </row>
    <row r="8047" spans="1:3" x14ac:dyDescent="0.25">
      <c r="A8047" s="115">
        <v>9999253</v>
      </c>
      <c r="B8047" s="115" t="s">
        <v>7661</v>
      </c>
      <c r="C8047" s="117">
        <v>316507.03999999998</v>
      </c>
    </row>
    <row r="8048" spans="1:3" x14ac:dyDescent="0.25">
      <c r="A8048" s="115">
        <v>9999260</v>
      </c>
      <c r="B8048" s="115" t="s">
        <v>7662</v>
      </c>
      <c r="C8048" s="117">
        <v>42773.89</v>
      </c>
    </row>
    <row r="8049" spans="1:3" x14ac:dyDescent="0.25">
      <c r="A8049" s="115">
        <v>9999614</v>
      </c>
      <c r="B8049" s="115" t="s">
        <v>12441</v>
      </c>
      <c r="C8049" s="117">
        <v>16144.03</v>
      </c>
    </row>
    <row r="8050" spans="1:3" x14ac:dyDescent="0.25">
      <c r="A8050" s="115">
        <v>9999647</v>
      </c>
      <c r="B8050" s="115" t="s">
        <v>12442</v>
      </c>
      <c r="C8050" s="117">
        <v>25590.52</v>
      </c>
    </row>
    <row r="8051" spans="1:3" x14ac:dyDescent="0.25">
      <c r="A8051" s="115">
        <v>9999613</v>
      </c>
      <c r="B8051" s="115" t="s">
        <v>12443</v>
      </c>
      <c r="C8051" s="117">
        <v>56443.14</v>
      </c>
    </row>
    <row r="8052" spans="1:3" x14ac:dyDescent="0.25">
      <c r="A8052" s="115">
        <v>9999648</v>
      </c>
      <c r="B8052" s="115" t="s">
        <v>12444</v>
      </c>
      <c r="C8052" s="117">
        <v>10693.65</v>
      </c>
    </row>
    <row r="8053" spans="1:3" x14ac:dyDescent="0.25">
      <c r="A8053" s="115">
        <v>9999664</v>
      </c>
      <c r="B8053" s="115" t="s">
        <v>12445</v>
      </c>
      <c r="C8053" s="117">
        <v>7798.23</v>
      </c>
    </row>
    <row r="8054" spans="1:3" x14ac:dyDescent="0.25">
      <c r="A8054" s="115">
        <v>9999597</v>
      </c>
      <c r="B8054" s="115" t="s">
        <v>12446</v>
      </c>
      <c r="C8054" s="117">
        <v>2134.7600000000002</v>
      </c>
    </row>
    <row r="8055" spans="1:3" x14ac:dyDescent="0.25">
      <c r="A8055" s="115">
        <v>9999642</v>
      </c>
      <c r="B8055" s="115" t="s">
        <v>12447</v>
      </c>
      <c r="C8055" s="117">
        <v>2134.7600000000002</v>
      </c>
    </row>
    <row r="8056" spans="1:3" x14ac:dyDescent="0.25">
      <c r="A8056" s="115">
        <v>9999606</v>
      </c>
      <c r="B8056" s="115" t="s">
        <v>11987</v>
      </c>
      <c r="C8056" s="117">
        <v>60239.35</v>
      </c>
    </row>
    <row r="8057" spans="1:3" x14ac:dyDescent="0.25">
      <c r="A8057" s="115">
        <v>9999617</v>
      </c>
      <c r="B8057" s="115" t="s">
        <v>12448</v>
      </c>
      <c r="C8057" s="117">
        <v>54642.48</v>
      </c>
    </row>
    <row r="8058" spans="1:3" x14ac:dyDescent="0.25">
      <c r="A8058" s="115">
        <v>9999651</v>
      </c>
      <c r="B8058" s="115" t="s">
        <v>12449</v>
      </c>
      <c r="C8058" s="117">
        <v>23496.95</v>
      </c>
    </row>
    <row r="8059" spans="1:3" x14ac:dyDescent="0.25">
      <c r="A8059" s="115">
        <v>9998061</v>
      </c>
      <c r="B8059" s="115" t="s">
        <v>12450</v>
      </c>
      <c r="C8059" s="117">
        <v>9246.89</v>
      </c>
    </row>
    <row r="8060" spans="1:3" x14ac:dyDescent="0.25">
      <c r="A8060" s="115">
        <v>9999628</v>
      </c>
      <c r="B8060" s="115" t="s">
        <v>12451</v>
      </c>
      <c r="C8060" s="117">
        <v>21385.8</v>
      </c>
    </row>
    <row r="8061" spans="1:3" x14ac:dyDescent="0.25">
      <c r="A8061" s="115">
        <v>9999635</v>
      </c>
      <c r="B8061" s="115" t="s">
        <v>12452</v>
      </c>
      <c r="C8061" s="117">
        <v>25511.1</v>
      </c>
    </row>
    <row r="8062" spans="1:3" x14ac:dyDescent="0.25">
      <c r="A8062" s="115">
        <v>9999130</v>
      </c>
      <c r="B8062" s="115" t="s">
        <v>12453</v>
      </c>
      <c r="C8062" s="117">
        <v>31872.66</v>
      </c>
    </row>
    <row r="8063" spans="1:3" x14ac:dyDescent="0.25">
      <c r="A8063" s="115">
        <v>9999616</v>
      </c>
      <c r="B8063" s="115" t="s">
        <v>12454</v>
      </c>
      <c r="C8063" s="117">
        <v>26503.01</v>
      </c>
    </row>
    <row r="8064" spans="1:3" x14ac:dyDescent="0.25">
      <c r="A8064" s="115">
        <v>9999630</v>
      </c>
      <c r="B8064" s="115" t="s">
        <v>12455</v>
      </c>
      <c r="C8064" s="117">
        <v>70556.11</v>
      </c>
    </row>
    <row r="8065" spans="1:3" x14ac:dyDescent="0.25">
      <c r="A8065" s="115">
        <v>9999657</v>
      </c>
      <c r="B8065" s="115" t="s">
        <v>12456</v>
      </c>
      <c r="C8065" s="117">
        <v>87837.22</v>
      </c>
    </row>
    <row r="8066" spans="1:3" x14ac:dyDescent="0.25">
      <c r="A8066" s="115">
        <v>9999624</v>
      </c>
      <c r="B8066" s="115" t="s">
        <v>12457</v>
      </c>
      <c r="C8066" s="117">
        <v>54077.81</v>
      </c>
    </row>
    <row r="8067" spans="1:3" x14ac:dyDescent="0.25">
      <c r="A8067" s="115">
        <v>9999677</v>
      </c>
      <c r="B8067" s="115" t="s">
        <v>12458</v>
      </c>
      <c r="C8067" s="117">
        <v>7009.22</v>
      </c>
    </row>
    <row r="8068" spans="1:3" x14ac:dyDescent="0.25">
      <c r="A8068" s="115">
        <v>9999640</v>
      </c>
      <c r="B8068" s="115" t="s">
        <v>12459</v>
      </c>
      <c r="C8068" s="117">
        <v>24069.08</v>
      </c>
    </row>
    <row r="8069" spans="1:3" x14ac:dyDescent="0.25">
      <c r="A8069" s="115">
        <v>9999650</v>
      </c>
      <c r="B8069" s="115" t="s">
        <v>12460</v>
      </c>
      <c r="C8069" s="117">
        <v>24899.69</v>
      </c>
    </row>
    <row r="8070" spans="1:3" x14ac:dyDescent="0.25">
      <c r="A8070" s="115">
        <v>9999611</v>
      </c>
      <c r="B8070" s="115" t="s">
        <v>12461</v>
      </c>
      <c r="C8070" s="117">
        <v>13640.12</v>
      </c>
    </row>
    <row r="8071" spans="1:3" x14ac:dyDescent="0.25">
      <c r="A8071" s="115">
        <v>9999615</v>
      </c>
      <c r="B8071" s="115" t="s">
        <v>12462</v>
      </c>
      <c r="C8071" s="117">
        <v>55589.8</v>
      </c>
    </row>
    <row r="8072" spans="1:3" x14ac:dyDescent="0.25">
      <c r="A8072" s="115">
        <v>9999646</v>
      </c>
      <c r="B8072" s="115" t="s">
        <v>12463</v>
      </c>
      <c r="C8072" s="117">
        <v>32422.42</v>
      </c>
    </row>
    <row r="8073" spans="1:3" x14ac:dyDescent="0.25">
      <c r="A8073" s="115">
        <v>9999643</v>
      </c>
      <c r="B8073" s="115" t="s">
        <v>12464</v>
      </c>
      <c r="C8073" s="117">
        <v>18765.900000000001</v>
      </c>
    </row>
    <row r="8074" spans="1:3" x14ac:dyDescent="0.25">
      <c r="A8074" s="115">
        <v>9999645</v>
      </c>
      <c r="B8074" s="115" t="s">
        <v>12465</v>
      </c>
      <c r="C8074" s="117">
        <v>52079.15</v>
      </c>
    </row>
    <row r="8075" spans="1:3" x14ac:dyDescent="0.25">
      <c r="A8075" s="115">
        <v>9999656</v>
      </c>
      <c r="B8075" s="115" t="s">
        <v>12466</v>
      </c>
      <c r="C8075" s="117">
        <v>51028.81</v>
      </c>
    </row>
    <row r="8076" spans="1:3" x14ac:dyDescent="0.25">
      <c r="A8076" s="115">
        <v>9999670</v>
      </c>
      <c r="B8076" s="115" t="s">
        <v>12467</v>
      </c>
      <c r="C8076" s="117">
        <v>58320.2</v>
      </c>
    </row>
    <row r="8077" spans="1:3" x14ac:dyDescent="0.25">
      <c r="A8077" s="115">
        <v>9999654</v>
      </c>
      <c r="B8077" s="115" t="s">
        <v>12468</v>
      </c>
      <c r="C8077" s="117">
        <v>53854.879999999997</v>
      </c>
    </row>
    <row r="8078" spans="1:3" x14ac:dyDescent="0.25">
      <c r="A8078" s="115">
        <v>9999655</v>
      </c>
      <c r="B8078" s="115" t="s">
        <v>12469</v>
      </c>
      <c r="C8078" s="117">
        <v>52773.63</v>
      </c>
    </row>
    <row r="8079" spans="1:3" x14ac:dyDescent="0.25">
      <c r="A8079" s="115">
        <v>9999553</v>
      </c>
      <c r="B8079" s="115" t="s">
        <v>7663</v>
      </c>
      <c r="C8079" s="117">
        <v>10557.61</v>
      </c>
    </row>
    <row r="8080" spans="1:3" x14ac:dyDescent="0.25">
      <c r="A8080" s="115">
        <v>9999659</v>
      </c>
      <c r="B8080" s="115" t="s">
        <v>12470</v>
      </c>
      <c r="C8080" s="117">
        <v>18050.48</v>
      </c>
    </row>
    <row r="8081" spans="1:3" x14ac:dyDescent="0.25">
      <c r="A8081" s="115">
        <v>9999663</v>
      </c>
      <c r="B8081" s="115" t="s">
        <v>12471</v>
      </c>
      <c r="C8081" s="117">
        <v>5747.28</v>
      </c>
    </row>
    <row r="8082" spans="1:3" x14ac:dyDescent="0.25">
      <c r="A8082" s="115">
        <v>9999672</v>
      </c>
      <c r="B8082" s="115" t="s">
        <v>12472</v>
      </c>
      <c r="C8082" s="117">
        <v>5747.28</v>
      </c>
    </row>
    <row r="8083" spans="1:3" x14ac:dyDescent="0.25">
      <c r="A8083" s="115">
        <v>9999658</v>
      </c>
      <c r="B8083" s="115" t="s">
        <v>12473</v>
      </c>
      <c r="C8083" s="117">
        <v>5431.34</v>
      </c>
    </row>
    <row r="8084" spans="1:3" x14ac:dyDescent="0.25">
      <c r="A8084" s="115">
        <v>9999671</v>
      </c>
      <c r="B8084" s="115" t="s">
        <v>12474</v>
      </c>
      <c r="C8084" s="117">
        <v>5431.34</v>
      </c>
    </row>
    <row r="8085" spans="1:3" x14ac:dyDescent="0.25">
      <c r="A8085" s="115">
        <v>9998527</v>
      </c>
      <c r="B8085" s="115" t="s">
        <v>7664</v>
      </c>
      <c r="C8085" s="117">
        <v>1986.76</v>
      </c>
    </row>
    <row r="8086" spans="1:3" x14ac:dyDescent="0.25">
      <c r="A8086" s="115">
        <v>9998529</v>
      </c>
      <c r="B8086" s="115" t="s">
        <v>7665</v>
      </c>
      <c r="C8086" s="117">
        <v>1986.74</v>
      </c>
    </row>
    <row r="8087" spans="1:3" x14ac:dyDescent="0.25">
      <c r="A8087" s="115">
        <v>9995220</v>
      </c>
      <c r="B8087" s="115" t="s">
        <v>7666</v>
      </c>
      <c r="C8087" s="117">
        <v>29984.82</v>
      </c>
    </row>
    <row r="8088" spans="1:3" x14ac:dyDescent="0.25">
      <c r="A8088" s="144" t="s">
        <v>7667</v>
      </c>
      <c r="B8088" s="145"/>
      <c r="C8088" s="145"/>
    </row>
    <row r="8089" spans="1:3" x14ac:dyDescent="0.25">
      <c r="A8089" s="115">
        <v>1100563</v>
      </c>
      <c r="B8089" s="115" t="s">
        <v>7668</v>
      </c>
      <c r="C8089" s="117">
        <v>377.35</v>
      </c>
    </row>
    <row r="8090" spans="1:3" x14ac:dyDescent="0.25">
      <c r="A8090" s="115">
        <v>1100515</v>
      </c>
      <c r="B8090" s="115" t="s">
        <v>7669</v>
      </c>
      <c r="C8090" s="117">
        <v>353.77</v>
      </c>
    </row>
    <row r="8091" spans="1:3" x14ac:dyDescent="0.25">
      <c r="A8091" s="115">
        <v>1100510</v>
      </c>
      <c r="B8091" s="115" t="s">
        <v>7670</v>
      </c>
      <c r="C8091" s="117">
        <v>377.35</v>
      </c>
    </row>
    <row r="8092" spans="1:3" x14ac:dyDescent="0.25">
      <c r="A8092" s="115">
        <v>1109328</v>
      </c>
      <c r="B8092" s="115" t="s">
        <v>7671</v>
      </c>
      <c r="C8092" s="117">
        <v>326.47000000000003</v>
      </c>
    </row>
    <row r="8093" spans="1:3" x14ac:dyDescent="0.25">
      <c r="A8093" s="115">
        <v>1109337</v>
      </c>
      <c r="B8093" s="115" t="s">
        <v>7672</v>
      </c>
      <c r="C8093" s="117">
        <v>326.47000000000003</v>
      </c>
    </row>
    <row r="8094" spans="1:3" x14ac:dyDescent="0.25">
      <c r="A8094" s="115">
        <v>1101250</v>
      </c>
      <c r="B8094" s="115" t="s">
        <v>12475</v>
      </c>
      <c r="C8094" s="117">
        <v>441.24</v>
      </c>
    </row>
    <row r="8095" spans="1:3" x14ac:dyDescent="0.25">
      <c r="A8095" s="115">
        <v>1101227</v>
      </c>
      <c r="B8095" s="115" t="s">
        <v>7673</v>
      </c>
      <c r="C8095" s="117">
        <v>708.79</v>
      </c>
    </row>
    <row r="8096" spans="1:3" x14ac:dyDescent="0.25">
      <c r="A8096" s="115">
        <v>1101224</v>
      </c>
      <c r="B8096" s="115" t="s">
        <v>7674</v>
      </c>
      <c r="C8096" s="117">
        <v>708.79</v>
      </c>
    </row>
    <row r="8097" spans="1:3" x14ac:dyDescent="0.25">
      <c r="A8097" s="115">
        <v>1101226</v>
      </c>
      <c r="B8097" s="115" t="s">
        <v>7675</v>
      </c>
      <c r="C8097" s="117">
        <v>708.79</v>
      </c>
    </row>
    <row r="8098" spans="1:3" x14ac:dyDescent="0.25">
      <c r="A8098" s="115">
        <v>1101286</v>
      </c>
      <c r="B8098" s="115" t="s">
        <v>7676</v>
      </c>
      <c r="C8098" s="117">
        <v>708.79</v>
      </c>
    </row>
    <row r="8099" spans="1:3" x14ac:dyDescent="0.25">
      <c r="A8099" s="115">
        <v>1109325</v>
      </c>
      <c r="B8099" s="115" t="s">
        <v>11988</v>
      </c>
      <c r="C8099" s="117">
        <v>423.96</v>
      </c>
    </row>
    <row r="8100" spans="1:3" x14ac:dyDescent="0.25">
      <c r="A8100" s="115">
        <v>1109363</v>
      </c>
      <c r="B8100" s="115" t="s">
        <v>11989</v>
      </c>
      <c r="C8100" s="117">
        <v>423.96</v>
      </c>
    </row>
    <row r="8101" spans="1:3" x14ac:dyDescent="0.25">
      <c r="A8101" s="115">
        <v>1109352</v>
      </c>
      <c r="B8101" s="115" t="s">
        <v>11990</v>
      </c>
      <c r="C8101" s="117">
        <v>423.96</v>
      </c>
    </row>
    <row r="8102" spans="1:3" x14ac:dyDescent="0.25">
      <c r="A8102" s="115">
        <v>1109967</v>
      </c>
      <c r="B8102" s="115" t="s">
        <v>7677</v>
      </c>
      <c r="C8102" s="117">
        <v>400.13</v>
      </c>
    </row>
    <row r="8103" spans="1:3" x14ac:dyDescent="0.25">
      <c r="A8103" s="115">
        <v>1109564</v>
      </c>
      <c r="B8103" s="115" t="s">
        <v>7678</v>
      </c>
      <c r="C8103" s="117">
        <v>400.13</v>
      </c>
    </row>
    <row r="8104" spans="1:3" x14ac:dyDescent="0.25">
      <c r="A8104" s="115">
        <v>1109582</v>
      </c>
      <c r="B8104" s="115" t="s">
        <v>7679</v>
      </c>
      <c r="C8104" s="117">
        <v>400.13</v>
      </c>
    </row>
    <row r="8105" spans="1:3" x14ac:dyDescent="0.25">
      <c r="A8105" s="115">
        <v>1108335</v>
      </c>
      <c r="B8105" s="115" t="s">
        <v>7680</v>
      </c>
      <c r="C8105" s="117">
        <v>164.51</v>
      </c>
    </row>
    <row r="8106" spans="1:3" x14ac:dyDescent="0.25">
      <c r="A8106" s="115">
        <v>1104825</v>
      </c>
      <c r="B8106" s="115" t="s">
        <v>7681</v>
      </c>
      <c r="C8106" s="117">
        <v>400.13</v>
      </c>
    </row>
    <row r="8107" spans="1:3" x14ac:dyDescent="0.25">
      <c r="A8107" s="115">
        <v>1104854</v>
      </c>
      <c r="B8107" s="115" t="s">
        <v>7682</v>
      </c>
      <c r="C8107" s="117">
        <v>400.13</v>
      </c>
    </row>
    <row r="8108" spans="1:3" x14ac:dyDescent="0.25">
      <c r="A8108" s="115">
        <v>1101125</v>
      </c>
      <c r="B8108" s="115" t="s">
        <v>7683</v>
      </c>
      <c r="C8108" s="117">
        <v>708.79</v>
      </c>
    </row>
    <row r="8109" spans="1:3" x14ac:dyDescent="0.25">
      <c r="A8109" s="115">
        <v>1101163</v>
      </c>
      <c r="B8109" s="115" t="s">
        <v>7684</v>
      </c>
      <c r="C8109" s="117">
        <v>708.79</v>
      </c>
    </row>
    <row r="8110" spans="1:3" x14ac:dyDescent="0.25">
      <c r="A8110" s="115">
        <v>1107625</v>
      </c>
      <c r="B8110" s="115" t="s">
        <v>7685</v>
      </c>
      <c r="C8110" s="117">
        <v>441.24</v>
      </c>
    </row>
    <row r="8111" spans="1:3" x14ac:dyDescent="0.25">
      <c r="A8111" s="115">
        <v>1107663</v>
      </c>
      <c r="B8111" s="115" t="s">
        <v>7686</v>
      </c>
      <c r="C8111" s="117">
        <v>441.24</v>
      </c>
    </row>
    <row r="8112" spans="1:3" x14ac:dyDescent="0.25">
      <c r="A8112" s="115">
        <v>1101463</v>
      </c>
      <c r="B8112" s="115" t="s">
        <v>7687</v>
      </c>
      <c r="C8112" s="117">
        <v>708.79</v>
      </c>
    </row>
    <row r="8113" spans="1:3" x14ac:dyDescent="0.25">
      <c r="A8113" s="115">
        <v>1101325</v>
      </c>
      <c r="B8113" s="115" t="s">
        <v>7688</v>
      </c>
      <c r="C8113" s="117">
        <v>441.24</v>
      </c>
    </row>
    <row r="8114" spans="1:3" x14ac:dyDescent="0.25">
      <c r="A8114" s="115">
        <v>1101363</v>
      </c>
      <c r="B8114" s="115" t="s">
        <v>7689</v>
      </c>
      <c r="C8114" s="117">
        <v>441.24</v>
      </c>
    </row>
    <row r="8115" spans="1:3" x14ac:dyDescent="0.25">
      <c r="A8115" s="115">
        <v>1107825</v>
      </c>
      <c r="B8115" s="115" t="s">
        <v>11991</v>
      </c>
      <c r="C8115" s="117">
        <v>943.99</v>
      </c>
    </row>
    <row r="8116" spans="1:3" x14ac:dyDescent="0.25">
      <c r="A8116" s="115">
        <v>1107810</v>
      </c>
      <c r="B8116" s="115" t="s">
        <v>12476</v>
      </c>
      <c r="C8116" s="117">
        <v>888.46</v>
      </c>
    </row>
    <row r="8117" spans="1:3" x14ac:dyDescent="0.25">
      <c r="A8117" s="115">
        <v>1107866</v>
      </c>
      <c r="B8117" s="115" t="s">
        <v>11992</v>
      </c>
      <c r="C8117" s="117">
        <v>1061.98</v>
      </c>
    </row>
    <row r="8118" spans="1:3" x14ac:dyDescent="0.25">
      <c r="A8118" s="115">
        <v>1107863</v>
      </c>
      <c r="B8118" s="115" t="s">
        <v>11993</v>
      </c>
      <c r="C8118" s="117">
        <v>943.99</v>
      </c>
    </row>
    <row r="8119" spans="1:3" x14ac:dyDescent="0.25">
      <c r="A8119" s="115">
        <v>1106525</v>
      </c>
      <c r="B8119" s="115" t="s">
        <v>7690</v>
      </c>
      <c r="C8119" s="117">
        <v>3448.36</v>
      </c>
    </row>
    <row r="8120" spans="1:3" x14ac:dyDescent="0.25">
      <c r="A8120" s="115">
        <v>1106563</v>
      </c>
      <c r="B8120" s="115" t="s">
        <v>7691</v>
      </c>
      <c r="C8120" s="117">
        <v>3448.36</v>
      </c>
    </row>
    <row r="8121" spans="1:3" x14ac:dyDescent="0.25">
      <c r="A8121" s="115">
        <v>1106526</v>
      </c>
      <c r="B8121" s="115" t="s">
        <v>7692</v>
      </c>
      <c r="C8121" s="117">
        <v>114.41</v>
      </c>
    </row>
    <row r="8122" spans="1:3" x14ac:dyDescent="0.25">
      <c r="A8122" s="115">
        <v>1166564</v>
      </c>
      <c r="B8122" s="115" t="s">
        <v>7693</v>
      </c>
      <c r="C8122" s="117">
        <v>114.41</v>
      </c>
    </row>
    <row r="8123" spans="1:3" x14ac:dyDescent="0.25">
      <c r="A8123" s="115">
        <v>1106400</v>
      </c>
      <c r="B8123" s="115" t="s">
        <v>7694</v>
      </c>
      <c r="C8123" s="117">
        <v>424.8</v>
      </c>
    </row>
    <row r="8124" spans="1:3" x14ac:dyDescent="0.25">
      <c r="A8124" s="115">
        <v>1106466</v>
      </c>
      <c r="B8124" s="115" t="s">
        <v>7695</v>
      </c>
      <c r="C8124" s="117">
        <v>424.8</v>
      </c>
    </row>
    <row r="8125" spans="1:3" x14ac:dyDescent="0.25">
      <c r="A8125" s="115">
        <v>1100125</v>
      </c>
      <c r="B8125" s="115" t="s">
        <v>7697</v>
      </c>
      <c r="C8125" s="117">
        <v>368.57</v>
      </c>
    </row>
    <row r="8126" spans="1:3" x14ac:dyDescent="0.25">
      <c r="A8126" s="115">
        <v>1100163</v>
      </c>
      <c r="B8126" s="115" t="s">
        <v>7700</v>
      </c>
      <c r="C8126" s="117">
        <v>368.57</v>
      </c>
    </row>
    <row r="8127" spans="1:3" x14ac:dyDescent="0.25">
      <c r="A8127" s="115">
        <v>1106425</v>
      </c>
      <c r="B8127" s="115" t="s">
        <v>7696</v>
      </c>
      <c r="C8127" s="117">
        <v>424.8</v>
      </c>
    </row>
    <row r="8128" spans="1:3" x14ac:dyDescent="0.25">
      <c r="A8128" s="115">
        <v>1106410</v>
      </c>
      <c r="B8128" s="115" t="s">
        <v>7698</v>
      </c>
      <c r="C8128" s="117">
        <v>489.6</v>
      </c>
    </row>
    <row r="8129" spans="1:3" x14ac:dyDescent="0.25">
      <c r="A8129" s="115">
        <v>1106463</v>
      </c>
      <c r="B8129" s="115" t="s">
        <v>7699</v>
      </c>
      <c r="C8129" s="117">
        <v>424.8</v>
      </c>
    </row>
    <row r="8130" spans="1:3" x14ac:dyDescent="0.25">
      <c r="A8130" s="115">
        <v>1100509</v>
      </c>
      <c r="B8130" s="115" t="s">
        <v>7701</v>
      </c>
      <c r="C8130" s="117">
        <v>235.84</v>
      </c>
    </row>
    <row r="8131" spans="1:3" x14ac:dyDescent="0.25">
      <c r="A8131" s="115">
        <v>1108826</v>
      </c>
      <c r="B8131" s="115" t="s">
        <v>7702</v>
      </c>
      <c r="C8131" s="117">
        <v>375.89</v>
      </c>
    </row>
    <row r="8132" spans="1:3" x14ac:dyDescent="0.25">
      <c r="A8132" s="115">
        <v>1108830</v>
      </c>
      <c r="B8132" s="115" t="s">
        <v>7703</v>
      </c>
      <c r="C8132" s="117">
        <v>375.89</v>
      </c>
    </row>
    <row r="8133" spans="1:3" x14ac:dyDescent="0.25">
      <c r="A8133" s="115">
        <v>1108838</v>
      </c>
      <c r="B8133" s="115" t="s">
        <v>11639</v>
      </c>
      <c r="C8133" s="117">
        <v>375.89</v>
      </c>
    </row>
    <row r="8134" spans="1:3" x14ac:dyDescent="0.25">
      <c r="A8134" s="115">
        <v>1108854</v>
      </c>
      <c r="B8134" s="115" t="s">
        <v>7704</v>
      </c>
      <c r="C8134" s="117">
        <v>375.89</v>
      </c>
    </row>
    <row r="8135" spans="1:3" x14ac:dyDescent="0.25">
      <c r="A8135" s="115">
        <v>1108867</v>
      </c>
      <c r="B8135" s="115" t="s">
        <v>7705</v>
      </c>
      <c r="C8135" s="117">
        <v>375.89</v>
      </c>
    </row>
    <row r="8136" spans="1:3" x14ac:dyDescent="0.25">
      <c r="A8136" s="115">
        <v>1109865</v>
      </c>
      <c r="B8136" s="115" t="s">
        <v>7706</v>
      </c>
      <c r="C8136" s="117">
        <v>441.22</v>
      </c>
    </row>
    <row r="8137" spans="1:3" x14ac:dyDescent="0.25">
      <c r="A8137" s="115">
        <v>1109800</v>
      </c>
      <c r="B8137" s="115" t="s">
        <v>7708</v>
      </c>
      <c r="C8137" s="117">
        <v>708.79</v>
      </c>
    </row>
    <row r="8138" spans="1:3" x14ac:dyDescent="0.25">
      <c r="A8138" s="115">
        <v>1109806</v>
      </c>
      <c r="B8138" s="115" t="s">
        <v>7707</v>
      </c>
      <c r="C8138" s="117">
        <v>2911.43</v>
      </c>
    </row>
    <row r="8139" spans="1:3" x14ac:dyDescent="0.25">
      <c r="A8139" s="115">
        <v>1100562</v>
      </c>
      <c r="B8139" s="115" t="s">
        <v>7709</v>
      </c>
      <c r="C8139" s="117">
        <v>259.43</v>
      </c>
    </row>
    <row r="8140" spans="1:3" x14ac:dyDescent="0.25">
      <c r="A8140" s="115">
        <v>1107464</v>
      </c>
      <c r="B8140" s="115" t="s">
        <v>12477</v>
      </c>
      <c r="C8140" s="117">
        <v>647.29</v>
      </c>
    </row>
    <row r="8141" spans="1:3" x14ac:dyDescent="0.25">
      <c r="A8141" s="115">
        <v>1103225</v>
      </c>
      <c r="B8141" s="115" t="s">
        <v>7710</v>
      </c>
      <c r="C8141" s="117">
        <v>342.06</v>
      </c>
    </row>
    <row r="8142" spans="1:3" x14ac:dyDescent="0.25">
      <c r="A8142" s="115">
        <v>1103263</v>
      </c>
      <c r="B8142" s="115" t="s">
        <v>7711</v>
      </c>
      <c r="C8142" s="117">
        <v>342.06</v>
      </c>
    </row>
    <row r="8143" spans="1:3" x14ac:dyDescent="0.25">
      <c r="A8143" s="115">
        <v>1102326</v>
      </c>
      <c r="B8143" s="115" t="s">
        <v>7712</v>
      </c>
      <c r="C8143" s="117">
        <v>468.85</v>
      </c>
    </row>
    <row r="8144" spans="1:3" x14ac:dyDescent="0.25">
      <c r="A8144" s="115">
        <v>1102125</v>
      </c>
      <c r="B8144" s="115" t="s">
        <v>7713</v>
      </c>
      <c r="C8144" s="117">
        <v>458.35</v>
      </c>
    </row>
    <row r="8145" spans="1:3" x14ac:dyDescent="0.25">
      <c r="A8145" s="115">
        <v>1102185</v>
      </c>
      <c r="B8145" s="115" t="s">
        <v>12478</v>
      </c>
      <c r="C8145" s="117">
        <v>513.37</v>
      </c>
    </row>
    <row r="8146" spans="1:3" x14ac:dyDescent="0.25">
      <c r="A8146" s="115">
        <v>1102364</v>
      </c>
      <c r="B8146" s="115" t="s">
        <v>7714</v>
      </c>
      <c r="C8146" s="117">
        <v>468.85</v>
      </c>
    </row>
    <row r="8147" spans="1:3" x14ac:dyDescent="0.25">
      <c r="A8147" s="115">
        <v>1102163</v>
      </c>
      <c r="B8147" s="115" t="s">
        <v>7715</v>
      </c>
      <c r="C8147" s="117">
        <v>458.35</v>
      </c>
    </row>
    <row r="8148" spans="1:3" x14ac:dyDescent="0.25">
      <c r="A8148" s="115">
        <v>1107325</v>
      </c>
      <c r="B8148" s="115" t="s">
        <v>12479</v>
      </c>
      <c r="C8148" s="117">
        <v>161.1</v>
      </c>
    </row>
    <row r="8149" spans="1:3" x14ac:dyDescent="0.25">
      <c r="A8149" s="115">
        <v>1107363</v>
      </c>
      <c r="B8149" s="115" t="s">
        <v>12480</v>
      </c>
      <c r="C8149" s="117">
        <v>161.1</v>
      </c>
    </row>
    <row r="8150" spans="1:3" x14ac:dyDescent="0.25">
      <c r="A8150" s="115">
        <v>1104962</v>
      </c>
      <c r="B8150" s="115" t="s">
        <v>11640</v>
      </c>
      <c r="C8150" s="117">
        <v>4339.3999999999996</v>
      </c>
    </row>
    <row r="8151" spans="1:3" x14ac:dyDescent="0.25">
      <c r="A8151" s="115">
        <v>1103800</v>
      </c>
      <c r="B8151" s="115" t="s">
        <v>7716</v>
      </c>
      <c r="C8151" s="117">
        <v>348.98</v>
      </c>
    </row>
    <row r="8152" spans="1:3" x14ac:dyDescent="0.25">
      <c r="A8152" s="115">
        <v>1108400</v>
      </c>
      <c r="B8152" s="115" t="s">
        <v>7717</v>
      </c>
      <c r="C8152" s="117">
        <v>264.02999999999997</v>
      </c>
    </row>
    <row r="8153" spans="1:3" x14ac:dyDescent="0.25">
      <c r="A8153" s="115">
        <v>1103925</v>
      </c>
      <c r="B8153" s="115" t="s">
        <v>7718</v>
      </c>
      <c r="C8153" s="117">
        <v>218.2</v>
      </c>
    </row>
    <row r="8154" spans="1:3" x14ac:dyDescent="0.25">
      <c r="A8154" s="115">
        <v>1103963</v>
      </c>
      <c r="B8154" s="115" t="s">
        <v>7719</v>
      </c>
      <c r="C8154" s="117">
        <v>218.2</v>
      </c>
    </row>
    <row r="8155" spans="1:3" x14ac:dyDescent="0.25">
      <c r="A8155" s="115">
        <v>1107225</v>
      </c>
      <c r="B8155" s="115" t="s">
        <v>7720</v>
      </c>
      <c r="C8155" s="117">
        <v>249.17</v>
      </c>
    </row>
    <row r="8156" spans="1:3" x14ac:dyDescent="0.25">
      <c r="A8156" s="115">
        <v>1107263</v>
      </c>
      <c r="B8156" s="115" t="s">
        <v>7721</v>
      </c>
      <c r="C8156" s="117">
        <v>249.17</v>
      </c>
    </row>
    <row r="8157" spans="1:3" x14ac:dyDescent="0.25">
      <c r="A8157" s="115">
        <v>1103025</v>
      </c>
      <c r="B8157" s="115" t="s">
        <v>7722</v>
      </c>
      <c r="C8157" s="117">
        <v>299.33</v>
      </c>
    </row>
    <row r="8158" spans="1:3" x14ac:dyDescent="0.25">
      <c r="A8158" s="115">
        <v>1103037</v>
      </c>
      <c r="B8158" s="115" t="s">
        <v>7723</v>
      </c>
      <c r="C8158" s="117">
        <v>299.33</v>
      </c>
    </row>
    <row r="8159" spans="1:3" x14ac:dyDescent="0.25">
      <c r="A8159" s="115">
        <v>1103063</v>
      </c>
      <c r="B8159" s="115" t="s">
        <v>7724</v>
      </c>
      <c r="C8159" s="117">
        <v>299.33</v>
      </c>
    </row>
    <row r="8160" spans="1:3" x14ac:dyDescent="0.25">
      <c r="A8160" s="115">
        <v>1103125</v>
      </c>
      <c r="B8160" s="115" t="s">
        <v>7725</v>
      </c>
      <c r="C8160" s="117">
        <v>179.6</v>
      </c>
    </row>
    <row r="8161" spans="1:3" x14ac:dyDescent="0.25">
      <c r="A8161" s="115">
        <v>1103137</v>
      </c>
      <c r="B8161" s="115" t="s">
        <v>7726</v>
      </c>
      <c r="C8161" s="117">
        <v>179.6</v>
      </c>
    </row>
    <row r="8162" spans="1:3" x14ac:dyDescent="0.25">
      <c r="A8162" s="115">
        <v>1103163</v>
      </c>
      <c r="B8162" s="115" t="s">
        <v>7727</v>
      </c>
      <c r="C8162" s="117">
        <v>179.6</v>
      </c>
    </row>
    <row r="8163" spans="1:3" x14ac:dyDescent="0.25">
      <c r="A8163" s="115">
        <v>1103000</v>
      </c>
      <c r="B8163" s="115" t="s">
        <v>7728</v>
      </c>
      <c r="C8163" s="117">
        <v>347.13</v>
      </c>
    </row>
    <row r="8164" spans="1:3" x14ac:dyDescent="0.25">
      <c r="A8164" s="115">
        <v>1106963</v>
      </c>
      <c r="B8164" s="115" t="s">
        <v>12481</v>
      </c>
      <c r="C8164" s="117">
        <v>170.55</v>
      </c>
    </row>
    <row r="8165" spans="1:3" x14ac:dyDescent="0.25">
      <c r="A8165" s="115">
        <v>1106935</v>
      </c>
      <c r="B8165" s="115" t="s">
        <v>12482</v>
      </c>
      <c r="C8165" s="117">
        <v>170.55</v>
      </c>
    </row>
    <row r="8166" spans="1:3" x14ac:dyDescent="0.25">
      <c r="A8166" s="115">
        <v>1101725</v>
      </c>
      <c r="B8166" s="115" t="s">
        <v>7729</v>
      </c>
      <c r="C8166" s="117">
        <v>623.32000000000005</v>
      </c>
    </row>
    <row r="8167" spans="1:3" x14ac:dyDescent="0.25">
      <c r="A8167" s="115">
        <v>1101745</v>
      </c>
      <c r="B8167" s="115" t="s">
        <v>7730</v>
      </c>
      <c r="C8167" s="117">
        <v>623.32000000000005</v>
      </c>
    </row>
    <row r="8168" spans="1:3" x14ac:dyDescent="0.25">
      <c r="A8168" s="115">
        <v>1101763</v>
      </c>
      <c r="B8168" s="115" t="s">
        <v>7731</v>
      </c>
      <c r="C8168" s="117">
        <v>623.32000000000005</v>
      </c>
    </row>
    <row r="8169" spans="1:3" x14ac:dyDescent="0.25">
      <c r="A8169" s="115">
        <v>1106625</v>
      </c>
      <c r="B8169" s="115" t="s">
        <v>11641</v>
      </c>
      <c r="C8169" s="117">
        <v>2837.48</v>
      </c>
    </row>
    <row r="8170" spans="1:3" x14ac:dyDescent="0.25">
      <c r="A8170" s="115">
        <v>1101525</v>
      </c>
      <c r="B8170" s="115" t="s">
        <v>7732</v>
      </c>
      <c r="C8170" s="117">
        <v>438.71</v>
      </c>
    </row>
    <row r="8171" spans="1:3" x14ac:dyDescent="0.25">
      <c r="A8171" s="115">
        <v>1101500</v>
      </c>
      <c r="B8171" s="115" t="s">
        <v>7733</v>
      </c>
      <c r="C8171" s="117">
        <v>452.28</v>
      </c>
    </row>
    <row r="8172" spans="1:3" x14ac:dyDescent="0.25">
      <c r="A8172" s="115">
        <v>1101537</v>
      </c>
      <c r="B8172" s="115" t="s">
        <v>7734</v>
      </c>
      <c r="C8172" s="117">
        <v>438.71</v>
      </c>
    </row>
    <row r="8173" spans="1:3" x14ac:dyDescent="0.25">
      <c r="A8173" s="115">
        <v>1101563</v>
      </c>
      <c r="B8173" s="115" t="s">
        <v>7735</v>
      </c>
      <c r="C8173" s="117">
        <v>438.71</v>
      </c>
    </row>
    <row r="8174" spans="1:3" x14ac:dyDescent="0.25">
      <c r="A8174" s="115">
        <v>1106663</v>
      </c>
      <c r="B8174" s="115" t="s">
        <v>11642</v>
      </c>
      <c r="C8174" s="117">
        <v>2837.48</v>
      </c>
    </row>
    <row r="8175" spans="1:3" x14ac:dyDescent="0.25">
      <c r="A8175" s="115">
        <v>1107522</v>
      </c>
      <c r="B8175" s="115" t="s">
        <v>7736</v>
      </c>
      <c r="C8175" s="117">
        <v>381.07</v>
      </c>
    </row>
    <row r="8176" spans="1:3" x14ac:dyDescent="0.25">
      <c r="A8176" s="115">
        <v>1107563</v>
      </c>
      <c r="B8176" s="115" t="s">
        <v>7737</v>
      </c>
      <c r="C8176" s="117">
        <v>328.51</v>
      </c>
    </row>
    <row r="8177" spans="1:3" x14ac:dyDescent="0.25">
      <c r="A8177" s="115">
        <v>1109392</v>
      </c>
      <c r="B8177" s="115" t="s">
        <v>11994</v>
      </c>
      <c r="C8177" s="117">
        <v>187.16</v>
      </c>
    </row>
    <row r="8178" spans="1:3" x14ac:dyDescent="0.25">
      <c r="A8178" s="115">
        <v>1100564</v>
      </c>
      <c r="B8178" s="115" t="s">
        <v>7738</v>
      </c>
      <c r="C8178" s="117">
        <v>377.35</v>
      </c>
    </row>
    <row r="8179" spans="1:3" x14ac:dyDescent="0.25">
      <c r="A8179" s="115">
        <v>1100597</v>
      </c>
      <c r="B8179" s="115" t="s">
        <v>7739</v>
      </c>
      <c r="C8179" s="117">
        <v>377.35</v>
      </c>
    </row>
    <row r="8180" spans="1:3" x14ac:dyDescent="0.25">
      <c r="A8180" s="115">
        <v>1100574</v>
      </c>
      <c r="B8180" s="115" t="s">
        <v>7740</v>
      </c>
      <c r="C8180" s="117">
        <v>377.35</v>
      </c>
    </row>
    <row r="8181" spans="1:3" x14ac:dyDescent="0.25">
      <c r="A8181" s="115">
        <v>1106725</v>
      </c>
      <c r="B8181" s="115" t="s">
        <v>11643</v>
      </c>
      <c r="C8181" s="117">
        <v>5869.23</v>
      </c>
    </row>
    <row r="8182" spans="1:3" x14ac:dyDescent="0.25">
      <c r="A8182" s="115">
        <v>1108586</v>
      </c>
      <c r="B8182" s="115" t="s">
        <v>12483</v>
      </c>
      <c r="C8182" s="117">
        <v>1207.6500000000001</v>
      </c>
    </row>
    <row r="8183" spans="1:3" x14ac:dyDescent="0.25">
      <c r="A8183" s="115">
        <v>1108563</v>
      </c>
      <c r="B8183" s="115" t="s">
        <v>7741</v>
      </c>
      <c r="C8183" s="117">
        <v>1207.6500000000001</v>
      </c>
    </row>
    <row r="8184" spans="1:3" x14ac:dyDescent="0.25">
      <c r="A8184" s="115">
        <v>1102725</v>
      </c>
      <c r="B8184" s="115" t="s">
        <v>7742</v>
      </c>
      <c r="C8184" s="117">
        <v>148.09</v>
      </c>
    </row>
    <row r="8185" spans="1:3" x14ac:dyDescent="0.25">
      <c r="A8185" s="115">
        <v>1102763</v>
      </c>
      <c r="B8185" s="115" t="s">
        <v>7743</v>
      </c>
      <c r="C8185" s="117">
        <v>148.09</v>
      </c>
    </row>
    <row r="8186" spans="1:3" x14ac:dyDescent="0.25">
      <c r="A8186" s="115">
        <v>1100425</v>
      </c>
      <c r="B8186" s="115" t="s">
        <v>7744</v>
      </c>
      <c r="C8186" s="117">
        <v>5468.29</v>
      </c>
    </row>
    <row r="8187" spans="1:3" x14ac:dyDescent="0.25">
      <c r="A8187" s="115">
        <v>1105125</v>
      </c>
      <c r="B8187" s="115" t="s">
        <v>12484</v>
      </c>
      <c r="C8187" s="117">
        <v>154.71</v>
      </c>
    </row>
    <row r="8188" spans="1:3" x14ac:dyDescent="0.25">
      <c r="A8188" s="115">
        <v>1100463</v>
      </c>
      <c r="B8188" s="115" t="s">
        <v>7745</v>
      </c>
      <c r="C8188" s="117">
        <v>5468.29</v>
      </c>
    </row>
    <row r="8189" spans="1:3" x14ac:dyDescent="0.25">
      <c r="A8189" s="115">
        <v>1105163</v>
      </c>
      <c r="B8189" s="115" t="s">
        <v>11995</v>
      </c>
      <c r="C8189" s="117">
        <v>154.71</v>
      </c>
    </row>
    <row r="8190" spans="1:3" x14ac:dyDescent="0.25">
      <c r="A8190" s="115">
        <v>1102500</v>
      </c>
      <c r="B8190" s="115" t="s">
        <v>7746</v>
      </c>
      <c r="C8190" s="117">
        <v>129.13999999999999</v>
      </c>
    </row>
    <row r="8191" spans="1:3" x14ac:dyDescent="0.25">
      <c r="A8191" s="115">
        <v>1109125</v>
      </c>
      <c r="B8191" s="115" t="s">
        <v>7747</v>
      </c>
      <c r="C8191" s="117">
        <v>343.1</v>
      </c>
    </row>
    <row r="8192" spans="1:3" x14ac:dyDescent="0.25">
      <c r="A8192" s="115">
        <v>1109163</v>
      </c>
      <c r="B8192" s="115" t="s">
        <v>7748</v>
      </c>
      <c r="C8192" s="117">
        <v>343.1</v>
      </c>
    </row>
    <row r="8193" spans="1:3" x14ac:dyDescent="0.25">
      <c r="A8193" s="115">
        <v>1100736</v>
      </c>
      <c r="B8193" s="115" t="s">
        <v>12485</v>
      </c>
      <c r="C8193" s="117">
        <v>1172.07</v>
      </c>
    </row>
    <row r="8194" spans="1:3" x14ac:dyDescent="0.25">
      <c r="A8194" s="115">
        <v>1100763</v>
      </c>
      <c r="B8194" s="115" t="s">
        <v>7749</v>
      </c>
      <c r="C8194" s="117">
        <v>226.59</v>
      </c>
    </row>
    <row r="8195" spans="1:3" x14ac:dyDescent="0.25">
      <c r="A8195" s="115">
        <v>1100764</v>
      </c>
      <c r="B8195" s="115" t="s">
        <v>7750</v>
      </c>
      <c r="C8195" s="117">
        <v>226.6</v>
      </c>
    </row>
    <row r="8196" spans="1:3" x14ac:dyDescent="0.25">
      <c r="A8196" s="115">
        <v>1100735</v>
      </c>
      <c r="B8196" s="115" t="s">
        <v>7751</v>
      </c>
      <c r="C8196" s="117">
        <v>226.59</v>
      </c>
    </row>
    <row r="8197" spans="1:3" x14ac:dyDescent="0.25">
      <c r="A8197" s="115">
        <v>1100760</v>
      </c>
      <c r="B8197" s="115" t="s">
        <v>7751</v>
      </c>
      <c r="C8197" s="117">
        <v>226.62</v>
      </c>
    </row>
    <row r="8198" spans="1:3" x14ac:dyDescent="0.25">
      <c r="A8198" s="115">
        <v>1107757</v>
      </c>
      <c r="B8198" s="115" t="s">
        <v>12486</v>
      </c>
      <c r="C8198" s="117">
        <v>537.92999999999995</v>
      </c>
    </row>
    <row r="8199" spans="1:3" x14ac:dyDescent="0.25">
      <c r="A8199" s="115">
        <v>1107722</v>
      </c>
      <c r="B8199" s="115" t="s">
        <v>7752</v>
      </c>
      <c r="C8199" s="117">
        <v>319.45</v>
      </c>
    </row>
    <row r="8200" spans="1:3" x14ac:dyDescent="0.25">
      <c r="A8200" s="115">
        <v>1108725</v>
      </c>
      <c r="B8200" s="115" t="s">
        <v>7753</v>
      </c>
      <c r="C8200" s="117">
        <v>343.07</v>
      </c>
    </row>
    <row r="8201" spans="1:3" x14ac:dyDescent="0.25">
      <c r="A8201" s="115">
        <v>1108763</v>
      </c>
      <c r="B8201" s="115" t="s">
        <v>7754</v>
      </c>
      <c r="C8201" s="117">
        <v>343.07</v>
      </c>
    </row>
    <row r="8202" spans="1:3" x14ac:dyDescent="0.25">
      <c r="A8202" s="115">
        <v>1103325</v>
      </c>
      <c r="B8202" s="115" t="s">
        <v>7755</v>
      </c>
      <c r="C8202" s="117">
        <v>708.79</v>
      </c>
    </row>
    <row r="8203" spans="1:3" x14ac:dyDescent="0.25">
      <c r="A8203" s="115">
        <v>1103363</v>
      </c>
      <c r="B8203" s="115" t="s">
        <v>7756</v>
      </c>
      <c r="C8203" s="117">
        <v>708.79</v>
      </c>
    </row>
    <row r="8204" spans="1:3" x14ac:dyDescent="0.25">
      <c r="A8204" s="115">
        <v>1106325</v>
      </c>
      <c r="B8204" s="115" t="s">
        <v>7757</v>
      </c>
      <c r="C8204" s="117">
        <v>599.27</v>
      </c>
    </row>
    <row r="8205" spans="1:3" x14ac:dyDescent="0.25">
      <c r="A8205" s="115">
        <v>1106363</v>
      </c>
      <c r="B8205" s="115" t="s">
        <v>7758</v>
      </c>
      <c r="C8205" s="117">
        <v>599.27</v>
      </c>
    </row>
    <row r="8206" spans="1:3" x14ac:dyDescent="0.25">
      <c r="A8206" s="115">
        <v>1103523</v>
      </c>
      <c r="B8206" s="115" t="s">
        <v>12487</v>
      </c>
      <c r="C8206" s="117">
        <v>611.29999999999995</v>
      </c>
    </row>
    <row r="8207" spans="1:3" x14ac:dyDescent="0.25">
      <c r="A8207" s="115">
        <v>1103524</v>
      </c>
      <c r="B8207" s="115" t="s">
        <v>12487</v>
      </c>
      <c r="C8207" s="117">
        <v>611.29999999999995</v>
      </c>
    </row>
    <row r="8208" spans="1:3" x14ac:dyDescent="0.25">
      <c r="A8208" s="115">
        <v>1103525</v>
      </c>
      <c r="B8208" s="115" t="s">
        <v>12488</v>
      </c>
      <c r="C8208" s="117">
        <v>611.29999999999995</v>
      </c>
    </row>
    <row r="8209" spans="1:3" x14ac:dyDescent="0.25">
      <c r="A8209" s="115">
        <v>1103500</v>
      </c>
      <c r="B8209" s="115" t="s">
        <v>7759</v>
      </c>
      <c r="C8209" s="117">
        <v>44.46</v>
      </c>
    </row>
    <row r="8210" spans="1:3" x14ac:dyDescent="0.25">
      <c r="A8210" s="115">
        <v>1103510</v>
      </c>
      <c r="B8210" s="115" t="s">
        <v>12489</v>
      </c>
      <c r="C8210" s="117">
        <v>611.29999999999995</v>
      </c>
    </row>
    <row r="8211" spans="1:3" x14ac:dyDescent="0.25">
      <c r="A8211" s="115">
        <v>1107929</v>
      </c>
      <c r="B8211" s="115" t="s">
        <v>7760</v>
      </c>
      <c r="C8211" s="117">
        <v>491.33</v>
      </c>
    </row>
    <row r="8212" spans="1:3" x14ac:dyDescent="0.25">
      <c r="A8212" s="115">
        <v>1107928</v>
      </c>
      <c r="B8212" s="115" t="s">
        <v>7761</v>
      </c>
      <c r="C8212" s="117">
        <v>405.79</v>
      </c>
    </row>
    <row r="8213" spans="1:3" x14ac:dyDescent="0.25">
      <c r="A8213" s="115">
        <v>1107955</v>
      </c>
      <c r="B8213" s="115" t="s">
        <v>7762</v>
      </c>
      <c r="C8213" s="117">
        <v>326.82</v>
      </c>
    </row>
    <row r="8214" spans="1:3" x14ac:dyDescent="0.25">
      <c r="A8214" s="115">
        <v>1107954</v>
      </c>
      <c r="B8214" s="115" t="s">
        <v>7763</v>
      </c>
      <c r="C8214" s="117">
        <v>261.02</v>
      </c>
    </row>
    <row r="8215" spans="1:3" x14ac:dyDescent="0.25">
      <c r="A8215" s="115">
        <v>1107963</v>
      </c>
      <c r="B8215" s="115" t="s">
        <v>7764</v>
      </c>
      <c r="C8215" s="117">
        <v>326.82</v>
      </c>
    </row>
    <row r="8216" spans="1:3" x14ac:dyDescent="0.25">
      <c r="A8216" s="115">
        <v>1107962</v>
      </c>
      <c r="B8216" s="115" t="s">
        <v>7765</v>
      </c>
      <c r="C8216" s="117">
        <v>261.02</v>
      </c>
    </row>
    <row r="8217" spans="1:3" x14ac:dyDescent="0.25">
      <c r="A8217" s="115">
        <v>1105625</v>
      </c>
      <c r="B8217" s="115" t="s">
        <v>7766</v>
      </c>
      <c r="C8217" s="117">
        <v>203.4</v>
      </c>
    </row>
    <row r="8218" spans="1:3" x14ac:dyDescent="0.25">
      <c r="A8218" s="115">
        <v>1106225</v>
      </c>
      <c r="B8218" s="115" t="s">
        <v>7767</v>
      </c>
      <c r="C8218" s="117">
        <v>135.6</v>
      </c>
    </row>
    <row r="8219" spans="1:3" x14ac:dyDescent="0.25">
      <c r="A8219" s="115">
        <v>1106200</v>
      </c>
      <c r="B8219" s="115" t="s">
        <v>7768</v>
      </c>
      <c r="C8219" s="117">
        <v>135.6</v>
      </c>
    </row>
    <row r="8220" spans="1:3" x14ac:dyDescent="0.25">
      <c r="A8220" s="115">
        <v>1105663</v>
      </c>
      <c r="B8220" s="115" t="s">
        <v>7769</v>
      </c>
      <c r="C8220" s="117">
        <v>203.4</v>
      </c>
    </row>
    <row r="8221" spans="1:3" x14ac:dyDescent="0.25">
      <c r="A8221" s="115">
        <v>1105725</v>
      </c>
      <c r="B8221" s="115" t="s">
        <v>7770</v>
      </c>
      <c r="C8221" s="117">
        <v>306.76</v>
      </c>
    </row>
    <row r="8222" spans="1:3" x14ac:dyDescent="0.25">
      <c r="A8222" s="115">
        <v>1105763</v>
      </c>
      <c r="B8222" s="115" t="s">
        <v>7771</v>
      </c>
      <c r="C8222" s="117">
        <v>306.76</v>
      </c>
    </row>
    <row r="8223" spans="1:3" x14ac:dyDescent="0.25">
      <c r="A8223" s="115">
        <v>1100225</v>
      </c>
      <c r="B8223" s="115" t="s">
        <v>7772</v>
      </c>
      <c r="C8223" s="117">
        <v>189.94</v>
      </c>
    </row>
    <row r="8224" spans="1:3" x14ac:dyDescent="0.25">
      <c r="A8224" s="115">
        <v>1100263</v>
      </c>
      <c r="B8224" s="115" t="s">
        <v>7773</v>
      </c>
      <c r="C8224" s="117">
        <v>189.94</v>
      </c>
    </row>
    <row r="8225" spans="1:3" x14ac:dyDescent="0.25">
      <c r="A8225" s="115">
        <v>1101400</v>
      </c>
      <c r="B8225" s="115" t="s">
        <v>7774</v>
      </c>
      <c r="C8225" s="117">
        <v>1529.12</v>
      </c>
    </row>
    <row r="8226" spans="1:3" x14ac:dyDescent="0.25">
      <c r="A8226" s="115">
        <v>1107340</v>
      </c>
      <c r="B8226" s="115" t="s">
        <v>7775</v>
      </c>
      <c r="C8226" s="117">
        <v>168.19</v>
      </c>
    </row>
    <row r="8227" spans="1:3" x14ac:dyDescent="0.25">
      <c r="A8227" s="115">
        <v>1102425</v>
      </c>
      <c r="B8227" s="115" t="s">
        <v>7776</v>
      </c>
      <c r="C8227" s="117">
        <v>1017.6</v>
      </c>
    </row>
    <row r="8228" spans="1:3" x14ac:dyDescent="0.25">
      <c r="A8228" s="115">
        <v>1102463</v>
      </c>
      <c r="B8228" s="115" t="s">
        <v>7777</v>
      </c>
      <c r="C8228" s="117">
        <v>1017.6</v>
      </c>
    </row>
    <row r="8229" spans="1:3" x14ac:dyDescent="0.25">
      <c r="A8229" s="115">
        <v>1102000</v>
      </c>
      <c r="B8229" s="115" t="s">
        <v>7778</v>
      </c>
      <c r="C8229" s="117">
        <v>1418.75</v>
      </c>
    </row>
    <row r="8230" spans="1:3" x14ac:dyDescent="0.25">
      <c r="A8230" s="115">
        <v>1102025</v>
      </c>
      <c r="B8230" s="115" t="s">
        <v>7779</v>
      </c>
      <c r="C8230" s="117">
        <v>1418.75</v>
      </c>
    </row>
    <row r="8231" spans="1:3" x14ac:dyDescent="0.25">
      <c r="A8231" s="115">
        <v>1102037</v>
      </c>
      <c r="B8231" s="115" t="s">
        <v>7780</v>
      </c>
      <c r="C8231" s="117">
        <v>1418.75</v>
      </c>
    </row>
    <row r="8232" spans="1:3" x14ac:dyDescent="0.25">
      <c r="A8232" s="115">
        <v>1102066</v>
      </c>
      <c r="B8232" s="115" t="s">
        <v>7781</v>
      </c>
      <c r="C8232" s="117">
        <v>1418.75</v>
      </c>
    </row>
    <row r="8233" spans="1:3" x14ac:dyDescent="0.25">
      <c r="A8233" s="115">
        <v>1102063</v>
      </c>
      <c r="B8233" s="115" t="s">
        <v>7782</v>
      </c>
      <c r="C8233" s="117">
        <v>1418.75</v>
      </c>
    </row>
    <row r="8234" spans="1:3" x14ac:dyDescent="0.25">
      <c r="A8234" s="115">
        <v>1109225</v>
      </c>
      <c r="B8234" s="115" t="s">
        <v>7783</v>
      </c>
      <c r="C8234" s="117">
        <v>412.98</v>
      </c>
    </row>
    <row r="8235" spans="1:3" x14ac:dyDescent="0.25">
      <c r="A8235" s="115">
        <v>1109227</v>
      </c>
      <c r="B8235" s="115" t="s">
        <v>7784</v>
      </c>
      <c r="C8235" s="117">
        <v>412.98</v>
      </c>
    </row>
    <row r="8236" spans="1:3" x14ac:dyDescent="0.25">
      <c r="A8236" s="115">
        <v>1109263</v>
      </c>
      <c r="B8236" s="115" t="s">
        <v>7785</v>
      </c>
      <c r="C8236" s="117">
        <v>412.98</v>
      </c>
    </row>
    <row r="8237" spans="1:3" x14ac:dyDescent="0.25">
      <c r="A8237" s="144" t="s">
        <v>7786</v>
      </c>
      <c r="B8237" s="145"/>
      <c r="C8237" s="145"/>
    </row>
    <row r="8238" spans="1:3" x14ac:dyDescent="0.25">
      <c r="A8238" s="115">
        <v>2361803</v>
      </c>
      <c r="B8238" s="115" t="s">
        <v>7788</v>
      </c>
      <c r="C8238" s="117">
        <v>2682.04</v>
      </c>
    </row>
    <row r="8239" spans="1:3" x14ac:dyDescent="0.25">
      <c r="A8239" s="115">
        <v>2361705</v>
      </c>
      <c r="B8239" s="115" t="s">
        <v>7789</v>
      </c>
      <c r="C8239" s="117">
        <v>16033.82</v>
      </c>
    </row>
    <row r="8240" spans="1:3" x14ac:dyDescent="0.25">
      <c r="A8240" s="115">
        <v>2362401</v>
      </c>
      <c r="B8240" s="115" t="s">
        <v>7790</v>
      </c>
      <c r="C8240" s="117">
        <v>623.17999999999995</v>
      </c>
    </row>
    <row r="8241" spans="1:3" x14ac:dyDescent="0.25">
      <c r="A8241" s="115">
        <v>2361806</v>
      </c>
      <c r="B8241" s="115" t="s">
        <v>7791</v>
      </c>
      <c r="C8241" s="117">
        <v>10728.16</v>
      </c>
    </row>
    <row r="8242" spans="1:3" x14ac:dyDescent="0.25">
      <c r="A8242" s="115">
        <v>2362400</v>
      </c>
      <c r="B8242" s="115" t="s">
        <v>7792</v>
      </c>
      <c r="C8242" s="117">
        <v>623.17999999999995</v>
      </c>
    </row>
    <row r="8243" spans="1:3" x14ac:dyDescent="0.25">
      <c r="A8243" s="115">
        <v>2361701</v>
      </c>
      <c r="B8243" s="115" t="s">
        <v>7793</v>
      </c>
      <c r="C8243" s="117">
        <v>16033.82</v>
      </c>
    </row>
    <row r="8244" spans="1:3" x14ac:dyDescent="0.25">
      <c r="A8244" s="115">
        <v>2361800</v>
      </c>
      <c r="B8244" s="115" t="s">
        <v>7794</v>
      </c>
      <c r="C8244" s="117">
        <v>2682.04</v>
      </c>
    </row>
    <row r="8245" spans="1:3" x14ac:dyDescent="0.25">
      <c r="A8245" s="115">
        <v>2361412</v>
      </c>
      <c r="B8245" s="115" t="s">
        <v>7795</v>
      </c>
      <c r="C8245" s="117">
        <v>5409.08</v>
      </c>
    </row>
    <row r="8246" spans="1:3" x14ac:dyDescent="0.25">
      <c r="A8246" s="115">
        <v>2360487</v>
      </c>
      <c r="B8246" s="115" t="s">
        <v>7796</v>
      </c>
      <c r="C8246" s="117">
        <v>9596.93</v>
      </c>
    </row>
    <row r="8247" spans="1:3" x14ac:dyDescent="0.25">
      <c r="A8247" s="115">
        <v>2360473</v>
      </c>
      <c r="B8247" s="115" t="s">
        <v>7797</v>
      </c>
      <c r="C8247" s="117">
        <v>9596.93</v>
      </c>
    </row>
    <row r="8248" spans="1:3" x14ac:dyDescent="0.25">
      <c r="A8248" s="115">
        <v>2360475</v>
      </c>
      <c r="B8248" s="115" t="s">
        <v>7798</v>
      </c>
      <c r="C8248" s="117">
        <v>9596.93</v>
      </c>
    </row>
    <row r="8249" spans="1:3" x14ac:dyDescent="0.25">
      <c r="A8249" s="115">
        <v>2361300</v>
      </c>
      <c r="B8249" s="115" t="s">
        <v>7799</v>
      </c>
      <c r="C8249" s="117">
        <v>901.53</v>
      </c>
    </row>
    <row r="8250" spans="1:3" x14ac:dyDescent="0.25">
      <c r="A8250" s="115">
        <v>2361675</v>
      </c>
      <c r="B8250" s="115" t="s">
        <v>7800</v>
      </c>
      <c r="C8250" s="117">
        <v>16033.82</v>
      </c>
    </row>
    <row r="8251" spans="1:3" x14ac:dyDescent="0.25">
      <c r="A8251" s="115">
        <v>2361419</v>
      </c>
      <c r="B8251" s="115" t="s">
        <v>7801</v>
      </c>
      <c r="C8251" s="117">
        <v>5409.18</v>
      </c>
    </row>
    <row r="8252" spans="1:3" x14ac:dyDescent="0.25">
      <c r="A8252" s="115">
        <v>2361416</v>
      </c>
      <c r="B8252" s="115" t="s">
        <v>7802</v>
      </c>
      <c r="C8252" s="117">
        <v>5409.08</v>
      </c>
    </row>
    <row r="8253" spans="1:3" x14ac:dyDescent="0.25">
      <c r="A8253" s="115">
        <v>2361306</v>
      </c>
      <c r="B8253" s="115" t="s">
        <v>7803</v>
      </c>
      <c r="C8253" s="117">
        <v>901.53</v>
      </c>
    </row>
    <row r="8254" spans="1:3" x14ac:dyDescent="0.25">
      <c r="A8254" s="115">
        <v>2361000</v>
      </c>
      <c r="B8254" s="115" t="s">
        <v>7804</v>
      </c>
      <c r="C8254" s="117">
        <v>596.79</v>
      </c>
    </row>
    <row r="8255" spans="1:3" x14ac:dyDescent="0.25">
      <c r="A8255" s="115">
        <v>2360963</v>
      </c>
      <c r="B8255" s="115" t="s">
        <v>7805</v>
      </c>
      <c r="C8255" s="117">
        <v>16033.83</v>
      </c>
    </row>
    <row r="8256" spans="1:3" x14ac:dyDescent="0.25">
      <c r="A8256" s="115">
        <v>2362403</v>
      </c>
      <c r="B8256" s="115" t="s">
        <v>7806</v>
      </c>
      <c r="C8256" s="117">
        <v>4985.42</v>
      </c>
    </row>
    <row r="8257" spans="1:3" x14ac:dyDescent="0.25">
      <c r="A8257" s="115">
        <v>2361805</v>
      </c>
      <c r="B8257" s="115" t="s">
        <v>7807</v>
      </c>
      <c r="C8257" s="117">
        <v>2682.04</v>
      </c>
    </row>
    <row r="8258" spans="1:3" x14ac:dyDescent="0.25">
      <c r="A8258" s="115">
        <v>2361420</v>
      </c>
      <c r="B8258" s="115" t="s">
        <v>7808</v>
      </c>
      <c r="C8258" s="117">
        <v>5409.08</v>
      </c>
    </row>
    <row r="8259" spans="1:3" x14ac:dyDescent="0.25">
      <c r="A8259" s="115">
        <v>2361307</v>
      </c>
      <c r="B8259" s="115" t="s">
        <v>7809</v>
      </c>
      <c r="C8259" s="117">
        <v>5409.18</v>
      </c>
    </row>
    <row r="8260" spans="1:3" x14ac:dyDescent="0.25">
      <c r="A8260" s="115">
        <v>2361305</v>
      </c>
      <c r="B8260" s="115" t="s">
        <v>7810</v>
      </c>
      <c r="C8260" s="117">
        <v>901.53</v>
      </c>
    </row>
    <row r="8261" spans="1:3" x14ac:dyDescent="0.25">
      <c r="A8261" s="115">
        <v>2361467</v>
      </c>
      <c r="B8261" s="115" t="s">
        <v>7811</v>
      </c>
      <c r="C8261" s="117">
        <v>5409.09</v>
      </c>
    </row>
    <row r="8262" spans="1:3" x14ac:dyDescent="0.25">
      <c r="A8262" s="115">
        <v>2360962</v>
      </c>
      <c r="B8262" s="115" t="s">
        <v>7812</v>
      </c>
      <c r="C8262" s="117">
        <v>16033.82</v>
      </c>
    </row>
    <row r="8263" spans="1:3" x14ac:dyDescent="0.25">
      <c r="A8263" s="115">
        <v>2361410</v>
      </c>
      <c r="B8263" s="115" t="s">
        <v>7813</v>
      </c>
      <c r="C8263" s="117">
        <v>901.51</v>
      </c>
    </row>
    <row r="8264" spans="1:3" x14ac:dyDescent="0.25">
      <c r="A8264" s="115">
        <v>2360225</v>
      </c>
      <c r="B8264" s="115" t="s">
        <v>11644</v>
      </c>
      <c r="C8264" s="117">
        <v>850.85</v>
      </c>
    </row>
    <row r="8265" spans="1:3" x14ac:dyDescent="0.25">
      <c r="A8265" s="115">
        <v>2360125</v>
      </c>
      <c r="B8265" s="115" t="s">
        <v>7814</v>
      </c>
      <c r="C8265" s="117">
        <v>914.32</v>
      </c>
    </row>
    <row r="8266" spans="1:3" x14ac:dyDescent="0.25">
      <c r="A8266" s="115">
        <v>2360025</v>
      </c>
      <c r="B8266" s="115" t="s">
        <v>7815</v>
      </c>
      <c r="C8266" s="117">
        <v>468.31</v>
      </c>
    </row>
    <row r="8267" spans="1:3" x14ac:dyDescent="0.25">
      <c r="A8267" s="115">
        <v>2360155</v>
      </c>
      <c r="B8267" s="115" t="s">
        <v>7816</v>
      </c>
      <c r="C8267" s="117">
        <v>914.32</v>
      </c>
    </row>
    <row r="8268" spans="1:3" x14ac:dyDescent="0.25">
      <c r="A8268" s="115">
        <v>2360055</v>
      </c>
      <c r="B8268" s="115" t="s">
        <v>7817</v>
      </c>
      <c r="C8268" s="117">
        <v>468.31</v>
      </c>
    </row>
    <row r="8269" spans="1:3" x14ac:dyDescent="0.25">
      <c r="A8269" s="115">
        <v>2360139</v>
      </c>
      <c r="B8269" s="115" t="s">
        <v>11996</v>
      </c>
      <c r="C8269" s="117">
        <v>5485.93</v>
      </c>
    </row>
    <row r="8270" spans="1:3" x14ac:dyDescent="0.25">
      <c r="A8270" s="115">
        <v>2360162</v>
      </c>
      <c r="B8270" s="115" t="s">
        <v>7818</v>
      </c>
      <c r="C8270" s="117">
        <v>914.32</v>
      </c>
    </row>
    <row r="8271" spans="1:3" x14ac:dyDescent="0.25">
      <c r="A8271" s="115">
        <v>2360062</v>
      </c>
      <c r="B8271" s="115" t="s">
        <v>7819</v>
      </c>
      <c r="C8271" s="117">
        <v>468.31</v>
      </c>
    </row>
    <row r="8272" spans="1:3" x14ac:dyDescent="0.25">
      <c r="A8272" s="115">
        <v>2360126</v>
      </c>
      <c r="B8272" s="115" t="s">
        <v>7820</v>
      </c>
      <c r="C8272" s="117">
        <v>5485.93</v>
      </c>
    </row>
    <row r="8273" spans="1:3" x14ac:dyDescent="0.25">
      <c r="A8273" s="115">
        <v>2360177</v>
      </c>
      <c r="B8273" s="115" t="s">
        <v>7821</v>
      </c>
      <c r="C8273" s="117">
        <v>5485.93</v>
      </c>
    </row>
    <row r="8274" spans="1:3" x14ac:dyDescent="0.25">
      <c r="A8274" s="115">
        <v>2360178</v>
      </c>
      <c r="B8274" s="115" t="s">
        <v>11997</v>
      </c>
      <c r="C8274" s="117">
        <v>5105.12</v>
      </c>
    </row>
    <row r="8275" spans="1:3" x14ac:dyDescent="0.25">
      <c r="A8275" s="115">
        <v>2360176</v>
      </c>
      <c r="B8275" s="115" t="s">
        <v>7822</v>
      </c>
      <c r="C8275" s="117">
        <v>914.32</v>
      </c>
    </row>
    <row r="8276" spans="1:3" x14ac:dyDescent="0.25">
      <c r="A8276" s="115">
        <v>2360076</v>
      </c>
      <c r="B8276" s="115" t="s">
        <v>7823</v>
      </c>
      <c r="C8276" s="117">
        <v>5619.74</v>
      </c>
    </row>
    <row r="8277" spans="1:3" x14ac:dyDescent="0.25">
      <c r="A8277" s="115">
        <v>2366000</v>
      </c>
      <c r="B8277" s="115" t="s">
        <v>7824</v>
      </c>
      <c r="C8277" s="117">
        <v>4427.54</v>
      </c>
    </row>
    <row r="8278" spans="1:3" x14ac:dyDescent="0.25">
      <c r="A8278" s="115">
        <v>2368090</v>
      </c>
      <c r="B8278" s="115" t="s">
        <v>11998</v>
      </c>
      <c r="C8278" s="117">
        <v>11730.53</v>
      </c>
    </row>
    <row r="8279" spans="1:3" x14ac:dyDescent="0.25">
      <c r="A8279" s="115">
        <v>2368091</v>
      </c>
      <c r="B8279" s="115" t="s">
        <v>12490</v>
      </c>
      <c r="C8279" s="117">
        <v>11730.53</v>
      </c>
    </row>
    <row r="8280" spans="1:3" x14ac:dyDescent="0.25">
      <c r="A8280" s="115">
        <v>2368030</v>
      </c>
      <c r="B8280" s="115" t="s">
        <v>7825</v>
      </c>
      <c r="C8280" s="117">
        <v>11730.53</v>
      </c>
    </row>
    <row r="8281" spans="1:3" x14ac:dyDescent="0.25">
      <c r="A8281" s="115">
        <v>2368080</v>
      </c>
      <c r="B8281" s="115" t="s">
        <v>7831</v>
      </c>
      <c r="C8281" s="117">
        <v>11730.53</v>
      </c>
    </row>
    <row r="8282" spans="1:3" x14ac:dyDescent="0.25">
      <c r="A8282" s="115">
        <v>2368060</v>
      </c>
      <c r="B8282" s="115" t="s">
        <v>7826</v>
      </c>
      <c r="C8282" s="117">
        <v>11730.53</v>
      </c>
    </row>
    <row r="8283" spans="1:3" x14ac:dyDescent="0.25">
      <c r="A8283" s="115">
        <v>2368020</v>
      </c>
      <c r="B8283" s="115" t="s">
        <v>7827</v>
      </c>
      <c r="C8283" s="117">
        <v>11730.53</v>
      </c>
    </row>
    <row r="8284" spans="1:3" x14ac:dyDescent="0.25">
      <c r="A8284" s="115">
        <v>2368040</v>
      </c>
      <c r="B8284" s="115" t="s">
        <v>7828</v>
      </c>
      <c r="C8284" s="117">
        <v>11730.53</v>
      </c>
    </row>
    <row r="8285" spans="1:3" x14ac:dyDescent="0.25">
      <c r="A8285" s="115">
        <v>2368070</v>
      </c>
      <c r="B8285" s="115" t="s">
        <v>7829</v>
      </c>
      <c r="C8285" s="117">
        <v>11730.53</v>
      </c>
    </row>
    <row r="8286" spans="1:3" x14ac:dyDescent="0.25">
      <c r="A8286" s="115">
        <v>2368050</v>
      </c>
      <c r="B8286" s="115" t="s">
        <v>7830</v>
      </c>
      <c r="C8286" s="117">
        <v>11730.53</v>
      </c>
    </row>
    <row r="8287" spans="1:3" x14ac:dyDescent="0.25">
      <c r="A8287" s="115">
        <v>2368010</v>
      </c>
      <c r="B8287" s="115" t="s">
        <v>7832</v>
      </c>
      <c r="C8287" s="117">
        <v>11730.53</v>
      </c>
    </row>
    <row r="8288" spans="1:3" x14ac:dyDescent="0.25">
      <c r="A8288" s="115">
        <v>2362610</v>
      </c>
      <c r="B8288" s="115" t="s">
        <v>7833</v>
      </c>
      <c r="C8288" s="117">
        <v>4909.2299999999996</v>
      </c>
    </row>
    <row r="8289" spans="1:3" x14ac:dyDescent="0.25">
      <c r="A8289" s="115">
        <v>2361220</v>
      </c>
      <c r="B8289" s="115" t="s">
        <v>7834</v>
      </c>
      <c r="C8289" s="117">
        <v>4427.54</v>
      </c>
    </row>
    <row r="8290" spans="1:3" x14ac:dyDescent="0.25">
      <c r="A8290" s="115">
        <v>2361210</v>
      </c>
      <c r="B8290" s="115" t="s">
        <v>7835</v>
      </c>
      <c r="C8290" s="117">
        <v>4909.2299999999996</v>
      </c>
    </row>
    <row r="8291" spans="1:3" x14ac:dyDescent="0.25">
      <c r="A8291" s="115">
        <v>2422769</v>
      </c>
      <c r="B8291" s="115" t="s">
        <v>7836</v>
      </c>
      <c r="C8291" s="117">
        <v>803.99</v>
      </c>
    </row>
    <row r="8292" spans="1:3" x14ac:dyDescent="0.25">
      <c r="A8292" s="115">
        <v>2422737</v>
      </c>
      <c r="B8292" s="115" t="s">
        <v>7837</v>
      </c>
      <c r="C8292" s="117">
        <v>803.99</v>
      </c>
    </row>
    <row r="8293" spans="1:3" x14ac:dyDescent="0.25">
      <c r="A8293" s="115">
        <v>2422722</v>
      </c>
      <c r="B8293" s="115" t="s">
        <v>7838</v>
      </c>
      <c r="C8293" s="117">
        <v>803.99</v>
      </c>
    </row>
    <row r="8294" spans="1:3" x14ac:dyDescent="0.25">
      <c r="A8294" s="115">
        <v>2422738</v>
      </c>
      <c r="B8294" s="115" t="s">
        <v>7839</v>
      </c>
      <c r="C8294" s="117">
        <v>4823.96</v>
      </c>
    </row>
    <row r="8295" spans="1:3" x14ac:dyDescent="0.25">
      <c r="A8295" s="115">
        <v>2422788</v>
      </c>
      <c r="B8295" s="115" t="s">
        <v>7840</v>
      </c>
      <c r="C8295" s="117">
        <v>4823.96</v>
      </c>
    </row>
    <row r="8296" spans="1:3" x14ac:dyDescent="0.25">
      <c r="A8296" s="115">
        <v>2146010</v>
      </c>
      <c r="B8296" s="115" t="s">
        <v>8008</v>
      </c>
      <c r="C8296" s="117">
        <v>16166.58</v>
      </c>
    </row>
    <row r="8297" spans="1:3" x14ac:dyDescent="0.25">
      <c r="A8297" s="115">
        <v>2362390</v>
      </c>
      <c r="B8297" s="115" t="s">
        <v>7843</v>
      </c>
      <c r="C8297" s="117">
        <v>5453.96</v>
      </c>
    </row>
    <row r="8298" spans="1:3" x14ac:dyDescent="0.25">
      <c r="A8298" s="115">
        <v>2368676</v>
      </c>
      <c r="B8298" s="115" t="s">
        <v>7844</v>
      </c>
      <c r="C8298" s="117">
        <v>16166.58</v>
      </c>
    </row>
    <row r="8299" spans="1:3" x14ac:dyDescent="0.25">
      <c r="A8299" s="115">
        <v>2362387</v>
      </c>
      <c r="B8299" s="115" t="s">
        <v>11999</v>
      </c>
      <c r="C8299" s="117">
        <v>8724.18</v>
      </c>
    </row>
    <row r="8300" spans="1:3" x14ac:dyDescent="0.25">
      <c r="A8300" s="115">
        <v>2362310</v>
      </c>
      <c r="B8300" s="115" t="s">
        <v>12000</v>
      </c>
      <c r="C8300" s="117">
        <v>8724.32</v>
      </c>
    </row>
    <row r="8301" spans="1:3" x14ac:dyDescent="0.25">
      <c r="A8301" s="115">
        <v>2361110</v>
      </c>
      <c r="B8301" s="115" t="s">
        <v>7845</v>
      </c>
      <c r="C8301" s="117">
        <v>4909.2299999999996</v>
      </c>
    </row>
    <row r="8302" spans="1:3" x14ac:dyDescent="0.25">
      <c r="A8302" s="115">
        <v>2360747</v>
      </c>
      <c r="B8302" s="115" t="s">
        <v>7846</v>
      </c>
      <c r="C8302" s="117">
        <v>18531.04</v>
      </c>
    </row>
    <row r="8303" spans="1:3" x14ac:dyDescent="0.25">
      <c r="A8303" s="115">
        <v>2360726</v>
      </c>
      <c r="B8303" s="115" t="s">
        <v>12491</v>
      </c>
      <c r="C8303" s="117">
        <v>22448.05</v>
      </c>
    </row>
    <row r="8304" spans="1:3" x14ac:dyDescent="0.25">
      <c r="A8304" s="115">
        <v>2360725</v>
      </c>
      <c r="B8304" s="115" t="s">
        <v>12492</v>
      </c>
      <c r="C8304" s="117">
        <v>22448.05</v>
      </c>
    </row>
    <row r="8305" spans="1:3" x14ac:dyDescent="0.25">
      <c r="A8305" s="115">
        <v>2362402</v>
      </c>
      <c r="B8305" s="115" t="s">
        <v>7847</v>
      </c>
      <c r="C8305" s="117">
        <v>5026.6899999999996</v>
      </c>
    </row>
    <row r="8306" spans="1:3" x14ac:dyDescent="0.25">
      <c r="A8306" s="115">
        <v>2362404</v>
      </c>
      <c r="B8306" s="115" t="s">
        <v>12493</v>
      </c>
      <c r="C8306" s="117">
        <v>5026.6899999999996</v>
      </c>
    </row>
    <row r="8307" spans="1:3" x14ac:dyDescent="0.25">
      <c r="A8307" s="115">
        <v>2361702</v>
      </c>
      <c r="B8307" s="115" t="s">
        <v>7848</v>
      </c>
      <c r="C8307" s="117">
        <v>16166.58</v>
      </c>
    </row>
    <row r="8308" spans="1:3" x14ac:dyDescent="0.25">
      <c r="A8308" s="115">
        <v>2361804</v>
      </c>
      <c r="B8308" s="115" t="s">
        <v>7849</v>
      </c>
      <c r="C8308" s="117">
        <v>2704.25</v>
      </c>
    </row>
    <row r="8309" spans="1:3" x14ac:dyDescent="0.25">
      <c r="A8309" s="115">
        <v>2362512</v>
      </c>
      <c r="B8309" s="115" t="s">
        <v>7850</v>
      </c>
      <c r="C8309" s="117">
        <v>5453.96</v>
      </c>
    </row>
    <row r="8310" spans="1:3" x14ac:dyDescent="0.25">
      <c r="A8310" s="115">
        <v>2361304</v>
      </c>
      <c r="B8310" s="115" t="s">
        <v>7851</v>
      </c>
      <c r="C8310" s="117">
        <v>908.99</v>
      </c>
    </row>
    <row r="8311" spans="1:3" x14ac:dyDescent="0.25">
      <c r="A8311" s="115">
        <v>2361703</v>
      </c>
      <c r="B8311" s="115" t="s">
        <v>7852</v>
      </c>
      <c r="C8311" s="117">
        <v>16166.58</v>
      </c>
    </row>
    <row r="8312" spans="1:3" x14ac:dyDescent="0.25">
      <c r="A8312" s="115">
        <v>2361801</v>
      </c>
      <c r="B8312" s="115" t="s">
        <v>7853</v>
      </c>
      <c r="C8312" s="117">
        <v>2704.25</v>
      </c>
    </row>
    <row r="8313" spans="1:3" x14ac:dyDescent="0.25">
      <c r="A8313" s="115">
        <v>2362801</v>
      </c>
      <c r="B8313" s="115" t="s">
        <v>7854</v>
      </c>
      <c r="C8313" s="117">
        <v>908.99</v>
      </c>
    </row>
    <row r="8314" spans="1:3" x14ac:dyDescent="0.25">
      <c r="A8314" s="115">
        <v>2362511</v>
      </c>
      <c r="B8314" s="115" t="s">
        <v>7855</v>
      </c>
      <c r="C8314" s="117">
        <v>5453.96</v>
      </c>
    </row>
    <row r="8315" spans="1:3" x14ac:dyDescent="0.25">
      <c r="A8315" s="144" t="s">
        <v>7856</v>
      </c>
      <c r="B8315" s="145"/>
      <c r="C8315" s="145"/>
    </row>
    <row r="8316" spans="1:3" x14ac:dyDescent="0.25">
      <c r="A8316" s="115">
        <v>2348102</v>
      </c>
      <c r="B8316" s="115" t="s">
        <v>11645</v>
      </c>
      <c r="C8316" s="117">
        <v>1637.3</v>
      </c>
    </row>
    <row r="8317" spans="1:3" x14ac:dyDescent="0.25">
      <c r="A8317" s="115">
        <v>2348185</v>
      </c>
      <c r="B8317" s="115" t="s">
        <v>11646</v>
      </c>
      <c r="C8317" s="117">
        <v>1637.3</v>
      </c>
    </row>
    <row r="8318" spans="1:3" x14ac:dyDescent="0.25">
      <c r="A8318" s="115">
        <v>2340130</v>
      </c>
      <c r="B8318" s="115" t="s">
        <v>7857</v>
      </c>
      <c r="C8318" s="117">
        <v>911.04</v>
      </c>
    </row>
    <row r="8319" spans="1:3" x14ac:dyDescent="0.25">
      <c r="A8319" s="115">
        <v>2345729</v>
      </c>
      <c r="B8319" s="115" t="s">
        <v>7858</v>
      </c>
      <c r="C8319" s="117">
        <v>3547.86</v>
      </c>
    </row>
    <row r="8320" spans="1:3" x14ac:dyDescent="0.25">
      <c r="A8320" s="115">
        <v>2345719</v>
      </c>
      <c r="B8320" s="115" t="s">
        <v>7859</v>
      </c>
      <c r="C8320" s="117">
        <v>3547.86</v>
      </c>
    </row>
    <row r="8321" spans="1:3" x14ac:dyDescent="0.25">
      <c r="A8321" s="115">
        <v>2345749</v>
      </c>
      <c r="B8321" s="115" t="s">
        <v>7860</v>
      </c>
      <c r="C8321" s="117">
        <v>3145.88</v>
      </c>
    </row>
    <row r="8322" spans="1:3" x14ac:dyDescent="0.25">
      <c r="A8322" s="115">
        <v>2345731</v>
      </c>
      <c r="B8322" s="115" t="s">
        <v>7861</v>
      </c>
      <c r="C8322" s="117">
        <v>3547.86</v>
      </c>
    </row>
    <row r="8323" spans="1:3" x14ac:dyDescent="0.25">
      <c r="A8323" s="115">
        <v>2345727</v>
      </c>
      <c r="B8323" s="115" t="s">
        <v>7862</v>
      </c>
      <c r="C8323" s="117">
        <v>3547.86</v>
      </c>
    </row>
    <row r="8324" spans="1:3" x14ac:dyDescent="0.25">
      <c r="A8324" s="115">
        <v>2345744</v>
      </c>
      <c r="B8324" s="115" t="s">
        <v>7863</v>
      </c>
      <c r="C8324" s="117">
        <v>3547.86</v>
      </c>
    </row>
    <row r="8325" spans="1:3" x14ac:dyDescent="0.25">
      <c r="A8325" s="115">
        <v>2345538</v>
      </c>
      <c r="B8325" s="115" t="s">
        <v>7864</v>
      </c>
      <c r="C8325" s="117">
        <v>2074.59</v>
      </c>
    </row>
    <row r="8326" spans="1:3" x14ac:dyDescent="0.25">
      <c r="A8326" s="115">
        <v>2345582</v>
      </c>
      <c r="B8326" s="115" t="s">
        <v>7865</v>
      </c>
      <c r="C8326" s="117">
        <v>2074.59</v>
      </c>
    </row>
    <row r="8327" spans="1:3" x14ac:dyDescent="0.25">
      <c r="A8327" s="115">
        <v>2340564</v>
      </c>
      <c r="B8327" s="115" t="s">
        <v>7866</v>
      </c>
      <c r="C8327" s="117">
        <v>1911.33</v>
      </c>
    </row>
    <row r="8328" spans="1:3" x14ac:dyDescent="0.25">
      <c r="A8328" s="115">
        <v>2340501</v>
      </c>
      <c r="B8328" s="115" t="s">
        <v>12494</v>
      </c>
      <c r="C8328" s="117">
        <v>2730.13</v>
      </c>
    </row>
    <row r="8329" spans="1:3" x14ac:dyDescent="0.25">
      <c r="A8329" s="115">
        <v>2341502</v>
      </c>
      <c r="B8329" s="115" t="s">
        <v>11647</v>
      </c>
      <c r="C8329" s="117">
        <v>2225.39</v>
      </c>
    </row>
    <row r="8330" spans="1:3" x14ac:dyDescent="0.25">
      <c r="A8330" s="115">
        <v>2341501</v>
      </c>
      <c r="B8330" s="115" t="s">
        <v>11648</v>
      </c>
      <c r="C8330" s="117">
        <v>2225.38</v>
      </c>
    </row>
    <row r="8331" spans="1:3" x14ac:dyDescent="0.25">
      <c r="A8331" s="115">
        <v>2345301</v>
      </c>
      <c r="B8331" s="115" t="s">
        <v>7867</v>
      </c>
      <c r="C8331" s="117">
        <v>1382.46</v>
      </c>
    </row>
    <row r="8332" spans="1:3" x14ac:dyDescent="0.25">
      <c r="A8332" s="115">
        <v>2340854</v>
      </c>
      <c r="B8332" s="115" t="s">
        <v>7868</v>
      </c>
      <c r="C8332" s="117">
        <v>4595.84</v>
      </c>
    </row>
    <row r="8333" spans="1:3" x14ac:dyDescent="0.25">
      <c r="A8333" s="115">
        <v>2340894</v>
      </c>
      <c r="B8333" s="115" t="s">
        <v>7869</v>
      </c>
      <c r="C8333" s="117">
        <v>1911.33</v>
      </c>
    </row>
    <row r="8334" spans="1:3" x14ac:dyDescent="0.25">
      <c r="A8334" s="115">
        <v>2345829</v>
      </c>
      <c r="B8334" s="115" t="s">
        <v>7870</v>
      </c>
      <c r="C8334" s="117">
        <v>1193.92</v>
      </c>
    </row>
    <row r="8335" spans="1:3" x14ac:dyDescent="0.25">
      <c r="A8335" s="115">
        <v>2341400</v>
      </c>
      <c r="B8335" s="115" t="s">
        <v>7871</v>
      </c>
      <c r="C8335" s="117">
        <v>1431.02</v>
      </c>
    </row>
    <row r="8336" spans="1:3" x14ac:dyDescent="0.25">
      <c r="A8336" s="115">
        <v>2341300</v>
      </c>
      <c r="B8336" s="115" t="s">
        <v>7872</v>
      </c>
      <c r="C8336" s="117">
        <v>433.26</v>
      </c>
    </row>
    <row r="8337" spans="1:3" x14ac:dyDescent="0.25">
      <c r="A8337" s="115">
        <v>2340763</v>
      </c>
      <c r="B8337" s="115" t="s">
        <v>7873</v>
      </c>
      <c r="C8337" s="117">
        <v>471.1</v>
      </c>
    </row>
    <row r="8338" spans="1:3" x14ac:dyDescent="0.25">
      <c r="A8338" s="115">
        <v>2342868</v>
      </c>
      <c r="B8338" s="115" t="s">
        <v>11649</v>
      </c>
      <c r="C8338" s="117">
        <v>591.66</v>
      </c>
    </row>
    <row r="8339" spans="1:3" x14ac:dyDescent="0.25">
      <c r="A8339" s="115">
        <v>2342800</v>
      </c>
      <c r="B8339" s="115" t="s">
        <v>7874</v>
      </c>
      <c r="C8339" s="117">
        <v>618.78</v>
      </c>
    </row>
    <row r="8340" spans="1:3" x14ac:dyDescent="0.25">
      <c r="A8340" s="115">
        <v>2340619</v>
      </c>
      <c r="B8340" s="115" t="s">
        <v>7875</v>
      </c>
      <c r="C8340" s="117">
        <v>189.83</v>
      </c>
    </row>
    <row r="8341" spans="1:3" x14ac:dyDescent="0.25">
      <c r="A8341" s="115">
        <v>2345828</v>
      </c>
      <c r="B8341" s="115" t="s">
        <v>7876</v>
      </c>
      <c r="C8341" s="117">
        <v>1590.7</v>
      </c>
    </row>
    <row r="8342" spans="1:3" x14ac:dyDescent="0.25">
      <c r="A8342" s="115">
        <v>2344004</v>
      </c>
      <c r="B8342" s="115" t="s">
        <v>7877</v>
      </c>
      <c r="C8342" s="117">
        <v>4434.6400000000003</v>
      </c>
    </row>
    <row r="8343" spans="1:3" x14ac:dyDescent="0.25">
      <c r="A8343" s="115">
        <v>2345827</v>
      </c>
      <c r="B8343" s="115" t="s">
        <v>7878</v>
      </c>
      <c r="C8343" s="117">
        <v>1590.7</v>
      </c>
    </row>
    <row r="8344" spans="1:3" x14ac:dyDescent="0.25">
      <c r="A8344" s="115">
        <v>2346257</v>
      </c>
      <c r="B8344" s="115" t="s">
        <v>7879</v>
      </c>
      <c r="C8344" s="117">
        <v>1199.99</v>
      </c>
    </row>
    <row r="8345" spans="1:3" x14ac:dyDescent="0.25">
      <c r="A8345" s="115">
        <v>2346258</v>
      </c>
      <c r="B8345" s="115" t="s">
        <v>7880</v>
      </c>
      <c r="C8345" s="117">
        <v>1130.3499999999999</v>
      </c>
    </row>
    <row r="8346" spans="1:3" x14ac:dyDescent="0.25">
      <c r="A8346" s="115">
        <v>2346259</v>
      </c>
      <c r="B8346" s="115" t="s">
        <v>7881</v>
      </c>
      <c r="C8346" s="117">
        <v>1086.55</v>
      </c>
    </row>
    <row r="8347" spans="1:3" x14ac:dyDescent="0.25">
      <c r="A8347" s="115">
        <v>2343645</v>
      </c>
      <c r="B8347" s="115" t="s">
        <v>7882</v>
      </c>
      <c r="C8347" s="117">
        <v>1726.68</v>
      </c>
    </row>
    <row r="8348" spans="1:3" x14ac:dyDescent="0.25">
      <c r="A8348" s="115">
        <v>2343625</v>
      </c>
      <c r="B8348" s="115" t="s">
        <v>7883</v>
      </c>
      <c r="C8348" s="117">
        <v>1382.52</v>
      </c>
    </row>
    <row r="8349" spans="1:3" x14ac:dyDescent="0.25">
      <c r="A8349" s="115">
        <v>2343600</v>
      </c>
      <c r="B8349" s="115" t="s">
        <v>7884</v>
      </c>
      <c r="C8349" s="117">
        <v>1726.68</v>
      </c>
    </row>
    <row r="8350" spans="1:3" x14ac:dyDescent="0.25">
      <c r="A8350" s="115">
        <v>2343640</v>
      </c>
      <c r="B8350" s="115" t="s">
        <v>7885</v>
      </c>
      <c r="C8350" s="117">
        <v>1726.68</v>
      </c>
    </row>
    <row r="8351" spans="1:3" x14ac:dyDescent="0.25">
      <c r="A8351" s="115">
        <v>2341015</v>
      </c>
      <c r="B8351" s="115" t="s">
        <v>7886</v>
      </c>
      <c r="C8351" s="117">
        <v>1806.72</v>
      </c>
    </row>
    <row r="8352" spans="1:3" x14ac:dyDescent="0.25">
      <c r="A8352" s="115">
        <v>2341010</v>
      </c>
      <c r="B8352" s="115" t="s">
        <v>7887</v>
      </c>
      <c r="C8352" s="117">
        <v>1193.8800000000001</v>
      </c>
    </row>
    <row r="8353" spans="1:3" x14ac:dyDescent="0.25">
      <c r="A8353" s="115">
        <v>2341021</v>
      </c>
      <c r="B8353" s="115" t="s">
        <v>7888</v>
      </c>
      <c r="C8353" s="117">
        <v>360.41</v>
      </c>
    </row>
    <row r="8354" spans="1:3" x14ac:dyDescent="0.25">
      <c r="A8354" s="115">
        <v>2346324</v>
      </c>
      <c r="B8354" s="115" t="s">
        <v>11650</v>
      </c>
      <c r="C8354" s="117">
        <v>609.82000000000005</v>
      </c>
    </row>
    <row r="8355" spans="1:3" x14ac:dyDescent="0.25">
      <c r="A8355" s="115">
        <v>2340947</v>
      </c>
      <c r="B8355" s="115" t="s">
        <v>7889</v>
      </c>
      <c r="C8355" s="117">
        <v>1670.31</v>
      </c>
    </row>
    <row r="8356" spans="1:3" x14ac:dyDescent="0.25">
      <c r="A8356" s="115">
        <v>2340948</v>
      </c>
      <c r="B8356" s="115" t="s">
        <v>7890</v>
      </c>
      <c r="C8356" s="117">
        <v>1506.29</v>
      </c>
    </row>
    <row r="8357" spans="1:3" x14ac:dyDescent="0.25">
      <c r="A8357" s="115">
        <v>2345505</v>
      </c>
      <c r="B8357" s="115" t="s">
        <v>7891</v>
      </c>
      <c r="C8357" s="117">
        <v>1246.47</v>
      </c>
    </row>
    <row r="8358" spans="1:3" x14ac:dyDescent="0.25">
      <c r="A8358" s="115">
        <v>2345386</v>
      </c>
      <c r="B8358" s="115" t="s">
        <v>12001</v>
      </c>
      <c r="C8358" s="117">
        <v>1382.46</v>
      </c>
    </row>
    <row r="8359" spans="1:3" x14ac:dyDescent="0.25">
      <c r="A8359" s="115">
        <v>2345387</v>
      </c>
      <c r="B8359" s="115" t="s">
        <v>12002</v>
      </c>
      <c r="C8359" s="117">
        <v>1382.46</v>
      </c>
    </row>
    <row r="8360" spans="1:3" x14ac:dyDescent="0.25">
      <c r="A8360" s="115">
        <v>2345307</v>
      </c>
      <c r="B8360" s="115" t="s">
        <v>7892</v>
      </c>
      <c r="C8360" s="117">
        <v>1382.46</v>
      </c>
    </row>
    <row r="8361" spans="1:3" x14ac:dyDescent="0.25">
      <c r="A8361" s="115">
        <v>2345390</v>
      </c>
      <c r="B8361" s="115" t="s">
        <v>7893</v>
      </c>
      <c r="C8361" s="117">
        <v>1382.46</v>
      </c>
    </row>
    <row r="8362" spans="1:3" x14ac:dyDescent="0.25">
      <c r="A8362" s="115">
        <v>2345306</v>
      </c>
      <c r="B8362" s="115" t="s">
        <v>7894</v>
      </c>
      <c r="C8362" s="117">
        <v>1382.46</v>
      </c>
    </row>
    <row r="8363" spans="1:3" x14ac:dyDescent="0.25">
      <c r="A8363" s="115">
        <v>2346102</v>
      </c>
      <c r="B8363" s="115" t="s">
        <v>12003</v>
      </c>
      <c r="C8363" s="117">
        <v>893.73</v>
      </c>
    </row>
    <row r="8364" spans="1:3" x14ac:dyDescent="0.25">
      <c r="A8364" s="115">
        <v>2346101</v>
      </c>
      <c r="B8364" s="115" t="s">
        <v>7895</v>
      </c>
      <c r="C8364" s="117">
        <v>893.73</v>
      </c>
    </row>
    <row r="8365" spans="1:3" x14ac:dyDescent="0.25">
      <c r="A8365" s="115">
        <v>2348301</v>
      </c>
      <c r="B8365" s="115" t="s">
        <v>12004</v>
      </c>
      <c r="C8365" s="117">
        <v>1383.1</v>
      </c>
    </row>
    <row r="8366" spans="1:3" x14ac:dyDescent="0.25">
      <c r="A8366" s="115">
        <v>2348302</v>
      </c>
      <c r="B8366" s="115" t="s">
        <v>12005</v>
      </c>
      <c r="C8366" s="117">
        <v>1382.61</v>
      </c>
    </row>
    <row r="8367" spans="1:3" x14ac:dyDescent="0.25">
      <c r="A8367" s="115">
        <v>2345443</v>
      </c>
      <c r="B8367" s="115" t="s">
        <v>12495</v>
      </c>
      <c r="C8367" s="117">
        <v>1297.54</v>
      </c>
    </row>
    <row r="8368" spans="1:3" x14ac:dyDescent="0.25">
      <c r="A8368" s="115">
        <v>2345416</v>
      </c>
      <c r="B8368" s="115" t="s">
        <v>7896</v>
      </c>
      <c r="C8368" s="117">
        <v>2924.96</v>
      </c>
    </row>
    <row r="8369" spans="1:3" x14ac:dyDescent="0.25">
      <c r="A8369" s="115">
        <v>2345442</v>
      </c>
      <c r="B8369" s="115" t="s">
        <v>12496</v>
      </c>
      <c r="C8369" s="117">
        <v>1297.54</v>
      </c>
    </row>
    <row r="8370" spans="1:3" x14ac:dyDescent="0.25">
      <c r="A8370" s="115">
        <v>2345402</v>
      </c>
      <c r="B8370" s="115" t="s">
        <v>12006</v>
      </c>
      <c r="C8370" s="117">
        <v>2924.97</v>
      </c>
    </row>
    <row r="8371" spans="1:3" x14ac:dyDescent="0.25">
      <c r="A8371" s="115">
        <v>2345401</v>
      </c>
      <c r="B8371" s="115" t="s">
        <v>7897</v>
      </c>
      <c r="C8371" s="117">
        <v>1475.86</v>
      </c>
    </row>
    <row r="8372" spans="1:3" x14ac:dyDescent="0.25">
      <c r="A8372" s="115">
        <v>2345441</v>
      </c>
      <c r="B8372" s="115" t="s">
        <v>12497</v>
      </c>
      <c r="C8372" s="117">
        <v>1297.54</v>
      </c>
    </row>
    <row r="8373" spans="1:3" x14ac:dyDescent="0.25">
      <c r="A8373" s="115">
        <v>2990744</v>
      </c>
      <c r="B8373" s="115" t="s">
        <v>12007</v>
      </c>
      <c r="C8373" s="117">
        <v>1577.36</v>
      </c>
    </row>
    <row r="8374" spans="1:3" x14ac:dyDescent="0.25">
      <c r="A8374" s="115">
        <v>2990745</v>
      </c>
      <c r="B8374" s="115" t="s">
        <v>12498</v>
      </c>
      <c r="C8374" s="117">
        <v>1577.36</v>
      </c>
    </row>
    <row r="8375" spans="1:3" x14ac:dyDescent="0.25">
      <c r="A8375" s="115">
        <v>2990841</v>
      </c>
      <c r="B8375" s="115" t="s">
        <v>12008</v>
      </c>
      <c r="C8375" s="117">
        <v>3272.06</v>
      </c>
    </row>
    <row r="8376" spans="1:3" x14ac:dyDescent="0.25">
      <c r="A8376" s="115">
        <v>2990837</v>
      </c>
      <c r="B8376" s="115" t="s">
        <v>7898</v>
      </c>
      <c r="C8376" s="117">
        <v>4623.91</v>
      </c>
    </row>
    <row r="8377" spans="1:3" x14ac:dyDescent="0.25">
      <c r="A8377" s="115">
        <v>2990839</v>
      </c>
      <c r="B8377" s="115" t="s">
        <v>7899</v>
      </c>
      <c r="C8377" s="117">
        <v>4623.91</v>
      </c>
    </row>
    <row r="8378" spans="1:3" x14ac:dyDescent="0.25">
      <c r="A8378" s="115">
        <v>2349702</v>
      </c>
      <c r="B8378" s="115" t="s">
        <v>11651</v>
      </c>
      <c r="C8378" s="117">
        <v>1378.35</v>
      </c>
    </row>
    <row r="8379" spans="1:3" x14ac:dyDescent="0.25">
      <c r="A8379" s="115">
        <v>2349701</v>
      </c>
      <c r="B8379" s="115" t="s">
        <v>12009</v>
      </c>
      <c r="C8379" s="117">
        <v>1378.35</v>
      </c>
    </row>
    <row r="8380" spans="1:3" x14ac:dyDescent="0.25">
      <c r="A8380" s="115">
        <v>2345601</v>
      </c>
      <c r="B8380" s="115" t="s">
        <v>7900</v>
      </c>
      <c r="C8380" s="117">
        <v>927.32</v>
      </c>
    </row>
    <row r="8381" spans="1:3" x14ac:dyDescent="0.25">
      <c r="A8381" s="115">
        <v>2345607</v>
      </c>
      <c r="B8381" s="115" t="s">
        <v>7901</v>
      </c>
      <c r="C8381" s="117">
        <v>459.98</v>
      </c>
    </row>
    <row r="8382" spans="1:3" x14ac:dyDescent="0.25">
      <c r="A8382" s="115">
        <v>2345606</v>
      </c>
      <c r="B8382" s="115" t="s">
        <v>7902</v>
      </c>
      <c r="C8382" s="117">
        <v>459.98</v>
      </c>
    </row>
    <row r="8383" spans="1:3" x14ac:dyDescent="0.25">
      <c r="A8383" s="115">
        <v>2345605</v>
      </c>
      <c r="B8383" s="115" t="s">
        <v>7903</v>
      </c>
      <c r="C8383" s="117">
        <v>1673.56</v>
      </c>
    </row>
    <row r="8384" spans="1:3" x14ac:dyDescent="0.25">
      <c r="A8384" s="115">
        <v>2345604</v>
      </c>
      <c r="B8384" s="115" t="s">
        <v>7904</v>
      </c>
      <c r="C8384" s="117">
        <v>1673.56</v>
      </c>
    </row>
    <row r="8385" spans="1:3" x14ac:dyDescent="0.25">
      <c r="A8385" s="115">
        <v>2345603</v>
      </c>
      <c r="B8385" s="115" t="s">
        <v>7905</v>
      </c>
      <c r="C8385" s="117">
        <v>461.13</v>
      </c>
    </row>
    <row r="8386" spans="1:3" x14ac:dyDescent="0.25">
      <c r="A8386" s="115">
        <v>2345602</v>
      </c>
      <c r="B8386" s="115" t="s">
        <v>7906</v>
      </c>
      <c r="C8386" s="117">
        <v>461.13</v>
      </c>
    </row>
    <row r="8387" spans="1:3" x14ac:dyDescent="0.25">
      <c r="A8387" s="115">
        <v>2345205</v>
      </c>
      <c r="B8387" s="115" t="s">
        <v>7907</v>
      </c>
      <c r="C8387" s="117">
        <v>1369.72</v>
      </c>
    </row>
    <row r="8388" spans="1:3" x14ac:dyDescent="0.25">
      <c r="A8388" s="115">
        <v>2345216</v>
      </c>
      <c r="B8388" s="115" t="s">
        <v>7908</v>
      </c>
      <c r="C8388" s="117">
        <v>656.56</v>
      </c>
    </row>
    <row r="8389" spans="1:3" x14ac:dyDescent="0.25">
      <c r="A8389" s="115">
        <v>2345215</v>
      </c>
      <c r="B8389" s="115" t="s">
        <v>7909</v>
      </c>
      <c r="C8389" s="117">
        <v>656.56</v>
      </c>
    </row>
    <row r="8390" spans="1:3" x14ac:dyDescent="0.25">
      <c r="A8390" s="115">
        <v>2345206</v>
      </c>
      <c r="B8390" s="115" t="s">
        <v>7910</v>
      </c>
      <c r="C8390" s="117">
        <v>1369.72</v>
      </c>
    </row>
    <row r="8391" spans="1:3" x14ac:dyDescent="0.25">
      <c r="A8391" s="115">
        <v>2345239</v>
      </c>
      <c r="B8391" s="115" t="s">
        <v>12499</v>
      </c>
      <c r="C8391" s="117">
        <v>656.56</v>
      </c>
    </row>
    <row r="8392" spans="1:3" x14ac:dyDescent="0.25">
      <c r="A8392" s="115">
        <v>2345208</v>
      </c>
      <c r="B8392" s="115" t="s">
        <v>7911</v>
      </c>
      <c r="C8392" s="117">
        <v>656.56</v>
      </c>
    </row>
    <row r="8393" spans="1:3" x14ac:dyDescent="0.25">
      <c r="A8393" s="115">
        <v>2345207</v>
      </c>
      <c r="B8393" s="115" t="s">
        <v>7912</v>
      </c>
      <c r="C8393" s="117">
        <v>656.56</v>
      </c>
    </row>
    <row r="8394" spans="1:3" x14ac:dyDescent="0.25">
      <c r="A8394" s="115">
        <v>2345247</v>
      </c>
      <c r="B8394" s="115" t="s">
        <v>12010</v>
      </c>
      <c r="C8394" s="117">
        <v>452.42</v>
      </c>
    </row>
    <row r="8395" spans="1:3" x14ac:dyDescent="0.25">
      <c r="A8395" s="115">
        <v>2345248</v>
      </c>
      <c r="B8395" s="115" t="s">
        <v>12011</v>
      </c>
      <c r="C8395" s="117">
        <v>452.42</v>
      </c>
    </row>
    <row r="8396" spans="1:3" x14ac:dyDescent="0.25">
      <c r="A8396" s="115">
        <v>2345211</v>
      </c>
      <c r="B8396" s="115" t="s">
        <v>7913</v>
      </c>
      <c r="C8396" s="117">
        <v>1369.72</v>
      </c>
    </row>
    <row r="8397" spans="1:3" x14ac:dyDescent="0.25">
      <c r="A8397" s="115">
        <v>2345214</v>
      </c>
      <c r="B8397" s="115" t="s">
        <v>7914</v>
      </c>
      <c r="C8397" s="117">
        <v>2067.9699999999998</v>
      </c>
    </row>
    <row r="8398" spans="1:3" x14ac:dyDescent="0.25">
      <c r="A8398" s="115">
        <v>2345217</v>
      </c>
      <c r="B8398" s="115" t="s">
        <v>7915</v>
      </c>
      <c r="C8398" s="117">
        <v>2067.9699999999998</v>
      </c>
    </row>
    <row r="8399" spans="1:3" x14ac:dyDescent="0.25">
      <c r="A8399" s="115">
        <v>2345270</v>
      </c>
      <c r="B8399" s="115" t="s">
        <v>12500</v>
      </c>
      <c r="C8399" s="117">
        <v>1046.9100000000001</v>
      </c>
    </row>
    <row r="8400" spans="1:3" x14ac:dyDescent="0.25">
      <c r="A8400" s="115">
        <v>2345219</v>
      </c>
      <c r="B8400" s="115" t="s">
        <v>7916</v>
      </c>
      <c r="C8400" s="117">
        <v>1033.3399999999999</v>
      </c>
    </row>
    <row r="8401" spans="1:3" x14ac:dyDescent="0.25">
      <c r="A8401" s="115">
        <v>2345271</v>
      </c>
      <c r="B8401" s="115" t="s">
        <v>11652</v>
      </c>
      <c r="C8401" s="117">
        <v>1046.9100000000001</v>
      </c>
    </row>
    <row r="8402" spans="1:3" x14ac:dyDescent="0.25">
      <c r="A8402" s="115">
        <v>2345220</v>
      </c>
      <c r="B8402" s="115" t="s">
        <v>11653</v>
      </c>
      <c r="C8402" s="117">
        <v>2019.31</v>
      </c>
    </row>
    <row r="8403" spans="1:3" x14ac:dyDescent="0.25">
      <c r="A8403" s="115">
        <v>2345218</v>
      </c>
      <c r="B8403" s="115" t="s">
        <v>11654</v>
      </c>
      <c r="C8403" s="117">
        <v>2019.31</v>
      </c>
    </row>
    <row r="8404" spans="1:3" x14ac:dyDescent="0.25">
      <c r="A8404" s="115">
        <v>2347902</v>
      </c>
      <c r="B8404" s="115" t="s">
        <v>11655</v>
      </c>
      <c r="C8404" s="117">
        <v>1886.23</v>
      </c>
    </row>
    <row r="8405" spans="1:3" x14ac:dyDescent="0.25">
      <c r="A8405" s="115">
        <v>2345210</v>
      </c>
      <c r="B8405" s="115" t="s">
        <v>11656</v>
      </c>
      <c r="C8405" s="117">
        <v>2019.31</v>
      </c>
    </row>
    <row r="8406" spans="1:3" x14ac:dyDescent="0.25">
      <c r="A8406" s="115">
        <v>2347901</v>
      </c>
      <c r="B8406" s="115" t="s">
        <v>11657</v>
      </c>
      <c r="C8406" s="117">
        <v>2219.1</v>
      </c>
    </row>
    <row r="8407" spans="1:3" x14ac:dyDescent="0.25">
      <c r="A8407" s="115">
        <v>2345209</v>
      </c>
      <c r="B8407" s="115" t="s">
        <v>11658</v>
      </c>
      <c r="C8407" s="117">
        <v>2019.31</v>
      </c>
    </row>
    <row r="8408" spans="1:3" x14ac:dyDescent="0.25">
      <c r="A8408" s="115">
        <v>2345213</v>
      </c>
      <c r="B8408" s="115" t="s">
        <v>7917</v>
      </c>
      <c r="C8408" s="117">
        <v>998.13</v>
      </c>
    </row>
    <row r="8409" spans="1:3" x14ac:dyDescent="0.25">
      <c r="A8409" s="115">
        <v>2345212</v>
      </c>
      <c r="B8409" s="115" t="s">
        <v>7918</v>
      </c>
      <c r="C8409" s="117">
        <v>998.13</v>
      </c>
    </row>
    <row r="8410" spans="1:3" x14ac:dyDescent="0.25">
      <c r="A8410" s="115">
        <v>2345204</v>
      </c>
      <c r="B8410" s="115" t="s">
        <v>7919</v>
      </c>
      <c r="C8410" s="117">
        <v>656.57</v>
      </c>
    </row>
    <row r="8411" spans="1:3" x14ac:dyDescent="0.25">
      <c r="A8411" s="115">
        <v>2345202</v>
      </c>
      <c r="B8411" s="115" t="s">
        <v>7920</v>
      </c>
      <c r="C8411" s="117">
        <v>998.13</v>
      </c>
    </row>
    <row r="8412" spans="1:3" x14ac:dyDescent="0.25">
      <c r="A8412" s="115">
        <v>2345203</v>
      </c>
      <c r="B8412" s="115" t="s">
        <v>7921</v>
      </c>
      <c r="C8412" s="117">
        <v>656.57</v>
      </c>
    </row>
    <row r="8413" spans="1:3" x14ac:dyDescent="0.25">
      <c r="A8413" s="115">
        <v>2345201</v>
      </c>
      <c r="B8413" s="115" t="s">
        <v>7922</v>
      </c>
      <c r="C8413" s="117">
        <v>998.13</v>
      </c>
    </row>
    <row r="8414" spans="1:3" x14ac:dyDescent="0.25">
      <c r="A8414" s="115">
        <v>2345981</v>
      </c>
      <c r="B8414" s="115" t="s">
        <v>7923</v>
      </c>
      <c r="C8414" s="117">
        <v>2589.14</v>
      </c>
    </row>
    <row r="8415" spans="1:3" x14ac:dyDescent="0.25">
      <c r="A8415" s="115">
        <v>2345966</v>
      </c>
      <c r="B8415" s="115" t="s">
        <v>7924</v>
      </c>
      <c r="C8415" s="117">
        <v>2589.14</v>
      </c>
    </row>
    <row r="8416" spans="1:3" x14ac:dyDescent="0.25">
      <c r="A8416" s="115">
        <v>2345992</v>
      </c>
      <c r="B8416" s="115" t="s">
        <v>7925</v>
      </c>
      <c r="C8416" s="117">
        <v>1825.51</v>
      </c>
    </row>
    <row r="8417" spans="1:3" x14ac:dyDescent="0.25">
      <c r="A8417" s="115">
        <v>2345958</v>
      </c>
      <c r="B8417" s="115" t="s">
        <v>7926</v>
      </c>
      <c r="C8417" s="117">
        <v>1628.46</v>
      </c>
    </row>
    <row r="8418" spans="1:3" x14ac:dyDescent="0.25">
      <c r="A8418" s="115">
        <v>2345973</v>
      </c>
      <c r="B8418" s="115" t="s">
        <v>7927</v>
      </c>
      <c r="C8418" s="117">
        <v>1810.64</v>
      </c>
    </row>
    <row r="8419" spans="1:3" x14ac:dyDescent="0.25">
      <c r="A8419" s="115">
        <v>2345911</v>
      </c>
      <c r="B8419" s="115" t="s">
        <v>7928</v>
      </c>
      <c r="C8419" s="117">
        <v>1810.64</v>
      </c>
    </row>
    <row r="8420" spans="1:3" x14ac:dyDescent="0.25">
      <c r="A8420" s="115">
        <v>2347802</v>
      </c>
      <c r="B8420" s="115" t="s">
        <v>7929</v>
      </c>
      <c r="C8420" s="117">
        <v>1825.51</v>
      </c>
    </row>
    <row r="8421" spans="1:3" x14ac:dyDescent="0.25">
      <c r="A8421" s="115">
        <v>2347801</v>
      </c>
      <c r="B8421" s="115" t="s">
        <v>7930</v>
      </c>
      <c r="C8421" s="117">
        <v>1825.51</v>
      </c>
    </row>
    <row r="8422" spans="1:3" x14ac:dyDescent="0.25">
      <c r="A8422" s="115">
        <v>2348202</v>
      </c>
      <c r="B8422" s="115" t="s">
        <v>11659</v>
      </c>
      <c r="C8422" s="117">
        <v>3423.67</v>
      </c>
    </row>
    <row r="8423" spans="1:3" x14ac:dyDescent="0.25">
      <c r="A8423" s="115">
        <v>2345979</v>
      </c>
      <c r="B8423" s="115" t="s">
        <v>7931</v>
      </c>
      <c r="C8423" s="117">
        <v>1392.28</v>
      </c>
    </row>
    <row r="8424" spans="1:3" x14ac:dyDescent="0.25">
      <c r="A8424" s="115">
        <v>2348201</v>
      </c>
      <c r="B8424" s="115" t="s">
        <v>11660</v>
      </c>
      <c r="C8424" s="117">
        <v>3423.67</v>
      </c>
    </row>
    <row r="8425" spans="1:3" x14ac:dyDescent="0.25">
      <c r="A8425" s="115">
        <v>2345548</v>
      </c>
      <c r="B8425" s="115" t="s">
        <v>7932</v>
      </c>
      <c r="C8425" s="117">
        <v>2231.92</v>
      </c>
    </row>
    <row r="8426" spans="1:3" x14ac:dyDescent="0.25">
      <c r="A8426" s="115">
        <v>2345542</v>
      </c>
      <c r="B8426" s="115" t="s">
        <v>7933</v>
      </c>
      <c r="C8426" s="117">
        <v>1146.77</v>
      </c>
    </row>
    <row r="8427" spans="1:3" x14ac:dyDescent="0.25">
      <c r="A8427" s="115">
        <v>2345541</v>
      </c>
      <c r="B8427" s="115" t="s">
        <v>7934</v>
      </c>
      <c r="C8427" s="117">
        <v>1146.77</v>
      </c>
    </row>
    <row r="8428" spans="1:3" x14ac:dyDescent="0.25">
      <c r="A8428" s="115">
        <v>2345519</v>
      </c>
      <c r="B8428" s="115" t="s">
        <v>7935</v>
      </c>
      <c r="C8428" s="117">
        <v>1943.19</v>
      </c>
    </row>
    <row r="8429" spans="1:3" x14ac:dyDescent="0.25">
      <c r="A8429" s="115">
        <v>2345506</v>
      </c>
      <c r="B8429" s="115" t="s">
        <v>11661</v>
      </c>
      <c r="C8429" s="117">
        <v>3423.67</v>
      </c>
    </row>
    <row r="8430" spans="1:3" x14ac:dyDescent="0.25">
      <c r="A8430" s="115">
        <v>2345507</v>
      </c>
      <c r="B8430" s="115" t="s">
        <v>11662</v>
      </c>
      <c r="C8430" s="117">
        <v>3423.67</v>
      </c>
    </row>
    <row r="8431" spans="1:3" x14ac:dyDescent="0.25">
      <c r="A8431" s="115">
        <v>2345594</v>
      </c>
      <c r="B8431" s="115" t="s">
        <v>12501</v>
      </c>
      <c r="C8431" s="117">
        <v>2140.14</v>
      </c>
    </row>
    <row r="8432" spans="1:3" x14ac:dyDescent="0.25">
      <c r="A8432" s="115">
        <v>2345502</v>
      </c>
      <c r="B8432" s="115" t="s">
        <v>7936</v>
      </c>
      <c r="C8432" s="117">
        <v>1825.51</v>
      </c>
    </row>
    <row r="8433" spans="1:3" x14ac:dyDescent="0.25">
      <c r="A8433" s="115">
        <v>2345504</v>
      </c>
      <c r="B8433" s="115" t="s">
        <v>7937</v>
      </c>
      <c r="C8433" s="117">
        <v>1146.71</v>
      </c>
    </row>
    <row r="8434" spans="1:3" x14ac:dyDescent="0.25">
      <c r="A8434" s="115">
        <v>2345501</v>
      </c>
      <c r="B8434" s="115" t="s">
        <v>7938</v>
      </c>
      <c r="C8434" s="117">
        <v>1825.51</v>
      </c>
    </row>
    <row r="8435" spans="1:3" x14ac:dyDescent="0.25">
      <c r="A8435" s="115">
        <v>2345503</v>
      </c>
      <c r="B8435" s="115" t="s">
        <v>7939</v>
      </c>
      <c r="C8435" s="117">
        <v>1146.77</v>
      </c>
    </row>
    <row r="8436" spans="1:3" x14ac:dyDescent="0.25">
      <c r="A8436" s="115">
        <v>2345508</v>
      </c>
      <c r="B8436" s="115" t="s">
        <v>12502</v>
      </c>
      <c r="C8436" s="117">
        <v>2692.67</v>
      </c>
    </row>
    <row r="8437" spans="1:3" x14ac:dyDescent="0.25">
      <c r="A8437" s="144" t="s">
        <v>7940</v>
      </c>
      <c r="B8437" s="145"/>
      <c r="C8437" s="145"/>
    </row>
    <row r="8438" spans="1:3" x14ac:dyDescent="0.25">
      <c r="A8438" s="115">
        <v>2143069</v>
      </c>
      <c r="B8438" s="115" t="s">
        <v>7941</v>
      </c>
      <c r="C8438" s="117">
        <v>669.99</v>
      </c>
    </row>
    <row r="8439" spans="1:3" x14ac:dyDescent="0.25">
      <c r="A8439" s="115">
        <v>2143073</v>
      </c>
      <c r="B8439" s="115" t="s">
        <v>7942</v>
      </c>
      <c r="C8439" s="117">
        <v>669.99</v>
      </c>
    </row>
    <row r="8440" spans="1:3" x14ac:dyDescent="0.25">
      <c r="A8440" s="115">
        <v>2143076</v>
      </c>
      <c r="B8440" s="115" t="s">
        <v>7943</v>
      </c>
      <c r="C8440" s="117">
        <v>669.99</v>
      </c>
    </row>
    <row r="8441" spans="1:3" x14ac:dyDescent="0.25">
      <c r="A8441" s="115">
        <v>2143077</v>
      </c>
      <c r="B8441" s="115" t="s">
        <v>7944</v>
      </c>
      <c r="C8441" s="117">
        <v>669.99</v>
      </c>
    </row>
    <row r="8442" spans="1:3" x14ac:dyDescent="0.25">
      <c r="A8442" s="115">
        <v>2143269</v>
      </c>
      <c r="B8442" s="115" t="s">
        <v>7945</v>
      </c>
      <c r="C8442" s="117">
        <v>1303.26</v>
      </c>
    </row>
    <row r="8443" spans="1:3" x14ac:dyDescent="0.25">
      <c r="A8443" s="115">
        <v>2143273</v>
      </c>
      <c r="B8443" s="115" t="s">
        <v>7946</v>
      </c>
      <c r="C8443" s="117">
        <v>1303.26</v>
      </c>
    </row>
    <row r="8444" spans="1:3" x14ac:dyDescent="0.25">
      <c r="A8444" s="115">
        <v>2143276</v>
      </c>
      <c r="B8444" s="115" t="s">
        <v>7947</v>
      </c>
      <c r="C8444" s="117">
        <v>1303.26</v>
      </c>
    </row>
    <row r="8445" spans="1:3" x14ac:dyDescent="0.25">
      <c r="A8445" s="115">
        <v>2141493</v>
      </c>
      <c r="B8445" s="115" t="s">
        <v>7948</v>
      </c>
      <c r="C8445" s="117">
        <v>546.66</v>
      </c>
    </row>
    <row r="8446" spans="1:3" x14ac:dyDescent="0.25">
      <c r="A8446" s="115">
        <v>2141453</v>
      </c>
      <c r="B8446" s="115" t="s">
        <v>7949</v>
      </c>
      <c r="C8446" s="117">
        <v>546.66</v>
      </c>
    </row>
    <row r="8447" spans="1:3" x14ac:dyDescent="0.25">
      <c r="A8447" s="115">
        <v>2141476</v>
      </c>
      <c r="B8447" s="115" t="s">
        <v>7950</v>
      </c>
      <c r="C8447" s="117">
        <v>546.66</v>
      </c>
    </row>
    <row r="8448" spans="1:3" x14ac:dyDescent="0.25">
      <c r="A8448" s="115">
        <v>2141593</v>
      </c>
      <c r="B8448" s="115" t="s">
        <v>7951</v>
      </c>
      <c r="C8448" s="117">
        <v>3326.79</v>
      </c>
    </row>
    <row r="8449" spans="1:3" x14ac:dyDescent="0.25">
      <c r="A8449" s="115">
        <v>2141553</v>
      </c>
      <c r="B8449" s="115" t="s">
        <v>7952</v>
      </c>
      <c r="C8449" s="117">
        <v>3279.94</v>
      </c>
    </row>
    <row r="8450" spans="1:3" x14ac:dyDescent="0.25">
      <c r="A8450" s="115">
        <v>2141576</v>
      </c>
      <c r="B8450" s="115" t="s">
        <v>7953</v>
      </c>
      <c r="C8450" s="117">
        <v>3279.94</v>
      </c>
    </row>
    <row r="8451" spans="1:3" x14ac:dyDescent="0.25">
      <c r="A8451" s="115">
        <v>2142293</v>
      </c>
      <c r="B8451" s="115" t="s">
        <v>7954</v>
      </c>
      <c r="C8451" s="117">
        <v>4576.3999999999996</v>
      </c>
    </row>
    <row r="8452" spans="1:3" x14ac:dyDescent="0.25">
      <c r="A8452" s="115">
        <v>2142253</v>
      </c>
      <c r="B8452" s="115" t="s">
        <v>7955</v>
      </c>
      <c r="C8452" s="117">
        <v>4576.3999999999996</v>
      </c>
    </row>
    <row r="8453" spans="1:3" x14ac:dyDescent="0.25">
      <c r="A8453" s="115">
        <v>2142277</v>
      </c>
      <c r="B8453" s="115" t="s">
        <v>7956</v>
      </c>
      <c r="C8453" s="117">
        <v>4576.3999999999996</v>
      </c>
    </row>
    <row r="8454" spans="1:3" x14ac:dyDescent="0.25">
      <c r="A8454" s="115">
        <v>2143164</v>
      </c>
      <c r="B8454" s="115" t="s">
        <v>7957</v>
      </c>
      <c r="C8454" s="117">
        <v>762.73</v>
      </c>
    </row>
    <row r="8455" spans="1:3" x14ac:dyDescent="0.25">
      <c r="A8455" s="115">
        <v>2143193</v>
      </c>
      <c r="B8455" s="115" t="s">
        <v>7958</v>
      </c>
      <c r="C8455" s="117">
        <v>762.73</v>
      </c>
    </row>
    <row r="8456" spans="1:3" x14ac:dyDescent="0.25">
      <c r="A8456" s="115">
        <v>2143153</v>
      </c>
      <c r="B8456" s="115" t="s">
        <v>7959</v>
      </c>
      <c r="C8456" s="117">
        <v>762.73</v>
      </c>
    </row>
    <row r="8457" spans="1:3" x14ac:dyDescent="0.25">
      <c r="A8457" s="115">
        <v>2143173</v>
      </c>
      <c r="B8457" s="115" t="s">
        <v>12503</v>
      </c>
      <c r="C8457" s="117">
        <v>762.73</v>
      </c>
    </row>
    <row r="8458" spans="1:3" x14ac:dyDescent="0.25">
      <c r="A8458" s="115">
        <v>2143177</v>
      </c>
      <c r="B8458" s="115" t="s">
        <v>7960</v>
      </c>
      <c r="C8458" s="117">
        <v>762.73</v>
      </c>
    </row>
    <row r="8459" spans="1:3" x14ac:dyDescent="0.25">
      <c r="A8459" s="115">
        <v>2143501</v>
      </c>
      <c r="B8459" s="115" t="s">
        <v>7961</v>
      </c>
      <c r="C8459" s="117">
        <v>3328.41</v>
      </c>
    </row>
    <row r="8460" spans="1:3" x14ac:dyDescent="0.25">
      <c r="A8460" s="115">
        <v>2143500</v>
      </c>
      <c r="B8460" s="115" t="s">
        <v>7962</v>
      </c>
      <c r="C8460" s="117">
        <v>381.25</v>
      </c>
    </row>
    <row r="8461" spans="1:3" x14ac:dyDescent="0.25">
      <c r="A8461" s="115">
        <v>2147315</v>
      </c>
      <c r="B8461" s="115" t="s">
        <v>12504</v>
      </c>
      <c r="C8461" s="117">
        <v>2649.3</v>
      </c>
    </row>
    <row r="8462" spans="1:3" x14ac:dyDescent="0.25">
      <c r="A8462" s="115">
        <v>2140500</v>
      </c>
      <c r="B8462" s="115" t="s">
        <v>7963</v>
      </c>
      <c r="C8462" s="117">
        <v>1277.49</v>
      </c>
    </row>
    <row r="8463" spans="1:3" x14ac:dyDescent="0.25">
      <c r="A8463" s="115">
        <v>2146537</v>
      </c>
      <c r="B8463" s="115" t="s">
        <v>7964</v>
      </c>
      <c r="C8463" s="117">
        <v>2936.3</v>
      </c>
    </row>
    <row r="8464" spans="1:3" x14ac:dyDescent="0.25">
      <c r="A8464" s="115">
        <v>2146577</v>
      </c>
      <c r="B8464" s="115" t="s">
        <v>7965</v>
      </c>
      <c r="C8464" s="117">
        <v>2936.3</v>
      </c>
    </row>
    <row r="8465" spans="1:3" x14ac:dyDescent="0.25">
      <c r="A8465" s="115">
        <v>2146569</v>
      </c>
      <c r="B8465" s="115" t="s">
        <v>7966</v>
      </c>
      <c r="C8465" s="117">
        <v>2936.3</v>
      </c>
    </row>
    <row r="8466" spans="1:3" x14ac:dyDescent="0.25">
      <c r="A8466" s="115">
        <v>2146562</v>
      </c>
      <c r="B8466" s="115" t="s">
        <v>7967</v>
      </c>
      <c r="C8466" s="117">
        <v>2936.3</v>
      </c>
    </row>
    <row r="8467" spans="1:3" x14ac:dyDescent="0.25">
      <c r="A8467" s="115">
        <v>2146105</v>
      </c>
      <c r="B8467" s="115" t="s">
        <v>7787</v>
      </c>
      <c r="C8467" s="117">
        <v>4131.1899999999996</v>
      </c>
    </row>
    <row r="8468" spans="1:3" x14ac:dyDescent="0.25">
      <c r="A8468" s="115">
        <v>2140310</v>
      </c>
      <c r="B8468" s="115" t="s">
        <v>11663</v>
      </c>
      <c r="C8468" s="117">
        <v>5485.93</v>
      </c>
    </row>
    <row r="8469" spans="1:3" x14ac:dyDescent="0.25">
      <c r="A8469" s="115">
        <v>2147200</v>
      </c>
      <c r="B8469" s="115" t="s">
        <v>11664</v>
      </c>
      <c r="C8469" s="117">
        <v>4294.7</v>
      </c>
    </row>
    <row r="8470" spans="1:3" x14ac:dyDescent="0.25">
      <c r="A8470" s="115">
        <v>2140126</v>
      </c>
      <c r="B8470" s="115" t="s">
        <v>7968</v>
      </c>
      <c r="C8470" s="117">
        <v>401.41</v>
      </c>
    </row>
    <row r="8471" spans="1:3" x14ac:dyDescent="0.25">
      <c r="A8471" s="115">
        <v>2140269</v>
      </c>
      <c r="B8471" s="115" t="s">
        <v>7969</v>
      </c>
      <c r="C8471" s="117">
        <v>735.92</v>
      </c>
    </row>
    <row r="8472" spans="1:3" x14ac:dyDescent="0.25">
      <c r="A8472" s="115">
        <v>2140169</v>
      </c>
      <c r="B8472" s="115" t="s">
        <v>7970</v>
      </c>
      <c r="C8472" s="117">
        <v>401.41</v>
      </c>
    </row>
    <row r="8473" spans="1:3" x14ac:dyDescent="0.25">
      <c r="A8473" s="115">
        <v>2140265</v>
      </c>
      <c r="B8473" s="115" t="s">
        <v>7971</v>
      </c>
      <c r="C8473" s="117">
        <v>735.92</v>
      </c>
    </row>
    <row r="8474" spans="1:3" x14ac:dyDescent="0.25">
      <c r="A8474" s="115">
        <v>2140165</v>
      </c>
      <c r="B8474" s="115" t="s">
        <v>7972</v>
      </c>
      <c r="C8474" s="117">
        <v>401.41</v>
      </c>
    </row>
    <row r="8475" spans="1:3" x14ac:dyDescent="0.25">
      <c r="A8475" s="115">
        <v>2140262</v>
      </c>
      <c r="B8475" s="115" t="s">
        <v>7973</v>
      </c>
      <c r="C8475" s="117">
        <v>735.92</v>
      </c>
    </row>
    <row r="8476" spans="1:3" x14ac:dyDescent="0.25">
      <c r="A8476" s="115">
        <v>2140162</v>
      </c>
      <c r="B8476" s="115" t="s">
        <v>7974</v>
      </c>
      <c r="C8476" s="117">
        <v>401.41</v>
      </c>
    </row>
    <row r="8477" spans="1:3" x14ac:dyDescent="0.25">
      <c r="A8477" s="115">
        <v>2140273</v>
      </c>
      <c r="B8477" s="115" t="s">
        <v>7975</v>
      </c>
      <c r="C8477" s="117">
        <v>735.92</v>
      </c>
    </row>
    <row r="8478" spans="1:3" x14ac:dyDescent="0.25">
      <c r="A8478" s="115">
        <v>2140173</v>
      </c>
      <c r="B8478" s="115" t="s">
        <v>7976</v>
      </c>
      <c r="C8478" s="117">
        <v>401.41</v>
      </c>
    </row>
    <row r="8479" spans="1:3" x14ac:dyDescent="0.25">
      <c r="A8479" s="115">
        <v>2140276</v>
      </c>
      <c r="B8479" s="115" t="s">
        <v>7977</v>
      </c>
      <c r="C8479" s="117">
        <v>735.92</v>
      </c>
    </row>
    <row r="8480" spans="1:3" x14ac:dyDescent="0.25">
      <c r="A8480" s="115">
        <v>2140176</v>
      </c>
      <c r="B8480" s="115" t="s">
        <v>7978</v>
      </c>
      <c r="C8480" s="117">
        <v>401.41</v>
      </c>
    </row>
    <row r="8481" spans="1:3" x14ac:dyDescent="0.25">
      <c r="A8481" s="115">
        <v>2147054</v>
      </c>
      <c r="B8481" s="115" t="s">
        <v>7979</v>
      </c>
      <c r="C8481" s="117">
        <v>3511.56</v>
      </c>
    </row>
    <row r="8482" spans="1:3" x14ac:dyDescent="0.25">
      <c r="A8482" s="115">
        <v>2147069</v>
      </c>
      <c r="B8482" s="115" t="s">
        <v>7980</v>
      </c>
      <c r="C8482" s="117">
        <v>3511.56</v>
      </c>
    </row>
    <row r="8483" spans="1:3" x14ac:dyDescent="0.25">
      <c r="A8483" s="115">
        <v>2147062</v>
      </c>
      <c r="B8483" s="115" t="s">
        <v>7981</v>
      </c>
      <c r="C8483" s="117">
        <v>3511.56</v>
      </c>
    </row>
    <row r="8484" spans="1:3" x14ac:dyDescent="0.25">
      <c r="A8484" s="115">
        <v>2147076</v>
      </c>
      <c r="B8484" s="115" t="s">
        <v>7982</v>
      </c>
      <c r="C8484" s="117">
        <v>3511.56</v>
      </c>
    </row>
    <row r="8485" spans="1:3" x14ac:dyDescent="0.25">
      <c r="A8485" s="115">
        <v>2147077</v>
      </c>
      <c r="B8485" s="115" t="s">
        <v>7983</v>
      </c>
      <c r="C8485" s="117">
        <v>3511.56</v>
      </c>
    </row>
    <row r="8486" spans="1:3" x14ac:dyDescent="0.25">
      <c r="A8486" s="115">
        <v>2147154</v>
      </c>
      <c r="B8486" s="115" t="s">
        <v>7984</v>
      </c>
      <c r="C8486" s="117">
        <v>2574.65</v>
      </c>
    </row>
    <row r="8487" spans="1:3" x14ac:dyDescent="0.25">
      <c r="A8487" s="115">
        <v>2147169</v>
      </c>
      <c r="B8487" s="115" t="s">
        <v>7985</v>
      </c>
      <c r="C8487" s="117">
        <v>2574.65</v>
      </c>
    </row>
    <row r="8488" spans="1:3" x14ac:dyDescent="0.25">
      <c r="A8488" s="115">
        <v>2147162</v>
      </c>
      <c r="B8488" s="115" t="s">
        <v>7986</v>
      </c>
      <c r="C8488" s="117">
        <v>2574.65</v>
      </c>
    </row>
    <row r="8489" spans="1:3" x14ac:dyDescent="0.25">
      <c r="A8489" s="115">
        <v>2147176</v>
      </c>
      <c r="B8489" s="115" t="s">
        <v>7987</v>
      </c>
      <c r="C8489" s="117">
        <v>2574.65</v>
      </c>
    </row>
    <row r="8490" spans="1:3" x14ac:dyDescent="0.25">
      <c r="A8490" s="115">
        <v>2147177</v>
      </c>
      <c r="B8490" s="115" t="s">
        <v>7988</v>
      </c>
      <c r="C8490" s="117">
        <v>2574.65</v>
      </c>
    </row>
    <row r="8491" spans="1:3" x14ac:dyDescent="0.25">
      <c r="A8491" s="115">
        <v>2141900</v>
      </c>
      <c r="B8491" s="115" t="s">
        <v>7989</v>
      </c>
      <c r="C8491" s="117">
        <v>853.11</v>
      </c>
    </row>
    <row r="8492" spans="1:3" x14ac:dyDescent="0.25">
      <c r="A8492" s="115">
        <v>2145662</v>
      </c>
      <c r="B8492" s="115" t="s">
        <v>7990</v>
      </c>
      <c r="C8492" s="117">
        <v>949.05</v>
      </c>
    </row>
    <row r="8493" spans="1:3" x14ac:dyDescent="0.25">
      <c r="A8493" s="115">
        <v>2145676</v>
      </c>
      <c r="B8493" s="115" t="s">
        <v>7991</v>
      </c>
      <c r="C8493" s="117">
        <v>949.05</v>
      </c>
    </row>
    <row r="8494" spans="1:3" x14ac:dyDescent="0.25">
      <c r="A8494" s="115">
        <v>2142000</v>
      </c>
      <c r="B8494" s="115" t="s">
        <v>7992</v>
      </c>
      <c r="C8494" s="117">
        <v>525.16999999999996</v>
      </c>
    </row>
    <row r="8495" spans="1:3" x14ac:dyDescent="0.25">
      <c r="A8495" s="115">
        <v>2141912</v>
      </c>
      <c r="B8495" s="115" t="s">
        <v>7993</v>
      </c>
      <c r="C8495" s="117">
        <v>343.51</v>
      </c>
    </row>
    <row r="8496" spans="1:3" x14ac:dyDescent="0.25">
      <c r="A8496" s="115">
        <v>2140615</v>
      </c>
      <c r="B8496" s="115" t="s">
        <v>11665</v>
      </c>
      <c r="C8496" s="117">
        <v>8367.23</v>
      </c>
    </row>
    <row r="8497" spans="1:3" x14ac:dyDescent="0.25">
      <c r="A8497" s="115">
        <v>2140601</v>
      </c>
      <c r="B8497" s="115" t="s">
        <v>7994</v>
      </c>
      <c r="C8497" s="117">
        <v>5234.88</v>
      </c>
    </row>
    <row r="8498" spans="1:3" x14ac:dyDescent="0.25">
      <c r="A8498" s="115">
        <v>2141769</v>
      </c>
      <c r="B8498" s="115" t="s">
        <v>7995</v>
      </c>
      <c r="C8498" s="117">
        <v>911.53</v>
      </c>
    </row>
    <row r="8499" spans="1:3" x14ac:dyDescent="0.25">
      <c r="A8499" s="115">
        <v>2141762</v>
      </c>
      <c r="B8499" s="115" t="s">
        <v>7996</v>
      </c>
      <c r="C8499" s="117">
        <v>911.53</v>
      </c>
    </row>
    <row r="8500" spans="1:3" x14ac:dyDescent="0.25">
      <c r="A8500" s="115">
        <v>2141776</v>
      </c>
      <c r="B8500" s="115" t="s">
        <v>7997</v>
      </c>
      <c r="C8500" s="117">
        <v>911.53</v>
      </c>
    </row>
    <row r="8501" spans="1:3" x14ac:dyDescent="0.25">
      <c r="A8501" s="115">
        <v>2141869</v>
      </c>
      <c r="B8501" s="115" t="s">
        <v>7998</v>
      </c>
      <c r="C8501" s="117">
        <v>1481.64</v>
      </c>
    </row>
    <row r="8502" spans="1:3" x14ac:dyDescent="0.25">
      <c r="A8502" s="115">
        <v>2141862</v>
      </c>
      <c r="B8502" s="115" t="s">
        <v>7999</v>
      </c>
      <c r="C8502" s="117">
        <v>1481.64</v>
      </c>
    </row>
    <row r="8503" spans="1:3" x14ac:dyDescent="0.25">
      <c r="A8503" s="115">
        <v>2141876</v>
      </c>
      <c r="B8503" s="115" t="s">
        <v>8000</v>
      </c>
      <c r="C8503" s="117">
        <v>1481.64</v>
      </c>
    </row>
    <row r="8504" spans="1:3" x14ac:dyDescent="0.25">
      <c r="A8504" s="115">
        <v>2140320</v>
      </c>
      <c r="B8504" s="115" t="s">
        <v>8001</v>
      </c>
      <c r="C8504" s="117">
        <v>407.1</v>
      </c>
    </row>
    <row r="8505" spans="1:3" x14ac:dyDescent="0.25">
      <c r="A8505" s="115">
        <v>2140306</v>
      </c>
      <c r="B8505" s="115" t="s">
        <v>8002</v>
      </c>
      <c r="C8505" s="117">
        <v>257.01</v>
      </c>
    </row>
    <row r="8506" spans="1:3" x14ac:dyDescent="0.25">
      <c r="A8506" s="115">
        <v>2140360</v>
      </c>
      <c r="B8506" s="115" t="s">
        <v>8003</v>
      </c>
      <c r="C8506" s="117">
        <v>1217.6099999999999</v>
      </c>
    </row>
    <row r="8507" spans="1:3" x14ac:dyDescent="0.25">
      <c r="A8507" s="115">
        <v>2141200</v>
      </c>
      <c r="B8507" s="115" t="s">
        <v>8004</v>
      </c>
      <c r="C8507" s="117">
        <v>1001.13</v>
      </c>
    </row>
    <row r="8508" spans="1:3" x14ac:dyDescent="0.25">
      <c r="A8508" s="115">
        <v>2141300</v>
      </c>
      <c r="B8508" s="115" t="s">
        <v>8005</v>
      </c>
      <c r="C8508" s="117">
        <v>1284.0899999999999</v>
      </c>
    </row>
    <row r="8509" spans="1:3" x14ac:dyDescent="0.25">
      <c r="A8509" s="115">
        <v>2141100</v>
      </c>
      <c r="B8509" s="115" t="s">
        <v>8006</v>
      </c>
      <c r="C8509" s="117">
        <v>879.32</v>
      </c>
    </row>
    <row r="8510" spans="1:3" x14ac:dyDescent="0.25">
      <c r="A8510" s="115">
        <v>2146206</v>
      </c>
      <c r="B8510" s="115" t="s">
        <v>8007</v>
      </c>
      <c r="C8510" s="117">
        <v>1218.06</v>
      </c>
    </row>
    <row r="8511" spans="1:3" x14ac:dyDescent="0.25">
      <c r="A8511" s="115">
        <v>2140000</v>
      </c>
      <c r="B8511" s="115" t="s">
        <v>8009</v>
      </c>
      <c r="C8511" s="117">
        <v>1013.97</v>
      </c>
    </row>
    <row r="8512" spans="1:3" x14ac:dyDescent="0.25">
      <c r="A8512" s="115">
        <v>2142900</v>
      </c>
      <c r="B8512" s="115" t="s">
        <v>8010</v>
      </c>
      <c r="C8512" s="117">
        <v>6004.57</v>
      </c>
    </row>
    <row r="8513" spans="1:3" x14ac:dyDescent="0.25">
      <c r="A8513" s="144" t="s">
        <v>8011</v>
      </c>
      <c r="B8513" s="145"/>
      <c r="C8513" s="145"/>
    </row>
    <row r="8514" spans="1:3" x14ac:dyDescent="0.25">
      <c r="A8514" s="115">
        <v>2420469</v>
      </c>
      <c r="B8514" s="115" t="s">
        <v>8012</v>
      </c>
      <c r="C8514" s="117">
        <v>10768.63</v>
      </c>
    </row>
    <row r="8515" spans="1:3" x14ac:dyDescent="0.25">
      <c r="A8515" s="115">
        <v>2420462</v>
      </c>
      <c r="B8515" s="115" t="s">
        <v>8013</v>
      </c>
      <c r="C8515" s="117">
        <v>1794.77</v>
      </c>
    </row>
    <row r="8516" spans="1:3" x14ac:dyDescent="0.25">
      <c r="A8516" s="115">
        <v>2420476</v>
      </c>
      <c r="B8516" s="115" t="s">
        <v>8014</v>
      </c>
      <c r="C8516" s="117">
        <v>10768.63</v>
      </c>
    </row>
    <row r="8517" spans="1:3" x14ac:dyDescent="0.25">
      <c r="A8517" s="115">
        <v>2420376</v>
      </c>
      <c r="B8517" s="115" t="s">
        <v>8015</v>
      </c>
      <c r="C8517" s="117">
        <v>834.58</v>
      </c>
    </row>
    <row r="8518" spans="1:3" x14ac:dyDescent="0.25">
      <c r="A8518" s="115">
        <v>2420769</v>
      </c>
      <c r="B8518" s="115" t="s">
        <v>8016</v>
      </c>
      <c r="C8518" s="117">
        <v>469</v>
      </c>
    </row>
    <row r="8519" spans="1:3" x14ac:dyDescent="0.25">
      <c r="A8519" s="115">
        <v>2420765</v>
      </c>
      <c r="B8519" s="115" t="s">
        <v>8017</v>
      </c>
      <c r="C8519" s="117">
        <v>469</v>
      </c>
    </row>
    <row r="8520" spans="1:3" x14ac:dyDescent="0.25">
      <c r="A8520" s="115">
        <v>2420762</v>
      </c>
      <c r="B8520" s="115" t="s">
        <v>8018</v>
      </c>
      <c r="C8520" s="117">
        <v>469</v>
      </c>
    </row>
    <row r="8521" spans="1:3" x14ac:dyDescent="0.25">
      <c r="A8521" s="115">
        <v>2429262</v>
      </c>
      <c r="B8521" s="115" t="s">
        <v>12012</v>
      </c>
      <c r="C8521" s="117">
        <v>8014.28</v>
      </c>
    </row>
    <row r="8522" spans="1:3" x14ac:dyDescent="0.25">
      <c r="A8522" s="115">
        <v>2428762</v>
      </c>
      <c r="B8522" s="115" t="s">
        <v>8019</v>
      </c>
      <c r="C8522" s="117">
        <v>6602.19</v>
      </c>
    </row>
    <row r="8523" spans="1:3" x14ac:dyDescent="0.25">
      <c r="A8523" s="115">
        <v>2428778</v>
      </c>
      <c r="B8523" s="115" t="s">
        <v>8020</v>
      </c>
      <c r="C8523" s="117">
        <v>5138.55</v>
      </c>
    </row>
    <row r="8524" spans="1:3" x14ac:dyDescent="0.25">
      <c r="A8524" s="115">
        <v>2428776</v>
      </c>
      <c r="B8524" s="115" t="s">
        <v>8021</v>
      </c>
      <c r="C8524" s="117">
        <v>5138.55</v>
      </c>
    </row>
    <row r="8525" spans="1:3" x14ac:dyDescent="0.25">
      <c r="A8525" s="115">
        <v>2429569</v>
      </c>
      <c r="B8525" s="115" t="s">
        <v>8022</v>
      </c>
      <c r="C8525" s="117">
        <v>1421.43</v>
      </c>
    </row>
    <row r="8526" spans="1:3" x14ac:dyDescent="0.25">
      <c r="A8526" s="115">
        <v>2429577</v>
      </c>
      <c r="B8526" s="115" t="s">
        <v>8023</v>
      </c>
      <c r="C8526" s="117">
        <v>1421.43</v>
      </c>
    </row>
    <row r="8527" spans="1:3" x14ac:dyDescent="0.25">
      <c r="A8527" s="115">
        <v>2429862</v>
      </c>
      <c r="B8527" s="115" t="s">
        <v>8024</v>
      </c>
      <c r="C8527" s="117">
        <v>915.02</v>
      </c>
    </row>
    <row r="8528" spans="1:3" x14ac:dyDescent="0.25">
      <c r="A8528" s="115">
        <v>2429839</v>
      </c>
      <c r="B8528" s="115" t="s">
        <v>8025</v>
      </c>
      <c r="C8528" s="117">
        <v>915.02</v>
      </c>
    </row>
    <row r="8529" spans="1:3" x14ac:dyDescent="0.25">
      <c r="A8529" s="115">
        <v>2429439</v>
      </c>
      <c r="B8529" s="115" t="s">
        <v>8026</v>
      </c>
      <c r="C8529" s="117">
        <v>281.48</v>
      </c>
    </row>
    <row r="8530" spans="1:3" x14ac:dyDescent="0.25">
      <c r="A8530" s="115">
        <v>2429465</v>
      </c>
      <c r="B8530" s="115" t="s">
        <v>8027</v>
      </c>
      <c r="C8530" s="117">
        <v>281.48</v>
      </c>
    </row>
    <row r="8531" spans="1:3" x14ac:dyDescent="0.25">
      <c r="A8531" s="115">
        <v>2429469</v>
      </c>
      <c r="B8531" s="115" t="s">
        <v>8028</v>
      </c>
      <c r="C8531" s="117">
        <v>281.48</v>
      </c>
    </row>
    <row r="8532" spans="1:3" x14ac:dyDescent="0.25">
      <c r="A8532" s="115">
        <v>2429462</v>
      </c>
      <c r="B8532" s="115" t="s">
        <v>8029</v>
      </c>
      <c r="C8532" s="117">
        <v>281.48</v>
      </c>
    </row>
    <row r="8533" spans="1:3" x14ac:dyDescent="0.25">
      <c r="A8533" s="115">
        <v>2429488</v>
      </c>
      <c r="B8533" s="115" t="s">
        <v>8030</v>
      </c>
      <c r="C8533" s="117">
        <v>281.48</v>
      </c>
    </row>
    <row r="8534" spans="1:3" x14ac:dyDescent="0.25">
      <c r="A8534" s="115">
        <v>2429865</v>
      </c>
      <c r="B8534" s="115" t="s">
        <v>8031</v>
      </c>
      <c r="C8534" s="117">
        <v>915.02</v>
      </c>
    </row>
    <row r="8535" spans="1:3" x14ac:dyDescent="0.25">
      <c r="A8535" s="115">
        <v>2429869</v>
      </c>
      <c r="B8535" s="115" t="s">
        <v>8032</v>
      </c>
      <c r="C8535" s="117">
        <v>915.02</v>
      </c>
    </row>
    <row r="8536" spans="1:3" x14ac:dyDescent="0.25">
      <c r="A8536" s="115">
        <v>2428469</v>
      </c>
      <c r="B8536" s="115" t="s">
        <v>8033</v>
      </c>
      <c r="C8536" s="117">
        <v>1091.69</v>
      </c>
    </row>
    <row r="8537" spans="1:3" x14ac:dyDescent="0.25">
      <c r="A8537" s="115">
        <v>2420969</v>
      </c>
      <c r="B8537" s="115" t="s">
        <v>8034</v>
      </c>
      <c r="C8537" s="117">
        <v>330.14</v>
      </c>
    </row>
    <row r="8538" spans="1:3" x14ac:dyDescent="0.25">
      <c r="A8538" s="115">
        <v>2428465</v>
      </c>
      <c r="B8538" s="115" t="s">
        <v>8035</v>
      </c>
      <c r="C8538" s="117">
        <v>1091.69</v>
      </c>
    </row>
    <row r="8539" spans="1:3" x14ac:dyDescent="0.25">
      <c r="A8539" s="115">
        <v>2420965</v>
      </c>
      <c r="B8539" s="115" t="s">
        <v>8036</v>
      </c>
      <c r="C8539" s="117">
        <v>330.14</v>
      </c>
    </row>
    <row r="8540" spans="1:3" x14ac:dyDescent="0.25">
      <c r="A8540" s="115">
        <v>2428462</v>
      </c>
      <c r="B8540" s="115" t="s">
        <v>8037</v>
      </c>
      <c r="C8540" s="117">
        <v>1091.69</v>
      </c>
    </row>
    <row r="8541" spans="1:3" x14ac:dyDescent="0.25">
      <c r="A8541" s="115">
        <v>2420962</v>
      </c>
      <c r="B8541" s="115" t="s">
        <v>8038</v>
      </c>
      <c r="C8541" s="117">
        <v>330.14</v>
      </c>
    </row>
    <row r="8542" spans="1:3" x14ac:dyDescent="0.25">
      <c r="A8542" s="115">
        <v>2424026</v>
      </c>
      <c r="B8542" s="115" t="s">
        <v>8039</v>
      </c>
      <c r="C8542" s="117">
        <v>207</v>
      </c>
    </row>
    <row r="8543" spans="1:3" x14ac:dyDescent="0.25">
      <c r="A8543" s="115">
        <v>2424038</v>
      </c>
      <c r="B8543" s="115" t="s">
        <v>8040</v>
      </c>
      <c r="C8543" s="117">
        <v>3726.02</v>
      </c>
    </row>
    <row r="8544" spans="1:3" x14ac:dyDescent="0.25">
      <c r="A8544" s="115">
        <v>2424054</v>
      </c>
      <c r="B8544" s="115" t="s">
        <v>12505</v>
      </c>
      <c r="C8544" s="117">
        <v>266.14</v>
      </c>
    </row>
    <row r="8545" spans="1:3" x14ac:dyDescent="0.25">
      <c r="A8545" s="115">
        <v>2424069</v>
      </c>
      <c r="B8545" s="115" t="s">
        <v>8041</v>
      </c>
      <c r="C8545" s="117">
        <v>207</v>
      </c>
    </row>
    <row r="8546" spans="1:3" x14ac:dyDescent="0.25">
      <c r="A8546" s="115">
        <v>2424065</v>
      </c>
      <c r="B8546" s="115" t="s">
        <v>8042</v>
      </c>
      <c r="C8546" s="117">
        <v>266.14</v>
      </c>
    </row>
    <row r="8547" spans="1:3" x14ac:dyDescent="0.25">
      <c r="A8547" s="115">
        <v>2424062</v>
      </c>
      <c r="B8547" s="115" t="s">
        <v>8043</v>
      </c>
      <c r="C8547" s="117">
        <v>207</v>
      </c>
    </row>
    <row r="8548" spans="1:3" x14ac:dyDescent="0.25">
      <c r="A8548" s="115">
        <v>2424022</v>
      </c>
      <c r="B8548" s="115" t="s">
        <v>12506</v>
      </c>
      <c r="C8548" s="117">
        <v>207</v>
      </c>
    </row>
    <row r="8549" spans="1:3" x14ac:dyDescent="0.25">
      <c r="A8549" s="115">
        <v>2424064</v>
      </c>
      <c r="B8549" s="115" t="s">
        <v>8044</v>
      </c>
      <c r="C8549" s="117">
        <v>3726.02</v>
      </c>
    </row>
    <row r="8550" spans="1:3" x14ac:dyDescent="0.25">
      <c r="A8550" s="115">
        <v>2424053</v>
      </c>
      <c r="B8550" s="115" t="s">
        <v>8045</v>
      </c>
      <c r="C8550" s="117">
        <v>207</v>
      </c>
    </row>
    <row r="8551" spans="1:3" x14ac:dyDescent="0.25">
      <c r="A8551" s="115">
        <v>2429039</v>
      </c>
      <c r="B8551" s="115" t="s">
        <v>11666</v>
      </c>
      <c r="C8551" s="117">
        <v>933.26</v>
      </c>
    </row>
    <row r="8552" spans="1:3" x14ac:dyDescent="0.25">
      <c r="A8552" s="115">
        <v>2426065</v>
      </c>
      <c r="B8552" s="115" t="s">
        <v>8046</v>
      </c>
      <c r="C8552" s="117">
        <v>933.26</v>
      </c>
    </row>
    <row r="8553" spans="1:3" x14ac:dyDescent="0.25">
      <c r="A8553" s="115">
        <v>2426093</v>
      </c>
      <c r="B8553" s="115" t="s">
        <v>8047</v>
      </c>
      <c r="C8553" s="117">
        <v>933.26</v>
      </c>
    </row>
    <row r="8554" spans="1:3" x14ac:dyDescent="0.25">
      <c r="A8554" s="115">
        <v>2426053</v>
      </c>
      <c r="B8554" s="115" t="s">
        <v>8048</v>
      </c>
      <c r="C8554" s="117">
        <v>933.26</v>
      </c>
    </row>
    <row r="8555" spans="1:3" x14ac:dyDescent="0.25">
      <c r="A8555" s="115">
        <v>2426339</v>
      </c>
      <c r="B8555" s="115" t="s">
        <v>11667</v>
      </c>
      <c r="C8555" s="117">
        <v>713.96</v>
      </c>
    </row>
    <row r="8556" spans="1:3" x14ac:dyDescent="0.25">
      <c r="A8556" s="115">
        <v>2426360</v>
      </c>
      <c r="B8556" s="115" t="s">
        <v>8049</v>
      </c>
      <c r="C8556" s="117">
        <v>713.96</v>
      </c>
    </row>
    <row r="8557" spans="1:3" x14ac:dyDescent="0.25">
      <c r="A8557" s="115">
        <v>2426393</v>
      </c>
      <c r="B8557" s="115" t="s">
        <v>8050</v>
      </c>
      <c r="C8557" s="117">
        <v>713.96</v>
      </c>
    </row>
    <row r="8558" spans="1:3" x14ac:dyDescent="0.25">
      <c r="A8558" s="115">
        <v>2426353</v>
      </c>
      <c r="B8558" s="115" t="s">
        <v>8051</v>
      </c>
      <c r="C8558" s="117">
        <v>713.96</v>
      </c>
    </row>
    <row r="8559" spans="1:3" x14ac:dyDescent="0.25">
      <c r="A8559" s="115">
        <v>2426239</v>
      </c>
      <c r="B8559" s="115" t="s">
        <v>11668</v>
      </c>
      <c r="C8559" s="117">
        <v>256.83</v>
      </c>
    </row>
    <row r="8560" spans="1:3" x14ac:dyDescent="0.25">
      <c r="A8560" s="115">
        <v>2426265</v>
      </c>
      <c r="B8560" s="115" t="s">
        <v>8052</v>
      </c>
      <c r="C8560" s="117">
        <v>256.83</v>
      </c>
    </row>
    <row r="8561" spans="1:3" x14ac:dyDescent="0.25">
      <c r="A8561" s="115">
        <v>2426293</v>
      </c>
      <c r="B8561" s="115" t="s">
        <v>8053</v>
      </c>
      <c r="C8561" s="117">
        <v>256.83</v>
      </c>
    </row>
    <row r="8562" spans="1:3" x14ac:dyDescent="0.25">
      <c r="A8562" s="115">
        <v>2426253</v>
      </c>
      <c r="B8562" s="115" t="s">
        <v>8054</v>
      </c>
      <c r="C8562" s="117">
        <v>256.83</v>
      </c>
    </row>
    <row r="8563" spans="1:3" x14ac:dyDescent="0.25">
      <c r="A8563" s="115">
        <v>2421564</v>
      </c>
      <c r="B8563" s="115" t="s">
        <v>8055</v>
      </c>
      <c r="C8563" s="117">
        <v>219.02</v>
      </c>
    </row>
    <row r="8564" spans="1:3" x14ac:dyDescent="0.25">
      <c r="A8564" s="115">
        <v>2421569</v>
      </c>
      <c r="B8564" s="115" t="s">
        <v>8056</v>
      </c>
      <c r="C8564" s="117">
        <v>219.02</v>
      </c>
    </row>
    <row r="8565" spans="1:3" x14ac:dyDescent="0.25">
      <c r="A8565" s="115">
        <v>2421562</v>
      </c>
      <c r="B8565" s="115" t="s">
        <v>8057</v>
      </c>
      <c r="C8565" s="117">
        <v>219.02</v>
      </c>
    </row>
    <row r="8566" spans="1:3" x14ac:dyDescent="0.25">
      <c r="A8566" s="115">
        <v>2421365</v>
      </c>
      <c r="B8566" s="115" t="s">
        <v>8058</v>
      </c>
      <c r="C8566" s="117">
        <v>1136.48</v>
      </c>
    </row>
    <row r="8567" spans="1:3" x14ac:dyDescent="0.25">
      <c r="A8567" s="115">
        <v>2421369</v>
      </c>
      <c r="B8567" s="115" t="s">
        <v>8059</v>
      </c>
      <c r="C8567" s="117">
        <v>1136.48</v>
      </c>
    </row>
    <row r="8568" spans="1:3" x14ac:dyDescent="0.25">
      <c r="A8568" s="115">
        <v>2421362</v>
      </c>
      <c r="B8568" s="115" t="s">
        <v>8060</v>
      </c>
      <c r="C8568" s="117">
        <v>1136.48</v>
      </c>
    </row>
    <row r="8569" spans="1:3" x14ac:dyDescent="0.25">
      <c r="A8569" s="115">
        <v>2421439</v>
      </c>
      <c r="B8569" s="115" t="s">
        <v>8061</v>
      </c>
      <c r="C8569" s="117">
        <v>335.61</v>
      </c>
    </row>
    <row r="8570" spans="1:3" x14ac:dyDescent="0.25">
      <c r="A8570" s="115">
        <v>2421465</v>
      </c>
      <c r="B8570" s="115" t="s">
        <v>8062</v>
      </c>
      <c r="C8570" s="117">
        <v>335.61</v>
      </c>
    </row>
    <row r="8571" spans="1:3" x14ac:dyDescent="0.25">
      <c r="A8571" s="115">
        <v>2421469</v>
      </c>
      <c r="B8571" s="115" t="s">
        <v>8063</v>
      </c>
      <c r="C8571" s="117">
        <v>335.61</v>
      </c>
    </row>
    <row r="8572" spans="1:3" x14ac:dyDescent="0.25">
      <c r="A8572" s="115">
        <v>2421462</v>
      </c>
      <c r="B8572" s="115" t="s">
        <v>8064</v>
      </c>
      <c r="C8572" s="117">
        <v>335.61</v>
      </c>
    </row>
    <row r="8573" spans="1:3" x14ac:dyDescent="0.25">
      <c r="A8573" s="115">
        <v>2429062</v>
      </c>
      <c r="B8573" s="115" t="s">
        <v>8065</v>
      </c>
      <c r="C8573" s="117">
        <v>1451.6</v>
      </c>
    </row>
    <row r="8574" spans="1:3" x14ac:dyDescent="0.25">
      <c r="A8574" s="115">
        <v>2429065</v>
      </c>
      <c r="B8574" s="115" t="s">
        <v>8066</v>
      </c>
      <c r="C8574" s="117">
        <v>1451.6</v>
      </c>
    </row>
    <row r="8575" spans="1:3" x14ac:dyDescent="0.25">
      <c r="A8575" s="115">
        <v>2421639</v>
      </c>
      <c r="B8575" s="115" t="s">
        <v>8067</v>
      </c>
      <c r="C8575" s="117">
        <v>1136.48</v>
      </c>
    </row>
    <row r="8576" spans="1:3" x14ac:dyDescent="0.25">
      <c r="A8576" s="115">
        <v>2421680</v>
      </c>
      <c r="B8576" s="115" t="s">
        <v>8068</v>
      </c>
      <c r="C8576" s="117">
        <v>1136.48</v>
      </c>
    </row>
    <row r="8577" spans="1:3" x14ac:dyDescent="0.25">
      <c r="A8577" s="115">
        <v>2421665</v>
      </c>
      <c r="B8577" s="115" t="s">
        <v>8069</v>
      </c>
      <c r="C8577" s="117">
        <v>1136.48</v>
      </c>
    </row>
    <row r="8578" spans="1:3" x14ac:dyDescent="0.25">
      <c r="A8578" s="115">
        <v>2421669</v>
      </c>
      <c r="B8578" s="115" t="s">
        <v>8070</v>
      </c>
      <c r="C8578" s="117">
        <v>1136.48</v>
      </c>
    </row>
    <row r="8579" spans="1:3" x14ac:dyDescent="0.25">
      <c r="A8579" s="115">
        <v>2421662</v>
      </c>
      <c r="B8579" s="115" t="s">
        <v>8071</v>
      </c>
      <c r="C8579" s="117">
        <v>1136.48</v>
      </c>
    </row>
    <row r="8580" spans="1:3" x14ac:dyDescent="0.25">
      <c r="A8580" s="115">
        <v>2421673</v>
      </c>
      <c r="B8580" s="115" t="s">
        <v>8072</v>
      </c>
      <c r="C8580" s="117">
        <v>1136.48</v>
      </c>
    </row>
    <row r="8581" spans="1:3" x14ac:dyDescent="0.25">
      <c r="A8581" s="115">
        <v>2421839</v>
      </c>
      <c r="B8581" s="115" t="s">
        <v>8073</v>
      </c>
      <c r="C8581" s="117">
        <v>335.61</v>
      </c>
    </row>
    <row r="8582" spans="1:3" x14ac:dyDescent="0.25">
      <c r="A8582" s="115">
        <v>2421837</v>
      </c>
      <c r="B8582" s="115" t="s">
        <v>8074</v>
      </c>
      <c r="C8582" s="117">
        <v>335.61</v>
      </c>
    </row>
    <row r="8583" spans="1:3" x14ac:dyDescent="0.25">
      <c r="A8583" s="115">
        <v>2421865</v>
      </c>
      <c r="B8583" s="115" t="s">
        <v>8075</v>
      </c>
      <c r="C8583" s="117">
        <v>335.61</v>
      </c>
    </row>
    <row r="8584" spans="1:3" x14ac:dyDescent="0.25">
      <c r="A8584" s="115">
        <v>2421869</v>
      </c>
      <c r="B8584" s="115" t="s">
        <v>8076</v>
      </c>
      <c r="C8584" s="117">
        <v>335.61</v>
      </c>
    </row>
    <row r="8585" spans="1:3" x14ac:dyDescent="0.25">
      <c r="A8585" s="115">
        <v>2421863</v>
      </c>
      <c r="B8585" s="115" t="s">
        <v>8077</v>
      </c>
      <c r="C8585" s="117">
        <v>335.61</v>
      </c>
    </row>
    <row r="8586" spans="1:3" x14ac:dyDescent="0.25">
      <c r="A8586" s="115">
        <v>2421862</v>
      </c>
      <c r="B8586" s="115" t="s">
        <v>8078</v>
      </c>
      <c r="C8586" s="117">
        <v>335.61</v>
      </c>
    </row>
    <row r="8587" spans="1:3" x14ac:dyDescent="0.25">
      <c r="A8587" s="115">
        <v>2421873</v>
      </c>
      <c r="B8587" s="115" t="s">
        <v>8079</v>
      </c>
      <c r="C8587" s="117">
        <v>335.61</v>
      </c>
    </row>
    <row r="8588" spans="1:3" x14ac:dyDescent="0.25">
      <c r="A8588" s="115">
        <v>2424226</v>
      </c>
      <c r="B8588" s="115" t="s">
        <v>8080</v>
      </c>
      <c r="C8588" s="117">
        <v>3888.02</v>
      </c>
    </row>
    <row r="8589" spans="1:3" x14ac:dyDescent="0.25">
      <c r="A8589" s="115">
        <v>2424254</v>
      </c>
      <c r="B8589" s="115" t="s">
        <v>12507</v>
      </c>
      <c r="C8589" s="117">
        <v>216</v>
      </c>
    </row>
    <row r="8590" spans="1:3" x14ac:dyDescent="0.25">
      <c r="A8590" s="115">
        <v>2424269</v>
      </c>
      <c r="B8590" s="115" t="s">
        <v>8081</v>
      </c>
      <c r="C8590" s="117">
        <v>216</v>
      </c>
    </row>
    <row r="8591" spans="1:3" x14ac:dyDescent="0.25">
      <c r="A8591" s="115">
        <v>2424270</v>
      </c>
      <c r="B8591" s="115" t="s">
        <v>8082</v>
      </c>
      <c r="C8591" s="117">
        <v>3888.02</v>
      </c>
    </row>
    <row r="8592" spans="1:3" x14ac:dyDescent="0.25">
      <c r="A8592" s="115">
        <v>2424262</v>
      </c>
      <c r="B8592" s="115" t="s">
        <v>8083</v>
      </c>
      <c r="C8592" s="117">
        <v>216</v>
      </c>
    </row>
    <row r="8593" spans="1:3" x14ac:dyDescent="0.25">
      <c r="A8593" s="115">
        <v>2424253</v>
      </c>
      <c r="B8593" s="115" t="s">
        <v>12508</v>
      </c>
      <c r="C8593" s="117">
        <v>216</v>
      </c>
    </row>
    <row r="8594" spans="1:3" x14ac:dyDescent="0.25">
      <c r="A8594" s="115">
        <v>2424276</v>
      </c>
      <c r="B8594" s="115" t="s">
        <v>11669</v>
      </c>
      <c r="C8594" s="117">
        <v>3566.99</v>
      </c>
    </row>
    <row r="8595" spans="1:3" x14ac:dyDescent="0.25">
      <c r="A8595" s="115">
        <v>2424277</v>
      </c>
      <c r="B8595" s="115" t="s">
        <v>12509</v>
      </c>
      <c r="C8595" s="117">
        <v>216</v>
      </c>
    </row>
    <row r="8596" spans="1:3" x14ac:dyDescent="0.25">
      <c r="A8596" s="115">
        <v>2421226</v>
      </c>
      <c r="B8596" s="115" t="s">
        <v>8084</v>
      </c>
      <c r="C8596" s="117">
        <v>3835.25</v>
      </c>
    </row>
    <row r="8597" spans="1:3" x14ac:dyDescent="0.25">
      <c r="A8597" s="115">
        <v>2421238</v>
      </c>
      <c r="B8597" s="115" t="s">
        <v>12510</v>
      </c>
      <c r="C8597" s="117">
        <v>3835.25</v>
      </c>
    </row>
    <row r="8598" spans="1:3" x14ac:dyDescent="0.25">
      <c r="A8598" s="115">
        <v>2421254</v>
      </c>
      <c r="B8598" s="115" t="s">
        <v>8085</v>
      </c>
      <c r="C8598" s="117">
        <v>3835.25</v>
      </c>
    </row>
    <row r="8599" spans="1:3" x14ac:dyDescent="0.25">
      <c r="A8599" s="115">
        <v>2421265</v>
      </c>
      <c r="B8599" s="115" t="s">
        <v>8086</v>
      </c>
      <c r="C8599" s="117">
        <v>3835.25</v>
      </c>
    </row>
    <row r="8600" spans="1:3" x14ac:dyDescent="0.25">
      <c r="A8600" s="115">
        <v>2421269</v>
      </c>
      <c r="B8600" s="115" t="s">
        <v>8087</v>
      </c>
      <c r="C8600" s="117">
        <v>3835.25</v>
      </c>
    </row>
    <row r="8601" spans="1:3" x14ac:dyDescent="0.25">
      <c r="A8601" s="115">
        <v>2421262</v>
      </c>
      <c r="B8601" s="115" t="s">
        <v>8088</v>
      </c>
      <c r="C8601" s="117">
        <v>3835.25</v>
      </c>
    </row>
    <row r="8602" spans="1:3" x14ac:dyDescent="0.25">
      <c r="A8602" s="115">
        <v>2420139</v>
      </c>
      <c r="B8602" s="115" t="s">
        <v>11670</v>
      </c>
      <c r="C8602" s="117">
        <v>1088.74</v>
      </c>
    </row>
    <row r="8603" spans="1:3" x14ac:dyDescent="0.25">
      <c r="A8603" s="115">
        <v>2420039</v>
      </c>
      <c r="B8603" s="115" t="s">
        <v>12013</v>
      </c>
      <c r="C8603" s="117">
        <v>314.82</v>
      </c>
    </row>
    <row r="8604" spans="1:3" x14ac:dyDescent="0.25">
      <c r="A8604" s="115">
        <v>2420069</v>
      </c>
      <c r="B8604" s="115" t="s">
        <v>8089</v>
      </c>
      <c r="C8604" s="117">
        <v>314.82</v>
      </c>
    </row>
    <row r="8605" spans="1:3" x14ac:dyDescent="0.25">
      <c r="A8605" s="115">
        <v>2420169</v>
      </c>
      <c r="B8605" s="115" t="s">
        <v>11671</v>
      </c>
      <c r="C8605" s="117">
        <v>1088.74</v>
      </c>
    </row>
    <row r="8606" spans="1:3" x14ac:dyDescent="0.25">
      <c r="A8606" s="115">
        <v>2420165</v>
      </c>
      <c r="B8606" s="115" t="s">
        <v>11672</v>
      </c>
      <c r="C8606" s="117">
        <v>1088.74</v>
      </c>
    </row>
    <row r="8607" spans="1:3" x14ac:dyDescent="0.25">
      <c r="A8607" s="115">
        <v>2420065</v>
      </c>
      <c r="B8607" s="115" t="s">
        <v>8090</v>
      </c>
      <c r="C8607" s="117">
        <v>314.82</v>
      </c>
    </row>
    <row r="8608" spans="1:3" x14ac:dyDescent="0.25">
      <c r="A8608" s="115">
        <v>2420162</v>
      </c>
      <c r="B8608" s="115" t="s">
        <v>11673</v>
      </c>
      <c r="C8608" s="117">
        <v>1088.74</v>
      </c>
    </row>
    <row r="8609" spans="1:3" x14ac:dyDescent="0.25">
      <c r="A8609" s="115">
        <v>2420062</v>
      </c>
      <c r="B8609" s="115" t="s">
        <v>8091</v>
      </c>
      <c r="C8609" s="117">
        <v>314.82</v>
      </c>
    </row>
    <row r="8610" spans="1:3" x14ac:dyDescent="0.25">
      <c r="A8610" s="115">
        <v>2369055</v>
      </c>
      <c r="B8610" s="115" t="s">
        <v>12014</v>
      </c>
      <c r="C8610" s="117">
        <v>883.75</v>
      </c>
    </row>
    <row r="8611" spans="1:3" x14ac:dyDescent="0.25">
      <c r="A8611" s="115">
        <v>2369052</v>
      </c>
      <c r="B8611" s="115" t="s">
        <v>12015</v>
      </c>
      <c r="C8611" s="117">
        <v>883.75</v>
      </c>
    </row>
    <row r="8612" spans="1:3" x14ac:dyDescent="0.25">
      <c r="A8612" s="115">
        <v>2369053</v>
      </c>
      <c r="B8612" s="115" t="s">
        <v>12016</v>
      </c>
      <c r="C8612" s="117">
        <v>883.75</v>
      </c>
    </row>
    <row r="8613" spans="1:3" x14ac:dyDescent="0.25">
      <c r="A8613" s="115">
        <v>2369051</v>
      </c>
      <c r="B8613" s="115" t="s">
        <v>12017</v>
      </c>
      <c r="C8613" s="117">
        <v>883.75</v>
      </c>
    </row>
    <row r="8614" spans="1:3" x14ac:dyDescent="0.25">
      <c r="A8614" s="115">
        <v>2369056</v>
      </c>
      <c r="B8614" s="115" t="s">
        <v>12018</v>
      </c>
      <c r="C8614" s="117">
        <v>883.75</v>
      </c>
    </row>
    <row r="8615" spans="1:3" x14ac:dyDescent="0.25">
      <c r="A8615" s="115">
        <v>2369054</v>
      </c>
      <c r="B8615" s="115" t="s">
        <v>12019</v>
      </c>
      <c r="C8615" s="117">
        <v>883.75</v>
      </c>
    </row>
    <row r="8616" spans="1:3" x14ac:dyDescent="0.25">
      <c r="A8616" s="115">
        <v>2369050</v>
      </c>
      <c r="B8616" s="115" t="s">
        <v>12020</v>
      </c>
      <c r="C8616" s="117">
        <v>883.75</v>
      </c>
    </row>
    <row r="8617" spans="1:3" x14ac:dyDescent="0.25">
      <c r="A8617" s="115">
        <v>2369023</v>
      </c>
      <c r="B8617" s="115" t="s">
        <v>8092</v>
      </c>
      <c r="C8617" s="117">
        <v>883.75</v>
      </c>
    </row>
    <row r="8618" spans="1:3" x14ac:dyDescent="0.25">
      <c r="A8618" s="115">
        <v>2369031</v>
      </c>
      <c r="B8618" s="115" t="s">
        <v>8093</v>
      </c>
      <c r="C8618" s="117">
        <v>883.75</v>
      </c>
    </row>
    <row r="8619" spans="1:3" x14ac:dyDescent="0.25">
      <c r="A8619" s="115">
        <v>2369032</v>
      </c>
      <c r="B8619" s="115" t="s">
        <v>8094</v>
      </c>
      <c r="C8619" s="117">
        <v>883.75</v>
      </c>
    </row>
    <row r="8620" spans="1:3" x14ac:dyDescent="0.25">
      <c r="A8620" s="115">
        <v>2369026</v>
      </c>
      <c r="B8620" s="115" t="s">
        <v>8095</v>
      </c>
      <c r="C8620" s="117">
        <v>883.75</v>
      </c>
    </row>
    <row r="8621" spans="1:3" x14ac:dyDescent="0.25">
      <c r="A8621" s="115">
        <v>2369033</v>
      </c>
      <c r="B8621" s="115" t="s">
        <v>8096</v>
      </c>
      <c r="C8621" s="117">
        <v>883.75</v>
      </c>
    </row>
    <row r="8622" spans="1:3" x14ac:dyDescent="0.25">
      <c r="A8622" s="115">
        <v>2369038</v>
      </c>
      <c r="B8622" s="115" t="s">
        <v>8097</v>
      </c>
      <c r="C8622" s="117">
        <v>883.75</v>
      </c>
    </row>
    <row r="8623" spans="1:3" x14ac:dyDescent="0.25">
      <c r="A8623" s="115">
        <v>2369058</v>
      </c>
      <c r="B8623" s="115" t="s">
        <v>12021</v>
      </c>
      <c r="C8623" s="117">
        <v>1107.79</v>
      </c>
    </row>
    <row r="8624" spans="1:3" x14ac:dyDescent="0.25">
      <c r="A8624" s="115">
        <v>2369021</v>
      </c>
      <c r="B8624" s="115" t="s">
        <v>8098</v>
      </c>
      <c r="C8624" s="117">
        <v>883.75</v>
      </c>
    </row>
    <row r="8625" spans="1:3" x14ac:dyDescent="0.25">
      <c r="A8625" s="144" t="s">
        <v>8099</v>
      </c>
      <c r="B8625" s="145"/>
      <c r="C8625" s="145"/>
    </row>
    <row r="8626" spans="1:3" x14ac:dyDescent="0.25">
      <c r="A8626" s="115">
        <v>2369127</v>
      </c>
      <c r="B8626" s="115" t="s">
        <v>12511</v>
      </c>
      <c r="C8626" s="117">
        <v>2600.42</v>
      </c>
    </row>
    <row r="8627" spans="1:3" x14ac:dyDescent="0.25">
      <c r="A8627" s="115">
        <v>2364996</v>
      </c>
      <c r="B8627" s="115" t="s">
        <v>8100</v>
      </c>
      <c r="C8627" s="117">
        <v>3866.6</v>
      </c>
    </row>
    <row r="8628" spans="1:3" x14ac:dyDescent="0.25">
      <c r="A8628" s="115">
        <v>2364995</v>
      </c>
      <c r="B8628" s="115" t="s">
        <v>8101</v>
      </c>
      <c r="C8628" s="117">
        <v>3866.6</v>
      </c>
    </row>
    <row r="8629" spans="1:3" x14ac:dyDescent="0.25">
      <c r="A8629" s="115">
        <v>2362024</v>
      </c>
      <c r="B8629" s="115" t="s">
        <v>8102</v>
      </c>
      <c r="C8629" s="117">
        <v>5276.79</v>
      </c>
    </row>
    <row r="8630" spans="1:3" x14ac:dyDescent="0.25">
      <c r="A8630" s="115">
        <v>2367300</v>
      </c>
      <c r="B8630" s="115" t="s">
        <v>8103</v>
      </c>
      <c r="C8630" s="117">
        <v>8396.56</v>
      </c>
    </row>
    <row r="8631" spans="1:3" x14ac:dyDescent="0.25">
      <c r="A8631" s="115">
        <v>2365500</v>
      </c>
      <c r="B8631" s="115" t="s">
        <v>8104</v>
      </c>
      <c r="C8631" s="117">
        <v>7523.68</v>
      </c>
    </row>
    <row r="8632" spans="1:3" x14ac:dyDescent="0.25">
      <c r="A8632" s="115">
        <v>2369057</v>
      </c>
      <c r="B8632" s="115" t="s">
        <v>8105</v>
      </c>
      <c r="C8632" s="117">
        <v>1448.53</v>
      </c>
    </row>
    <row r="8633" spans="1:3" x14ac:dyDescent="0.25">
      <c r="A8633" s="115">
        <v>2369070</v>
      </c>
      <c r="B8633" s="115" t="s">
        <v>8106</v>
      </c>
      <c r="C8633" s="117">
        <v>5433.11</v>
      </c>
    </row>
    <row r="8634" spans="1:3" x14ac:dyDescent="0.25">
      <c r="A8634" s="115">
        <v>2369059</v>
      </c>
      <c r="B8634" s="115" t="s">
        <v>8107</v>
      </c>
      <c r="C8634" s="117">
        <v>1448.53</v>
      </c>
    </row>
    <row r="8635" spans="1:3" x14ac:dyDescent="0.25">
      <c r="A8635" s="115">
        <v>2369066</v>
      </c>
      <c r="B8635" s="115" t="s">
        <v>8108</v>
      </c>
      <c r="C8635" s="117">
        <v>1448.53</v>
      </c>
    </row>
    <row r="8636" spans="1:3" x14ac:dyDescent="0.25">
      <c r="A8636" s="115">
        <v>2369071</v>
      </c>
      <c r="B8636" s="115" t="s">
        <v>8109</v>
      </c>
      <c r="C8636" s="117">
        <v>5433.11</v>
      </c>
    </row>
    <row r="8637" spans="1:3" x14ac:dyDescent="0.25">
      <c r="A8637" s="115">
        <v>2369064</v>
      </c>
      <c r="B8637" s="115" t="s">
        <v>8110</v>
      </c>
      <c r="C8637" s="117">
        <v>1448.53</v>
      </c>
    </row>
    <row r="8638" spans="1:3" x14ac:dyDescent="0.25">
      <c r="A8638" s="115">
        <v>2369576</v>
      </c>
      <c r="B8638" s="115" t="s">
        <v>8111</v>
      </c>
      <c r="C8638" s="117">
        <v>4433.51</v>
      </c>
    </row>
    <row r="8639" spans="1:3" x14ac:dyDescent="0.25">
      <c r="A8639" s="115">
        <v>2369345</v>
      </c>
      <c r="B8639" s="115" t="s">
        <v>8112</v>
      </c>
      <c r="C8639" s="117">
        <v>442.32</v>
      </c>
    </row>
    <row r="8640" spans="1:3" x14ac:dyDescent="0.25">
      <c r="A8640" s="115">
        <v>2369375</v>
      </c>
      <c r="B8640" s="115" t="s">
        <v>8113</v>
      </c>
      <c r="C8640" s="117">
        <v>5297.83</v>
      </c>
    </row>
    <row r="8641" spans="1:3" x14ac:dyDescent="0.25">
      <c r="A8641" s="115">
        <v>2369001</v>
      </c>
      <c r="B8641" s="115" t="s">
        <v>8114</v>
      </c>
      <c r="C8641" s="117">
        <v>1817.18</v>
      </c>
    </row>
    <row r="8642" spans="1:3" x14ac:dyDescent="0.25">
      <c r="A8642" s="115">
        <v>2369000</v>
      </c>
      <c r="B8642" s="115" t="s">
        <v>8115</v>
      </c>
      <c r="C8642" s="117">
        <v>3244.28</v>
      </c>
    </row>
    <row r="8643" spans="1:3" x14ac:dyDescent="0.25">
      <c r="A8643" s="115">
        <v>2369082</v>
      </c>
      <c r="B8643" s="115" t="s">
        <v>12512</v>
      </c>
      <c r="C8643" s="117">
        <v>15817.57</v>
      </c>
    </row>
    <row r="8644" spans="1:3" x14ac:dyDescent="0.25">
      <c r="A8644" s="115">
        <v>2369092</v>
      </c>
      <c r="B8644" s="115" t="s">
        <v>12513</v>
      </c>
      <c r="C8644" s="117">
        <v>12956.93</v>
      </c>
    </row>
    <row r="8645" spans="1:3" x14ac:dyDescent="0.25">
      <c r="A8645" s="115">
        <v>2364910</v>
      </c>
      <c r="B8645" s="115" t="s">
        <v>8116</v>
      </c>
      <c r="C8645" s="117">
        <v>9186.5400000000009</v>
      </c>
    </row>
    <row r="8646" spans="1:3" x14ac:dyDescent="0.25">
      <c r="A8646" s="115">
        <v>2369200</v>
      </c>
      <c r="B8646" s="115" t="s">
        <v>8117</v>
      </c>
      <c r="C8646" s="117">
        <v>8420.68</v>
      </c>
    </row>
    <row r="8647" spans="1:3" x14ac:dyDescent="0.25">
      <c r="A8647" s="115">
        <v>2360870</v>
      </c>
      <c r="B8647" s="115" t="s">
        <v>8118</v>
      </c>
      <c r="C8647" s="117">
        <v>20904.939999999999</v>
      </c>
    </row>
    <row r="8648" spans="1:3" x14ac:dyDescent="0.25">
      <c r="A8648" s="115">
        <v>2364981</v>
      </c>
      <c r="B8648" s="115" t="s">
        <v>12022</v>
      </c>
      <c r="C8648" s="117">
        <v>3563.62</v>
      </c>
    </row>
    <row r="8649" spans="1:3" x14ac:dyDescent="0.25">
      <c r="A8649" s="115">
        <v>2369080</v>
      </c>
      <c r="B8649" s="115" t="s">
        <v>7841</v>
      </c>
      <c r="C8649" s="117">
        <v>4740.22</v>
      </c>
    </row>
    <row r="8650" spans="1:3" x14ac:dyDescent="0.25">
      <c r="A8650" s="115">
        <v>2369081</v>
      </c>
      <c r="B8650" s="115" t="s">
        <v>7842</v>
      </c>
      <c r="C8650" s="117">
        <v>4740.22</v>
      </c>
    </row>
    <row r="8651" spans="1:3" x14ac:dyDescent="0.25">
      <c r="A8651" s="115">
        <v>2369100</v>
      </c>
      <c r="B8651" s="115" t="s">
        <v>8119</v>
      </c>
      <c r="C8651" s="117">
        <v>4002.95</v>
      </c>
    </row>
    <row r="8652" spans="1:3" x14ac:dyDescent="0.25">
      <c r="A8652" s="115">
        <v>2362329</v>
      </c>
      <c r="B8652" s="115" t="s">
        <v>8120</v>
      </c>
      <c r="C8652" s="117">
        <v>11730.53</v>
      </c>
    </row>
    <row r="8653" spans="1:3" x14ac:dyDescent="0.25">
      <c r="A8653" s="115">
        <v>2362330</v>
      </c>
      <c r="B8653" s="115" t="s">
        <v>8121</v>
      </c>
      <c r="C8653" s="117">
        <v>11730.53</v>
      </c>
    </row>
    <row r="8654" spans="1:3" x14ac:dyDescent="0.25">
      <c r="A8654" s="115">
        <v>2362218</v>
      </c>
      <c r="B8654" s="115" t="s">
        <v>8122</v>
      </c>
      <c r="C8654" s="117">
        <v>1631.92</v>
      </c>
    </row>
    <row r="8655" spans="1:3" x14ac:dyDescent="0.25">
      <c r="A8655" s="115">
        <v>2362216</v>
      </c>
      <c r="B8655" s="115" t="s">
        <v>8123</v>
      </c>
      <c r="C8655" s="117">
        <v>1631.92</v>
      </c>
    </row>
    <row r="8656" spans="1:3" x14ac:dyDescent="0.25">
      <c r="A8656" s="115">
        <v>2368200</v>
      </c>
      <c r="B8656" s="115" t="s">
        <v>8124</v>
      </c>
      <c r="C8656" s="117">
        <v>1224.23</v>
      </c>
    </row>
    <row r="8657" spans="1:3" x14ac:dyDescent="0.25">
      <c r="A8657" s="115">
        <v>2367800</v>
      </c>
      <c r="B8657" s="115" t="s">
        <v>8125</v>
      </c>
      <c r="C8657" s="117">
        <v>3693.19</v>
      </c>
    </row>
    <row r="8658" spans="1:3" x14ac:dyDescent="0.25">
      <c r="A8658" s="115">
        <v>2360688</v>
      </c>
      <c r="B8658" s="115" t="s">
        <v>8126</v>
      </c>
      <c r="C8658" s="117">
        <v>9227.15</v>
      </c>
    </row>
    <row r="8659" spans="1:3" x14ac:dyDescent="0.25">
      <c r="A8659" s="115">
        <v>2368430</v>
      </c>
      <c r="B8659" s="115" t="s">
        <v>8127</v>
      </c>
      <c r="C8659" s="117">
        <v>6886.22</v>
      </c>
    </row>
    <row r="8660" spans="1:3" x14ac:dyDescent="0.25">
      <c r="A8660" s="115">
        <v>2360610</v>
      </c>
      <c r="B8660" s="115" t="s">
        <v>8128</v>
      </c>
      <c r="C8660" s="117">
        <v>3087.55</v>
      </c>
    </row>
    <row r="8661" spans="1:3" x14ac:dyDescent="0.25">
      <c r="A8661" s="115">
        <v>2360690</v>
      </c>
      <c r="B8661" s="115" t="s">
        <v>8129</v>
      </c>
      <c r="C8661" s="117">
        <v>4152.22</v>
      </c>
    </row>
    <row r="8662" spans="1:3" x14ac:dyDescent="0.25">
      <c r="A8662" s="115">
        <v>2360612</v>
      </c>
      <c r="B8662" s="115" t="s">
        <v>8130</v>
      </c>
      <c r="C8662" s="117">
        <v>5855.69</v>
      </c>
    </row>
    <row r="8663" spans="1:3" x14ac:dyDescent="0.25">
      <c r="A8663" s="115">
        <v>2360606</v>
      </c>
      <c r="B8663" s="115" t="s">
        <v>8131</v>
      </c>
      <c r="C8663" s="117">
        <v>5855.69</v>
      </c>
    </row>
    <row r="8664" spans="1:3" x14ac:dyDescent="0.25">
      <c r="A8664" s="115">
        <v>2360604</v>
      </c>
      <c r="B8664" s="115" t="s">
        <v>8132</v>
      </c>
      <c r="C8664" s="117">
        <v>10615.44</v>
      </c>
    </row>
    <row r="8665" spans="1:3" x14ac:dyDescent="0.25">
      <c r="A8665" s="115">
        <v>2368400</v>
      </c>
      <c r="B8665" s="115" t="s">
        <v>8133</v>
      </c>
      <c r="C8665" s="117">
        <v>10186.86</v>
      </c>
    </row>
    <row r="8666" spans="1:3" x14ac:dyDescent="0.25">
      <c r="A8666" s="115">
        <v>2368445</v>
      </c>
      <c r="B8666" s="115" t="s">
        <v>8134</v>
      </c>
      <c r="C8666" s="117">
        <v>3158.16</v>
      </c>
    </row>
    <row r="8667" spans="1:3" x14ac:dyDescent="0.25">
      <c r="A8667" s="115">
        <v>2368420</v>
      </c>
      <c r="B8667" s="115" t="s">
        <v>8135</v>
      </c>
      <c r="C8667" s="117">
        <v>7259.21</v>
      </c>
    </row>
    <row r="8668" spans="1:3" x14ac:dyDescent="0.25">
      <c r="A8668" s="115">
        <v>2368440</v>
      </c>
      <c r="B8668" s="115" t="s">
        <v>8136</v>
      </c>
      <c r="C8668" s="117">
        <v>3521.14</v>
      </c>
    </row>
    <row r="8669" spans="1:3" x14ac:dyDescent="0.25">
      <c r="A8669" s="115">
        <v>2368410</v>
      </c>
      <c r="B8669" s="115" t="s">
        <v>8137</v>
      </c>
      <c r="C8669" s="117">
        <v>7875.62</v>
      </c>
    </row>
    <row r="8670" spans="1:3" x14ac:dyDescent="0.25">
      <c r="A8670" s="115">
        <v>2368460</v>
      </c>
      <c r="B8670" s="115" t="s">
        <v>8138</v>
      </c>
      <c r="C8670" s="117">
        <v>7875.62</v>
      </c>
    </row>
    <row r="8671" spans="1:3" x14ac:dyDescent="0.25">
      <c r="A8671" s="115">
        <v>2366204</v>
      </c>
      <c r="B8671" s="115" t="s">
        <v>8139</v>
      </c>
      <c r="C8671" s="117">
        <v>4074.96</v>
      </c>
    </row>
    <row r="8672" spans="1:3" x14ac:dyDescent="0.25">
      <c r="A8672" s="115">
        <v>2362730</v>
      </c>
      <c r="B8672" s="115" t="s">
        <v>8140</v>
      </c>
      <c r="C8672" s="117">
        <v>4240.62</v>
      </c>
    </row>
    <row r="8673" spans="1:3" x14ac:dyDescent="0.25">
      <c r="A8673" s="115">
        <v>2362710</v>
      </c>
      <c r="B8673" s="115" t="s">
        <v>8141</v>
      </c>
      <c r="C8673" s="117">
        <v>4240.62</v>
      </c>
    </row>
    <row r="8674" spans="1:3" x14ac:dyDescent="0.25">
      <c r="A8674" s="115">
        <v>2362750</v>
      </c>
      <c r="B8674" s="115" t="s">
        <v>8142</v>
      </c>
      <c r="C8674" s="117">
        <v>4240.62</v>
      </c>
    </row>
    <row r="8675" spans="1:3" x14ac:dyDescent="0.25">
      <c r="A8675" s="115">
        <v>2362720</v>
      </c>
      <c r="B8675" s="115" t="s">
        <v>8143</v>
      </c>
      <c r="C8675" s="117">
        <v>4240.62</v>
      </c>
    </row>
    <row r="8676" spans="1:3" x14ac:dyDescent="0.25">
      <c r="A8676" s="115">
        <v>2362740</v>
      </c>
      <c r="B8676" s="115" t="s">
        <v>8144</v>
      </c>
      <c r="C8676" s="117">
        <v>4240.62</v>
      </c>
    </row>
    <row r="8677" spans="1:3" x14ac:dyDescent="0.25">
      <c r="A8677" s="115">
        <v>2362700</v>
      </c>
      <c r="B8677" s="115" t="s">
        <v>8145</v>
      </c>
      <c r="C8677" s="117">
        <v>3736.23</v>
      </c>
    </row>
    <row r="8678" spans="1:3" x14ac:dyDescent="0.25">
      <c r="A8678" s="115">
        <v>2365512</v>
      </c>
      <c r="B8678" s="115" t="s">
        <v>8146</v>
      </c>
      <c r="C8678" s="117">
        <v>29472.49</v>
      </c>
    </row>
    <row r="8679" spans="1:3" x14ac:dyDescent="0.25">
      <c r="A8679" s="144" t="s">
        <v>8147</v>
      </c>
      <c r="B8679" s="145"/>
      <c r="C8679" s="145"/>
    </row>
    <row r="8680" spans="1:3" x14ac:dyDescent="0.25">
      <c r="A8680" s="115">
        <v>1142564</v>
      </c>
      <c r="B8680" s="115" t="s">
        <v>8148</v>
      </c>
      <c r="C8680" s="117">
        <v>8988.93</v>
      </c>
    </row>
    <row r="8681" spans="1:3" x14ac:dyDescent="0.25">
      <c r="A8681" s="115">
        <v>1211863</v>
      </c>
      <c r="B8681" s="115" t="s">
        <v>8149</v>
      </c>
      <c r="C8681" s="117">
        <v>4431.25</v>
      </c>
    </row>
    <row r="8682" spans="1:3" x14ac:dyDescent="0.25">
      <c r="A8682" s="115">
        <v>1210716</v>
      </c>
      <c r="B8682" s="115" t="s">
        <v>12514</v>
      </c>
      <c r="C8682" s="117">
        <v>3249.71</v>
      </c>
    </row>
    <row r="8683" spans="1:3" x14ac:dyDescent="0.25">
      <c r="A8683" s="115">
        <v>1227163</v>
      </c>
      <c r="B8683" s="115" t="s">
        <v>8150</v>
      </c>
      <c r="C8683" s="117">
        <v>501.87</v>
      </c>
    </row>
    <row r="8684" spans="1:3" x14ac:dyDescent="0.25">
      <c r="A8684" s="115">
        <v>1215500</v>
      </c>
      <c r="B8684" s="115" t="s">
        <v>8151</v>
      </c>
      <c r="C8684" s="117">
        <v>3668.78</v>
      </c>
    </row>
    <row r="8685" spans="1:3" x14ac:dyDescent="0.25">
      <c r="A8685" s="115">
        <v>1215538</v>
      </c>
      <c r="B8685" s="115" t="s">
        <v>12023</v>
      </c>
      <c r="C8685" s="117">
        <v>808.56</v>
      </c>
    </row>
    <row r="8686" spans="1:3" x14ac:dyDescent="0.25">
      <c r="A8686" s="115">
        <v>1215580</v>
      </c>
      <c r="B8686" s="115" t="s">
        <v>12024</v>
      </c>
      <c r="C8686" s="117">
        <v>1866.84</v>
      </c>
    </row>
    <row r="8687" spans="1:3" x14ac:dyDescent="0.25">
      <c r="A8687" s="115">
        <v>1216937</v>
      </c>
      <c r="B8687" s="115" t="s">
        <v>12515</v>
      </c>
      <c r="C8687" s="117">
        <v>650</v>
      </c>
    </row>
    <row r="8688" spans="1:3" x14ac:dyDescent="0.25">
      <c r="A8688" s="115">
        <v>1216939</v>
      </c>
      <c r="B8688" s="115" t="s">
        <v>12516</v>
      </c>
      <c r="C8688" s="117">
        <v>650</v>
      </c>
    </row>
    <row r="8689" spans="1:3" x14ac:dyDescent="0.25">
      <c r="A8689" s="115">
        <v>1210262</v>
      </c>
      <c r="B8689" s="115" t="s">
        <v>12517</v>
      </c>
      <c r="C8689" s="117">
        <v>712.44</v>
      </c>
    </row>
    <row r="8690" spans="1:3" x14ac:dyDescent="0.25">
      <c r="A8690" s="115">
        <v>1210228</v>
      </c>
      <c r="B8690" s="115" t="s">
        <v>12518</v>
      </c>
      <c r="C8690" s="117">
        <v>712.44</v>
      </c>
    </row>
    <row r="8691" spans="1:3" x14ac:dyDescent="0.25">
      <c r="A8691" s="115">
        <v>1210238</v>
      </c>
      <c r="B8691" s="115" t="s">
        <v>12519</v>
      </c>
      <c r="C8691" s="117">
        <v>712.44</v>
      </c>
    </row>
    <row r="8692" spans="1:3" x14ac:dyDescent="0.25">
      <c r="A8692" s="115">
        <v>1216200</v>
      </c>
      <c r="B8692" s="115" t="s">
        <v>12520</v>
      </c>
      <c r="C8692" s="117">
        <v>1028.8</v>
      </c>
    </row>
    <row r="8693" spans="1:3" x14ac:dyDescent="0.25">
      <c r="A8693" s="115">
        <v>1227638</v>
      </c>
      <c r="B8693" s="115" t="s">
        <v>8152</v>
      </c>
      <c r="C8693" s="117">
        <v>1025.5</v>
      </c>
    </row>
    <row r="8694" spans="1:3" x14ac:dyDescent="0.25">
      <c r="A8694" s="115">
        <v>1211062</v>
      </c>
      <c r="B8694" s="115" t="s">
        <v>8153</v>
      </c>
      <c r="C8694" s="117">
        <v>1202.3</v>
      </c>
    </row>
    <row r="8695" spans="1:3" x14ac:dyDescent="0.25">
      <c r="A8695" s="115">
        <v>1211510</v>
      </c>
      <c r="B8695" s="115" t="s">
        <v>8154</v>
      </c>
      <c r="C8695" s="117">
        <v>245.41</v>
      </c>
    </row>
    <row r="8696" spans="1:3" x14ac:dyDescent="0.25">
      <c r="A8696" s="115">
        <v>1211536</v>
      </c>
      <c r="B8696" s="115" t="s">
        <v>8155</v>
      </c>
      <c r="C8696" s="117">
        <v>326.83</v>
      </c>
    </row>
    <row r="8697" spans="1:3" x14ac:dyDescent="0.25">
      <c r="A8697" s="115">
        <v>1211524</v>
      </c>
      <c r="B8697" s="115" t="s">
        <v>8156</v>
      </c>
      <c r="C8697" s="117">
        <v>327.14</v>
      </c>
    </row>
    <row r="8698" spans="1:3" x14ac:dyDescent="0.25">
      <c r="A8698" s="115">
        <v>1211523</v>
      </c>
      <c r="B8698" s="115" t="s">
        <v>8157</v>
      </c>
      <c r="C8698" s="117">
        <v>327.14</v>
      </c>
    </row>
    <row r="8699" spans="1:3" x14ac:dyDescent="0.25">
      <c r="A8699" s="115">
        <v>1211538</v>
      </c>
      <c r="B8699" s="115" t="s">
        <v>8158</v>
      </c>
      <c r="C8699" s="117">
        <v>327.14</v>
      </c>
    </row>
    <row r="8700" spans="1:3" x14ac:dyDescent="0.25">
      <c r="A8700" s="115">
        <v>1211526</v>
      </c>
      <c r="B8700" s="115" t="s">
        <v>8159</v>
      </c>
      <c r="C8700" s="117">
        <v>327.14</v>
      </c>
    </row>
    <row r="8701" spans="1:3" x14ac:dyDescent="0.25">
      <c r="A8701" s="115">
        <v>1211500</v>
      </c>
      <c r="B8701" s="115" t="s">
        <v>8160</v>
      </c>
      <c r="C8701" s="117">
        <v>327.14</v>
      </c>
    </row>
    <row r="8702" spans="1:3" x14ac:dyDescent="0.25">
      <c r="A8702" s="115">
        <v>1211525</v>
      </c>
      <c r="B8702" s="115" t="s">
        <v>8161</v>
      </c>
      <c r="C8702" s="117">
        <v>327.14</v>
      </c>
    </row>
    <row r="8703" spans="1:3" x14ac:dyDescent="0.25">
      <c r="A8703" s="115">
        <v>1217025</v>
      </c>
      <c r="B8703" s="115" t="s">
        <v>8162</v>
      </c>
      <c r="C8703" s="117">
        <v>1800.06</v>
      </c>
    </row>
    <row r="8704" spans="1:3" x14ac:dyDescent="0.25">
      <c r="A8704" s="115">
        <v>1217000</v>
      </c>
      <c r="B8704" s="115" t="s">
        <v>8163</v>
      </c>
      <c r="C8704" s="117">
        <v>1800.06</v>
      </c>
    </row>
    <row r="8705" spans="1:3" x14ac:dyDescent="0.25">
      <c r="A8705" s="115">
        <v>1210409</v>
      </c>
      <c r="B8705" s="115" t="s">
        <v>8164</v>
      </c>
      <c r="C8705" s="117">
        <v>843.4</v>
      </c>
    </row>
    <row r="8706" spans="1:3" x14ac:dyDescent="0.25">
      <c r="A8706" s="115">
        <v>1213925</v>
      </c>
      <c r="B8706" s="115" t="s">
        <v>8165</v>
      </c>
      <c r="C8706" s="117">
        <v>543.17999999999995</v>
      </c>
    </row>
    <row r="8707" spans="1:3" x14ac:dyDescent="0.25">
      <c r="A8707" s="115">
        <v>1213926</v>
      </c>
      <c r="B8707" s="115" t="s">
        <v>12521</v>
      </c>
      <c r="C8707" s="117">
        <v>321.32</v>
      </c>
    </row>
    <row r="8708" spans="1:3" x14ac:dyDescent="0.25">
      <c r="A8708" s="115">
        <v>1213963</v>
      </c>
      <c r="B8708" s="115" t="s">
        <v>8166</v>
      </c>
      <c r="C8708" s="117">
        <v>543.17999999999995</v>
      </c>
    </row>
    <row r="8709" spans="1:3" x14ac:dyDescent="0.25">
      <c r="A8709" s="115">
        <v>1213935</v>
      </c>
      <c r="B8709" s="115" t="s">
        <v>8167</v>
      </c>
      <c r="C8709" s="117">
        <v>321.32</v>
      </c>
    </row>
    <row r="8710" spans="1:3" x14ac:dyDescent="0.25">
      <c r="A8710" s="115">
        <v>1210410</v>
      </c>
      <c r="B8710" s="115" t="s">
        <v>8168</v>
      </c>
      <c r="C8710" s="117">
        <v>843.4</v>
      </c>
    </row>
    <row r="8711" spans="1:3" x14ac:dyDescent="0.25">
      <c r="A8711" s="115">
        <v>1213900</v>
      </c>
      <c r="B8711" s="115" t="s">
        <v>12522</v>
      </c>
      <c r="C8711" s="117">
        <v>321.32</v>
      </c>
    </row>
    <row r="8712" spans="1:3" x14ac:dyDescent="0.25">
      <c r="A8712" s="115">
        <v>1224910</v>
      </c>
      <c r="B8712" s="115" t="s">
        <v>12523</v>
      </c>
      <c r="C8712" s="117">
        <v>1847.55</v>
      </c>
    </row>
    <row r="8713" spans="1:3" x14ac:dyDescent="0.25">
      <c r="A8713" s="115">
        <v>1224933</v>
      </c>
      <c r="B8713" s="115" t="s">
        <v>8169</v>
      </c>
      <c r="C8713" s="117">
        <v>426.06</v>
      </c>
    </row>
    <row r="8714" spans="1:3" x14ac:dyDescent="0.25">
      <c r="A8714" s="115">
        <v>1224990</v>
      </c>
      <c r="B8714" s="115" t="s">
        <v>12524</v>
      </c>
      <c r="C8714" s="117">
        <v>1141.8499999999999</v>
      </c>
    </row>
    <row r="8715" spans="1:3" x14ac:dyDescent="0.25">
      <c r="A8715" s="115">
        <v>1225935</v>
      </c>
      <c r="B8715" s="115" t="s">
        <v>8170</v>
      </c>
      <c r="C8715" s="117">
        <v>20750.34</v>
      </c>
    </row>
    <row r="8716" spans="1:3" x14ac:dyDescent="0.25">
      <c r="A8716" s="115">
        <v>1210618</v>
      </c>
      <c r="B8716" s="115" t="s">
        <v>8171</v>
      </c>
      <c r="C8716" s="117">
        <v>6553.82</v>
      </c>
    </row>
    <row r="8717" spans="1:3" x14ac:dyDescent="0.25">
      <c r="A8717" s="115">
        <v>1210563</v>
      </c>
      <c r="B8717" s="115" t="s">
        <v>8172</v>
      </c>
      <c r="C8717" s="117">
        <v>838.65</v>
      </c>
    </row>
    <row r="8718" spans="1:3" x14ac:dyDescent="0.25">
      <c r="A8718" s="115">
        <v>1211325</v>
      </c>
      <c r="B8718" s="115" t="s">
        <v>12025</v>
      </c>
      <c r="C8718" s="117">
        <v>134.97999999999999</v>
      </c>
    </row>
    <row r="8719" spans="1:3" x14ac:dyDescent="0.25">
      <c r="A8719" s="115">
        <v>1211363</v>
      </c>
      <c r="B8719" s="115" t="s">
        <v>8174</v>
      </c>
      <c r="C8719" s="117">
        <v>3033.28</v>
      </c>
    </row>
    <row r="8720" spans="1:3" x14ac:dyDescent="0.25">
      <c r="A8720" s="115">
        <v>1211335</v>
      </c>
      <c r="B8720" s="115" t="s">
        <v>8175</v>
      </c>
      <c r="C8720" s="117">
        <v>3239.51</v>
      </c>
    </row>
    <row r="8721" spans="1:3" x14ac:dyDescent="0.25">
      <c r="A8721" s="115">
        <v>1211338</v>
      </c>
      <c r="B8721" s="115" t="s">
        <v>8176</v>
      </c>
      <c r="C8721" s="117">
        <v>3033.28</v>
      </c>
    </row>
    <row r="8722" spans="1:3" x14ac:dyDescent="0.25">
      <c r="A8722" s="115">
        <v>1211362</v>
      </c>
      <c r="B8722" s="115" t="s">
        <v>8173</v>
      </c>
      <c r="C8722" s="117">
        <v>3033.28</v>
      </c>
    </row>
    <row r="8723" spans="1:3" x14ac:dyDescent="0.25">
      <c r="A8723" s="115">
        <v>1213025</v>
      </c>
      <c r="B8723" s="115" t="s">
        <v>8177</v>
      </c>
      <c r="C8723" s="117">
        <v>664.82</v>
      </c>
    </row>
    <row r="8724" spans="1:3" x14ac:dyDescent="0.25">
      <c r="A8724" s="115">
        <v>1212825</v>
      </c>
      <c r="B8724" s="115" t="s">
        <v>8178</v>
      </c>
      <c r="C8724" s="117">
        <v>1304.9100000000001</v>
      </c>
    </row>
    <row r="8725" spans="1:3" x14ac:dyDescent="0.25">
      <c r="A8725" s="115">
        <v>1213053</v>
      </c>
      <c r="B8725" s="115" t="s">
        <v>8179</v>
      </c>
      <c r="C8725" s="117">
        <v>664.82</v>
      </c>
    </row>
    <row r="8726" spans="1:3" x14ac:dyDescent="0.25">
      <c r="A8726" s="115">
        <v>1212853</v>
      </c>
      <c r="B8726" s="115" t="s">
        <v>8180</v>
      </c>
      <c r="C8726" s="117">
        <v>1304.9100000000001</v>
      </c>
    </row>
    <row r="8727" spans="1:3" x14ac:dyDescent="0.25">
      <c r="A8727" s="115">
        <v>1218216</v>
      </c>
      <c r="B8727" s="115" t="s">
        <v>8181</v>
      </c>
      <c r="C8727" s="117">
        <v>487.94</v>
      </c>
    </row>
    <row r="8728" spans="1:3" x14ac:dyDescent="0.25">
      <c r="A8728" s="115">
        <v>1224361</v>
      </c>
      <c r="B8728" s="115" t="s">
        <v>8182</v>
      </c>
      <c r="C8728" s="117">
        <v>6985.39</v>
      </c>
    </row>
    <row r="8729" spans="1:3" x14ac:dyDescent="0.25">
      <c r="A8729" s="115">
        <v>1227872</v>
      </c>
      <c r="B8729" s="115" t="s">
        <v>8183</v>
      </c>
      <c r="C8729" s="117">
        <v>1106.02</v>
      </c>
    </row>
    <row r="8730" spans="1:3" x14ac:dyDescent="0.25">
      <c r="A8730" s="115">
        <v>1210807</v>
      </c>
      <c r="B8730" s="115" t="s">
        <v>8184</v>
      </c>
      <c r="C8730" s="117">
        <v>940.07</v>
      </c>
    </row>
    <row r="8731" spans="1:3" x14ac:dyDescent="0.25">
      <c r="A8731" s="115">
        <v>1210801</v>
      </c>
      <c r="B8731" s="115" t="s">
        <v>8185</v>
      </c>
      <c r="C8731" s="117">
        <v>712.66</v>
      </c>
    </row>
    <row r="8732" spans="1:3" x14ac:dyDescent="0.25">
      <c r="A8732" s="115">
        <v>1210804</v>
      </c>
      <c r="B8732" s="115" t="s">
        <v>8186</v>
      </c>
      <c r="C8732" s="117">
        <v>712.66</v>
      </c>
    </row>
    <row r="8733" spans="1:3" x14ac:dyDescent="0.25">
      <c r="A8733" s="115">
        <v>1210816</v>
      </c>
      <c r="B8733" s="115" t="s">
        <v>8187</v>
      </c>
      <c r="C8733" s="117">
        <v>501.87</v>
      </c>
    </row>
    <row r="8734" spans="1:3" x14ac:dyDescent="0.25">
      <c r="A8734" s="115">
        <v>1210818</v>
      </c>
      <c r="B8734" s="115" t="s">
        <v>8188</v>
      </c>
      <c r="C8734" s="117">
        <v>795.67</v>
      </c>
    </row>
    <row r="8735" spans="1:3" x14ac:dyDescent="0.25">
      <c r="A8735" s="115">
        <v>1222902</v>
      </c>
      <c r="B8735" s="115" t="s">
        <v>8189</v>
      </c>
      <c r="C8735" s="117">
        <v>434.38</v>
      </c>
    </row>
    <row r="8736" spans="1:3" x14ac:dyDescent="0.25">
      <c r="A8736" s="144" t="s">
        <v>8190</v>
      </c>
      <c r="B8736" s="145"/>
      <c r="C8736" s="145"/>
    </row>
    <row r="8737" spans="1:3" x14ac:dyDescent="0.25">
      <c r="A8737" s="115">
        <v>1232326</v>
      </c>
      <c r="B8737" s="115" t="s">
        <v>8191</v>
      </c>
      <c r="C8737" s="117">
        <v>2313.6799999999998</v>
      </c>
    </row>
    <row r="8738" spans="1:3" x14ac:dyDescent="0.25">
      <c r="A8738" s="115">
        <v>1232325</v>
      </c>
      <c r="B8738" s="115" t="s">
        <v>8192</v>
      </c>
      <c r="C8738" s="117">
        <v>2313.6799999999998</v>
      </c>
    </row>
    <row r="8739" spans="1:3" x14ac:dyDescent="0.25">
      <c r="A8739" s="115">
        <v>1232353</v>
      </c>
      <c r="B8739" s="115" t="s">
        <v>8193</v>
      </c>
      <c r="C8739" s="117">
        <v>2313.6799999999998</v>
      </c>
    </row>
    <row r="8740" spans="1:3" x14ac:dyDescent="0.25">
      <c r="A8740" s="115">
        <v>1232322</v>
      </c>
      <c r="B8740" s="115" t="s">
        <v>8194</v>
      </c>
      <c r="C8740" s="117">
        <v>2313.6799999999998</v>
      </c>
    </row>
    <row r="8741" spans="1:3" x14ac:dyDescent="0.25">
      <c r="A8741" s="115">
        <v>1231625</v>
      </c>
      <c r="B8741" s="115" t="s">
        <v>8195</v>
      </c>
      <c r="C8741" s="117">
        <v>726.62</v>
      </c>
    </row>
    <row r="8742" spans="1:3" x14ac:dyDescent="0.25">
      <c r="A8742" s="115">
        <v>1231622</v>
      </c>
      <c r="B8742" s="115" t="s">
        <v>8196</v>
      </c>
      <c r="C8742" s="117">
        <v>726.62</v>
      </c>
    </row>
    <row r="8743" spans="1:3" x14ac:dyDescent="0.25">
      <c r="A8743" s="115">
        <v>1231653</v>
      </c>
      <c r="B8743" s="115" t="s">
        <v>8197</v>
      </c>
      <c r="C8743" s="117">
        <v>726.62</v>
      </c>
    </row>
    <row r="8744" spans="1:3" x14ac:dyDescent="0.25">
      <c r="A8744" s="115">
        <v>1231563</v>
      </c>
      <c r="B8744" s="115" t="s">
        <v>8198</v>
      </c>
      <c r="C8744" s="117">
        <v>726.62</v>
      </c>
    </row>
    <row r="8745" spans="1:3" x14ac:dyDescent="0.25">
      <c r="A8745" s="115">
        <v>1231725</v>
      </c>
      <c r="B8745" s="115" t="s">
        <v>8199</v>
      </c>
      <c r="C8745" s="117">
        <v>1376.54</v>
      </c>
    </row>
    <row r="8746" spans="1:3" x14ac:dyDescent="0.25">
      <c r="A8746" s="115">
        <v>1231753</v>
      </c>
      <c r="B8746" s="115" t="s">
        <v>8200</v>
      </c>
      <c r="C8746" s="117">
        <v>1376.54</v>
      </c>
    </row>
    <row r="8747" spans="1:3" x14ac:dyDescent="0.25">
      <c r="A8747" s="115">
        <v>1231722</v>
      </c>
      <c r="B8747" s="115" t="s">
        <v>8201</v>
      </c>
      <c r="C8747" s="117">
        <v>1376.54</v>
      </c>
    </row>
    <row r="8748" spans="1:3" x14ac:dyDescent="0.25">
      <c r="A8748" s="115">
        <v>1231726</v>
      </c>
      <c r="B8748" s="115" t="s">
        <v>8202</v>
      </c>
      <c r="C8748" s="117">
        <v>1376.54</v>
      </c>
    </row>
    <row r="8749" spans="1:3" x14ac:dyDescent="0.25">
      <c r="A8749" s="115">
        <v>1232906</v>
      </c>
      <c r="B8749" s="115" t="s">
        <v>8203</v>
      </c>
      <c r="C8749" s="117">
        <v>1376.54</v>
      </c>
    </row>
    <row r="8750" spans="1:3" x14ac:dyDescent="0.25">
      <c r="A8750" s="115">
        <v>1232907</v>
      </c>
      <c r="B8750" s="115" t="s">
        <v>8204</v>
      </c>
      <c r="C8750" s="117">
        <v>1376.54</v>
      </c>
    </row>
    <row r="8751" spans="1:3" x14ac:dyDescent="0.25">
      <c r="A8751" s="115">
        <v>1232670</v>
      </c>
      <c r="B8751" s="115" t="s">
        <v>8205</v>
      </c>
      <c r="C8751" s="117">
        <v>1383.65</v>
      </c>
    </row>
    <row r="8752" spans="1:3" x14ac:dyDescent="0.25">
      <c r="A8752" s="115">
        <v>1231053</v>
      </c>
      <c r="B8752" s="115" t="s">
        <v>8206</v>
      </c>
      <c r="C8752" s="117">
        <v>1039.23</v>
      </c>
    </row>
    <row r="8753" spans="1:3" x14ac:dyDescent="0.25">
      <c r="A8753" s="115">
        <v>1233377</v>
      </c>
      <c r="B8753" s="115" t="s">
        <v>8207</v>
      </c>
      <c r="C8753" s="117">
        <v>1259.8499999999999</v>
      </c>
    </row>
    <row r="8754" spans="1:3" x14ac:dyDescent="0.25">
      <c r="A8754" s="115">
        <v>1233349</v>
      </c>
      <c r="B8754" s="115" t="s">
        <v>8208</v>
      </c>
      <c r="C8754" s="117">
        <v>1259.8499999999999</v>
      </c>
    </row>
    <row r="8755" spans="1:3" x14ac:dyDescent="0.25">
      <c r="A8755" s="115">
        <v>1233153</v>
      </c>
      <c r="B8755" s="115" t="s">
        <v>8209</v>
      </c>
      <c r="C8755" s="117">
        <v>754.97</v>
      </c>
    </row>
    <row r="8756" spans="1:3" x14ac:dyDescent="0.25">
      <c r="A8756" s="144" t="s">
        <v>8210</v>
      </c>
      <c r="B8756" s="145"/>
      <c r="C8756" s="145"/>
    </row>
    <row r="8757" spans="1:3" x14ac:dyDescent="0.25">
      <c r="A8757" s="115">
        <v>1142535</v>
      </c>
      <c r="B8757" s="115" t="s">
        <v>8211</v>
      </c>
      <c r="C8757" s="117">
        <v>304.89999999999998</v>
      </c>
    </row>
    <row r="8758" spans="1:3" x14ac:dyDescent="0.25">
      <c r="A8758" s="115">
        <v>1142578</v>
      </c>
      <c r="B8758" s="115" t="s">
        <v>8212</v>
      </c>
      <c r="C8758" s="117">
        <v>325.69</v>
      </c>
    </row>
    <row r="8759" spans="1:3" x14ac:dyDescent="0.25">
      <c r="A8759" s="115">
        <v>1141049</v>
      </c>
      <c r="B8759" s="115" t="s">
        <v>12525</v>
      </c>
      <c r="C8759" s="117">
        <v>5069.41</v>
      </c>
    </row>
    <row r="8760" spans="1:3" x14ac:dyDescent="0.25">
      <c r="A8760" s="115">
        <v>1141015</v>
      </c>
      <c r="B8760" s="115" t="s">
        <v>12526</v>
      </c>
      <c r="C8760" s="117">
        <v>5177.2299999999996</v>
      </c>
    </row>
    <row r="8761" spans="1:3" x14ac:dyDescent="0.25">
      <c r="A8761" s="115">
        <v>1141063</v>
      </c>
      <c r="B8761" s="115" t="s">
        <v>8213</v>
      </c>
      <c r="C8761" s="117">
        <v>221.1</v>
      </c>
    </row>
    <row r="8762" spans="1:3" x14ac:dyDescent="0.25">
      <c r="A8762" s="115">
        <v>1140354</v>
      </c>
      <c r="B8762" s="115" t="s">
        <v>12527</v>
      </c>
      <c r="C8762" s="117">
        <v>33036.35</v>
      </c>
    </row>
    <row r="8763" spans="1:3" x14ac:dyDescent="0.25">
      <c r="A8763" s="115">
        <v>1141612</v>
      </c>
      <c r="B8763" s="115" t="s">
        <v>12528</v>
      </c>
      <c r="C8763" s="117">
        <v>21671.85</v>
      </c>
    </row>
    <row r="8764" spans="1:3" x14ac:dyDescent="0.25">
      <c r="A8764" s="115">
        <v>1141624</v>
      </c>
      <c r="B8764" s="115" t="s">
        <v>8214</v>
      </c>
      <c r="C8764" s="117">
        <v>1605.31</v>
      </c>
    </row>
    <row r="8765" spans="1:3" x14ac:dyDescent="0.25">
      <c r="A8765" s="115">
        <v>1141001</v>
      </c>
      <c r="B8765" s="115" t="s">
        <v>8215</v>
      </c>
      <c r="C8765" s="117">
        <v>5796.16</v>
      </c>
    </row>
    <row r="8766" spans="1:3" x14ac:dyDescent="0.25">
      <c r="A8766" s="115">
        <v>1145663</v>
      </c>
      <c r="B8766" s="115" t="s">
        <v>12529</v>
      </c>
      <c r="C8766" s="117">
        <v>10298.26</v>
      </c>
    </row>
    <row r="8767" spans="1:3" x14ac:dyDescent="0.25">
      <c r="A8767" s="115">
        <v>1148752</v>
      </c>
      <c r="B8767" s="115" t="s">
        <v>8216</v>
      </c>
      <c r="C8767" s="117">
        <v>5796.16</v>
      </c>
    </row>
    <row r="8768" spans="1:3" x14ac:dyDescent="0.25">
      <c r="A8768" s="115">
        <v>1149335</v>
      </c>
      <c r="B8768" s="115" t="s">
        <v>8217</v>
      </c>
      <c r="C8768" s="117">
        <v>3444.84</v>
      </c>
    </row>
    <row r="8769" spans="1:3" x14ac:dyDescent="0.25">
      <c r="A8769" s="115">
        <v>1149900</v>
      </c>
      <c r="B8769" s="115" t="s">
        <v>8218</v>
      </c>
      <c r="C8769" s="117">
        <v>779.72</v>
      </c>
    </row>
    <row r="8770" spans="1:3" x14ac:dyDescent="0.25">
      <c r="A8770" s="115">
        <v>1141620</v>
      </c>
      <c r="B8770" s="115" t="s">
        <v>12530</v>
      </c>
      <c r="C8770" s="117">
        <v>648.47</v>
      </c>
    </row>
    <row r="8771" spans="1:3" x14ac:dyDescent="0.25">
      <c r="A8771" s="115">
        <v>1141660</v>
      </c>
      <c r="B8771" s="115" t="s">
        <v>12531</v>
      </c>
      <c r="C8771" s="117">
        <v>576.75</v>
      </c>
    </row>
    <row r="8772" spans="1:3" x14ac:dyDescent="0.25">
      <c r="A8772" s="115">
        <v>1148942</v>
      </c>
      <c r="B8772" s="115" t="s">
        <v>8219</v>
      </c>
      <c r="C8772" s="117">
        <v>3937.96</v>
      </c>
    </row>
    <row r="8773" spans="1:3" x14ac:dyDescent="0.25">
      <c r="A8773" s="115">
        <v>1148913</v>
      </c>
      <c r="B8773" s="115" t="s">
        <v>8220</v>
      </c>
      <c r="C8773" s="117">
        <v>3937.96</v>
      </c>
    </row>
    <row r="8774" spans="1:3" x14ac:dyDescent="0.25">
      <c r="A8774" s="115">
        <v>1148852</v>
      </c>
      <c r="B8774" s="115" t="s">
        <v>8221</v>
      </c>
      <c r="C8774" s="117">
        <v>5796.16</v>
      </c>
    </row>
    <row r="8775" spans="1:3" x14ac:dyDescent="0.25">
      <c r="A8775" s="115">
        <v>1149063</v>
      </c>
      <c r="B8775" s="115" t="s">
        <v>8222</v>
      </c>
      <c r="C8775" s="117">
        <v>1881.63</v>
      </c>
    </row>
    <row r="8776" spans="1:3" x14ac:dyDescent="0.25">
      <c r="A8776" s="115">
        <v>1142200</v>
      </c>
      <c r="B8776" s="115" t="s">
        <v>8223</v>
      </c>
      <c r="C8776" s="117">
        <v>4113.8</v>
      </c>
    </row>
    <row r="8777" spans="1:3" x14ac:dyDescent="0.25">
      <c r="A8777" s="115">
        <v>1142325</v>
      </c>
      <c r="B8777" s="115" t="s">
        <v>8224</v>
      </c>
      <c r="C8777" s="117">
        <v>6787.93</v>
      </c>
    </row>
    <row r="8778" spans="1:3" x14ac:dyDescent="0.25">
      <c r="A8778" s="115">
        <v>1142217</v>
      </c>
      <c r="B8778" s="115" t="s">
        <v>8225</v>
      </c>
      <c r="C8778" s="117">
        <v>4113.8</v>
      </c>
    </row>
    <row r="8779" spans="1:3" x14ac:dyDescent="0.25">
      <c r="A8779" s="115">
        <v>1142363</v>
      </c>
      <c r="B8779" s="115" t="s">
        <v>8226</v>
      </c>
      <c r="C8779" s="117">
        <v>6787.93</v>
      </c>
    </row>
    <row r="8780" spans="1:3" x14ac:dyDescent="0.25">
      <c r="A8780" s="115">
        <v>1142262</v>
      </c>
      <c r="B8780" s="115" t="s">
        <v>12532</v>
      </c>
      <c r="C8780" s="117">
        <v>3933.86</v>
      </c>
    </row>
    <row r="8781" spans="1:3" x14ac:dyDescent="0.25">
      <c r="A8781" s="115">
        <v>1142290</v>
      </c>
      <c r="B8781" s="115" t="s">
        <v>8227</v>
      </c>
      <c r="C8781" s="117">
        <v>3386.22</v>
      </c>
    </row>
    <row r="8782" spans="1:3" x14ac:dyDescent="0.25">
      <c r="A8782" s="115">
        <v>1142278</v>
      </c>
      <c r="B8782" s="115" t="s">
        <v>8228</v>
      </c>
      <c r="C8782" s="117">
        <v>4122.99</v>
      </c>
    </row>
    <row r="8783" spans="1:3" x14ac:dyDescent="0.25">
      <c r="A8783" s="115">
        <v>1144000</v>
      </c>
      <c r="B8783" s="115" t="s">
        <v>8229</v>
      </c>
      <c r="C8783" s="117">
        <v>4042.98</v>
      </c>
    </row>
    <row r="8784" spans="1:3" x14ac:dyDescent="0.25">
      <c r="A8784" s="115">
        <v>1363400</v>
      </c>
      <c r="B8784" s="115" t="s">
        <v>8230</v>
      </c>
      <c r="C8784" s="117">
        <v>364.42</v>
      </c>
    </row>
    <row r="8785" spans="1:3" x14ac:dyDescent="0.25">
      <c r="A8785" s="115">
        <v>1143512</v>
      </c>
      <c r="B8785" s="115" t="s">
        <v>8231</v>
      </c>
      <c r="C8785" s="117">
        <v>6792.48</v>
      </c>
    </row>
    <row r="8786" spans="1:3" x14ac:dyDescent="0.25">
      <c r="A8786" s="115">
        <v>1143524</v>
      </c>
      <c r="B8786" s="115" t="s">
        <v>8232</v>
      </c>
      <c r="C8786" s="117">
        <v>12850.76</v>
      </c>
    </row>
    <row r="8787" spans="1:3" x14ac:dyDescent="0.25">
      <c r="A8787" s="115">
        <v>1143503</v>
      </c>
      <c r="B8787" s="115" t="s">
        <v>8233</v>
      </c>
      <c r="C8787" s="117">
        <v>1457.75</v>
      </c>
    </row>
    <row r="8788" spans="1:3" x14ac:dyDescent="0.25">
      <c r="A8788" s="115">
        <v>1143504</v>
      </c>
      <c r="B8788" s="115" t="s">
        <v>8234</v>
      </c>
      <c r="C8788" s="117">
        <v>2311.4699999999998</v>
      </c>
    </row>
    <row r="8789" spans="1:3" x14ac:dyDescent="0.25">
      <c r="A8789" s="115">
        <v>1143508</v>
      </c>
      <c r="B8789" s="115" t="s">
        <v>8235</v>
      </c>
      <c r="C8789" s="117">
        <v>5540.02</v>
      </c>
    </row>
    <row r="8790" spans="1:3" x14ac:dyDescent="0.25">
      <c r="A8790" s="115">
        <v>1147030</v>
      </c>
      <c r="B8790" s="115" t="s">
        <v>8236</v>
      </c>
      <c r="C8790" s="117">
        <v>3963.38</v>
      </c>
    </row>
    <row r="8791" spans="1:3" x14ac:dyDescent="0.25">
      <c r="A8791" s="115">
        <v>1140563</v>
      </c>
      <c r="B8791" s="115" t="s">
        <v>8237</v>
      </c>
      <c r="C8791" s="117">
        <v>130.26</v>
      </c>
    </row>
    <row r="8792" spans="1:3" x14ac:dyDescent="0.25">
      <c r="A8792" s="115">
        <v>1141715</v>
      </c>
      <c r="B8792" s="115" t="s">
        <v>8238</v>
      </c>
      <c r="C8792" s="117">
        <v>12299.85</v>
      </c>
    </row>
    <row r="8793" spans="1:3" x14ac:dyDescent="0.25">
      <c r="A8793" s="115">
        <v>1141730</v>
      </c>
      <c r="B8793" s="115" t="s">
        <v>8239</v>
      </c>
      <c r="C8793" s="117">
        <v>728.84</v>
      </c>
    </row>
    <row r="8794" spans="1:3" x14ac:dyDescent="0.25">
      <c r="A8794" s="115">
        <v>1141815</v>
      </c>
      <c r="B8794" s="115" t="s">
        <v>8240</v>
      </c>
      <c r="C8794" s="117">
        <v>12384.49</v>
      </c>
    </row>
    <row r="8795" spans="1:3" x14ac:dyDescent="0.25">
      <c r="A8795" s="115">
        <v>1141830</v>
      </c>
      <c r="B8795" s="115" t="s">
        <v>8241</v>
      </c>
      <c r="C8795" s="117">
        <v>733.86</v>
      </c>
    </row>
    <row r="8796" spans="1:3" x14ac:dyDescent="0.25">
      <c r="A8796" s="115">
        <v>1144800</v>
      </c>
      <c r="B8796" s="115" t="s">
        <v>8242</v>
      </c>
      <c r="C8796" s="117">
        <v>4162.47</v>
      </c>
    </row>
    <row r="8797" spans="1:3" x14ac:dyDescent="0.25">
      <c r="A8797" s="115">
        <v>1141262</v>
      </c>
      <c r="B8797" s="115" t="s">
        <v>12533</v>
      </c>
      <c r="C8797" s="117">
        <v>4344.8599999999997</v>
      </c>
    </row>
    <row r="8798" spans="1:3" x14ac:dyDescent="0.25">
      <c r="A8798" s="115">
        <v>1141238</v>
      </c>
      <c r="B8798" s="115" t="s">
        <v>12534</v>
      </c>
      <c r="C8798" s="117">
        <v>4344.8599999999997</v>
      </c>
    </row>
    <row r="8799" spans="1:3" x14ac:dyDescent="0.25">
      <c r="A8799" s="115">
        <v>1141225</v>
      </c>
      <c r="B8799" s="115" t="s">
        <v>12535</v>
      </c>
      <c r="C8799" s="117">
        <v>136.61000000000001</v>
      </c>
    </row>
    <row r="8800" spans="1:3" x14ac:dyDescent="0.25">
      <c r="A8800" s="115">
        <v>1141263</v>
      </c>
      <c r="B8800" s="115" t="s">
        <v>8243</v>
      </c>
      <c r="C8800" s="117">
        <v>136.61000000000001</v>
      </c>
    </row>
    <row r="8801" spans="1:3" x14ac:dyDescent="0.25">
      <c r="A8801" s="115">
        <v>1144601</v>
      </c>
      <c r="B8801" s="115" t="s">
        <v>8244</v>
      </c>
      <c r="C8801" s="117">
        <v>3730.87</v>
      </c>
    </row>
    <row r="8802" spans="1:3" x14ac:dyDescent="0.25">
      <c r="A8802" s="115">
        <v>1149264</v>
      </c>
      <c r="B8802" s="115" t="s">
        <v>12536</v>
      </c>
      <c r="C8802" s="117">
        <v>1005.54</v>
      </c>
    </row>
    <row r="8803" spans="1:3" x14ac:dyDescent="0.25">
      <c r="A8803" s="115">
        <v>1149263</v>
      </c>
      <c r="B8803" s="115" t="s">
        <v>12537</v>
      </c>
      <c r="C8803" s="117">
        <v>3332.76</v>
      </c>
    </row>
    <row r="8804" spans="1:3" x14ac:dyDescent="0.25">
      <c r="A8804" s="115">
        <v>1149600</v>
      </c>
      <c r="B8804" s="115" t="s">
        <v>8245</v>
      </c>
      <c r="C8804" s="117">
        <v>2295.67</v>
      </c>
    </row>
    <row r="8805" spans="1:3" x14ac:dyDescent="0.25">
      <c r="A8805" s="115">
        <v>1142100</v>
      </c>
      <c r="B8805" s="115" t="s">
        <v>8246</v>
      </c>
      <c r="C8805" s="117">
        <v>1100.78</v>
      </c>
    </row>
    <row r="8806" spans="1:3" x14ac:dyDescent="0.25">
      <c r="A8806" s="115">
        <v>1267010</v>
      </c>
      <c r="B8806" s="115" t="s">
        <v>8247</v>
      </c>
      <c r="C8806" s="117">
        <v>4029.34</v>
      </c>
    </row>
    <row r="8807" spans="1:3" x14ac:dyDescent="0.25">
      <c r="A8807" s="115">
        <v>1227662</v>
      </c>
      <c r="B8807" s="115" t="s">
        <v>8248</v>
      </c>
      <c r="C8807" s="117">
        <v>1025.3499999999999</v>
      </c>
    </row>
    <row r="8808" spans="1:3" x14ac:dyDescent="0.25">
      <c r="A8808" s="115">
        <v>1148992</v>
      </c>
      <c r="B8808" s="115" t="s">
        <v>8249</v>
      </c>
      <c r="C8808" s="117">
        <v>3937.96</v>
      </c>
    </row>
    <row r="8809" spans="1:3" x14ac:dyDescent="0.25">
      <c r="A8809" s="115">
        <v>1142000</v>
      </c>
      <c r="B8809" s="115" t="s">
        <v>8250</v>
      </c>
      <c r="C8809" s="117">
        <v>816.3</v>
      </c>
    </row>
    <row r="8810" spans="1:3" x14ac:dyDescent="0.25">
      <c r="A8810" s="115">
        <v>1263915</v>
      </c>
      <c r="B8810" s="115" t="s">
        <v>8251</v>
      </c>
      <c r="C8810" s="117">
        <v>378.14</v>
      </c>
    </row>
    <row r="8811" spans="1:3" x14ac:dyDescent="0.25">
      <c r="A8811" s="115">
        <v>1269803</v>
      </c>
      <c r="B8811" s="115" t="s">
        <v>8252</v>
      </c>
      <c r="C8811" s="117">
        <v>148.79</v>
      </c>
    </row>
    <row r="8812" spans="1:3" x14ac:dyDescent="0.25">
      <c r="A8812" s="115">
        <v>1269762</v>
      </c>
      <c r="B8812" s="115" t="s">
        <v>8253</v>
      </c>
      <c r="C8812" s="117">
        <v>585.85</v>
      </c>
    </row>
    <row r="8813" spans="1:3" x14ac:dyDescent="0.25">
      <c r="A8813" s="115">
        <v>1269900</v>
      </c>
      <c r="B8813" s="115" t="s">
        <v>8254</v>
      </c>
      <c r="C8813" s="117">
        <v>1076.8499999999999</v>
      </c>
    </row>
    <row r="8814" spans="1:3" x14ac:dyDescent="0.25">
      <c r="A8814" s="115">
        <v>1269910</v>
      </c>
      <c r="B8814" s="115" t="s">
        <v>8255</v>
      </c>
      <c r="C8814" s="117">
        <v>1076.8499999999999</v>
      </c>
    </row>
    <row r="8815" spans="1:3" x14ac:dyDescent="0.25">
      <c r="A8815" s="115">
        <v>1269863</v>
      </c>
      <c r="B8815" s="115" t="s">
        <v>8256</v>
      </c>
      <c r="C8815" s="117">
        <v>274.33</v>
      </c>
    </row>
    <row r="8816" spans="1:3" x14ac:dyDescent="0.25">
      <c r="A8816" s="115">
        <v>1269810</v>
      </c>
      <c r="B8816" s="115" t="s">
        <v>8257</v>
      </c>
      <c r="C8816" s="117">
        <v>274.33</v>
      </c>
    </row>
    <row r="8817" spans="1:3" x14ac:dyDescent="0.25">
      <c r="A8817" s="115">
        <v>1269800</v>
      </c>
      <c r="B8817" s="115" t="s">
        <v>8258</v>
      </c>
      <c r="C8817" s="117">
        <v>274.33</v>
      </c>
    </row>
    <row r="8818" spans="1:3" x14ac:dyDescent="0.25">
      <c r="A8818" s="115">
        <v>1269700</v>
      </c>
      <c r="B8818" s="115" t="s">
        <v>8259</v>
      </c>
      <c r="C8818" s="117">
        <v>585.85</v>
      </c>
    </row>
    <row r="8819" spans="1:3" x14ac:dyDescent="0.25">
      <c r="A8819" s="115">
        <v>1269727</v>
      </c>
      <c r="B8819" s="115" t="s">
        <v>8260</v>
      </c>
      <c r="C8819" s="117">
        <v>585.85</v>
      </c>
    </row>
    <row r="8820" spans="1:3" x14ac:dyDescent="0.25">
      <c r="A8820" s="115">
        <v>1269710</v>
      </c>
      <c r="B8820" s="115" t="s">
        <v>8261</v>
      </c>
      <c r="C8820" s="117">
        <v>585.85</v>
      </c>
    </row>
    <row r="8821" spans="1:3" x14ac:dyDescent="0.25">
      <c r="A8821" s="115">
        <v>1269801</v>
      </c>
      <c r="B8821" s="115" t="s">
        <v>8262</v>
      </c>
      <c r="C8821" s="117">
        <v>274.33</v>
      </c>
    </row>
    <row r="8822" spans="1:3" x14ac:dyDescent="0.25">
      <c r="A8822" s="144" t="s">
        <v>8263</v>
      </c>
      <c r="B8822" s="145"/>
      <c r="C8822" s="145"/>
    </row>
    <row r="8823" spans="1:3" x14ac:dyDescent="0.25">
      <c r="A8823" s="115">
        <v>1223548</v>
      </c>
      <c r="B8823" s="115" t="s">
        <v>12538</v>
      </c>
      <c r="C8823" s="117">
        <v>2853.77</v>
      </c>
    </row>
    <row r="8824" spans="1:3" x14ac:dyDescent="0.25">
      <c r="A8824" s="115">
        <v>1223525</v>
      </c>
      <c r="B8824" s="115" t="s">
        <v>8264</v>
      </c>
      <c r="C8824" s="117">
        <v>2121.17</v>
      </c>
    </row>
    <row r="8825" spans="1:3" x14ac:dyDescent="0.25">
      <c r="A8825" s="115">
        <v>1223553</v>
      </c>
      <c r="B8825" s="115" t="s">
        <v>8265</v>
      </c>
      <c r="C8825" s="117">
        <v>2121.17</v>
      </c>
    </row>
    <row r="8826" spans="1:3" x14ac:dyDescent="0.25">
      <c r="A8826" s="115">
        <v>1223400</v>
      </c>
      <c r="B8826" s="115" t="s">
        <v>8266</v>
      </c>
      <c r="C8826" s="117">
        <v>385.99</v>
      </c>
    </row>
    <row r="8827" spans="1:3" x14ac:dyDescent="0.25">
      <c r="A8827" s="115">
        <v>1223453</v>
      </c>
      <c r="B8827" s="115" t="s">
        <v>8267</v>
      </c>
      <c r="C8827" s="117">
        <v>2270.09</v>
      </c>
    </row>
    <row r="8828" spans="1:3" x14ac:dyDescent="0.25">
      <c r="A8828" s="115">
        <v>1223670</v>
      </c>
      <c r="B8828" s="115" t="s">
        <v>8268</v>
      </c>
      <c r="C8828" s="117">
        <v>3623.1</v>
      </c>
    </row>
    <row r="8829" spans="1:3" x14ac:dyDescent="0.25">
      <c r="A8829" s="115">
        <v>1223615</v>
      </c>
      <c r="B8829" s="115" t="s">
        <v>12539</v>
      </c>
      <c r="C8829" s="117">
        <v>3467.23</v>
      </c>
    </row>
    <row r="8830" spans="1:3" x14ac:dyDescent="0.25">
      <c r="A8830" s="115">
        <v>1228300</v>
      </c>
      <c r="B8830" s="115" t="s">
        <v>8269</v>
      </c>
      <c r="C8830" s="117">
        <v>792.14</v>
      </c>
    </row>
    <row r="8831" spans="1:3" x14ac:dyDescent="0.25">
      <c r="A8831" s="115">
        <v>1222010</v>
      </c>
      <c r="B8831" s="115" t="s">
        <v>12540</v>
      </c>
      <c r="C8831" s="117">
        <v>1364.82</v>
      </c>
    </row>
    <row r="8832" spans="1:3" x14ac:dyDescent="0.25">
      <c r="A8832" s="115">
        <v>1228725</v>
      </c>
      <c r="B8832" s="115" t="s">
        <v>8270</v>
      </c>
      <c r="C8832" s="117">
        <v>459.83</v>
      </c>
    </row>
    <row r="8833" spans="1:3" x14ac:dyDescent="0.25">
      <c r="A8833" s="115">
        <v>1220463</v>
      </c>
      <c r="B8833" s="115" t="s">
        <v>8271</v>
      </c>
      <c r="C8833" s="117">
        <v>459.83</v>
      </c>
    </row>
    <row r="8834" spans="1:3" x14ac:dyDescent="0.25">
      <c r="A8834" s="115">
        <v>1228753</v>
      </c>
      <c r="B8834" s="115" t="s">
        <v>8272</v>
      </c>
      <c r="C8834" s="117">
        <v>459.83</v>
      </c>
    </row>
    <row r="8835" spans="1:3" x14ac:dyDescent="0.25">
      <c r="A8835" s="115">
        <v>1220330</v>
      </c>
      <c r="B8835" s="115" t="s">
        <v>8273</v>
      </c>
      <c r="C8835" s="117">
        <v>1542.24</v>
      </c>
    </row>
    <row r="8836" spans="1:3" x14ac:dyDescent="0.25">
      <c r="A8836" s="115">
        <v>1220325</v>
      </c>
      <c r="B8836" s="115" t="s">
        <v>8274</v>
      </c>
      <c r="C8836" s="117">
        <v>1542.24</v>
      </c>
    </row>
    <row r="8837" spans="1:3" x14ac:dyDescent="0.25">
      <c r="A8837" s="115">
        <v>1220367</v>
      </c>
      <c r="B8837" s="115" t="s">
        <v>8275</v>
      </c>
      <c r="C8837" s="117">
        <v>1589.94</v>
      </c>
    </row>
    <row r="8838" spans="1:3" x14ac:dyDescent="0.25">
      <c r="A8838" s="115">
        <v>1220363</v>
      </c>
      <c r="B8838" s="115" t="s">
        <v>8276</v>
      </c>
      <c r="C8838" s="117">
        <v>1589.94</v>
      </c>
    </row>
    <row r="8839" spans="1:3" x14ac:dyDescent="0.25">
      <c r="A8839" s="115">
        <v>1225361</v>
      </c>
      <c r="B8839" s="115" t="s">
        <v>8277</v>
      </c>
      <c r="C8839" s="117">
        <v>1422.64</v>
      </c>
    </row>
    <row r="8840" spans="1:3" x14ac:dyDescent="0.25">
      <c r="A8840" s="115">
        <v>1225362</v>
      </c>
      <c r="B8840" s="115" t="s">
        <v>8278</v>
      </c>
      <c r="C8840" s="117">
        <v>1672.82</v>
      </c>
    </row>
    <row r="8841" spans="1:3" x14ac:dyDescent="0.25">
      <c r="A8841" s="115">
        <v>1224012</v>
      </c>
      <c r="B8841" s="115" t="s">
        <v>8279</v>
      </c>
      <c r="C8841" s="117">
        <v>2554.13</v>
      </c>
    </row>
    <row r="8842" spans="1:3" x14ac:dyDescent="0.25">
      <c r="A8842" s="115">
        <v>1224025</v>
      </c>
      <c r="B8842" s="115" t="s">
        <v>8280</v>
      </c>
      <c r="C8842" s="117">
        <v>668.57</v>
      </c>
    </row>
    <row r="8843" spans="1:3" x14ac:dyDescent="0.25">
      <c r="A8843" s="115">
        <v>1224022</v>
      </c>
      <c r="B8843" s="115" t="s">
        <v>12541</v>
      </c>
      <c r="C8843" s="117">
        <v>668.58</v>
      </c>
    </row>
    <row r="8844" spans="1:3" x14ac:dyDescent="0.25">
      <c r="A8844" s="115">
        <v>1224010</v>
      </c>
      <c r="B8844" s="115" t="s">
        <v>12542</v>
      </c>
      <c r="C8844" s="117">
        <v>668.57</v>
      </c>
    </row>
    <row r="8845" spans="1:3" x14ac:dyDescent="0.25">
      <c r="A8845" s="115">
        <v>1229525</v>
      </c>
      <c r="B8845" s="115" t="s">
        <v>8281</v>
      </c>
      <c r="C8845" s="117">
        <v>1509.19</v>
      </c>
    </row>
    <row r="8846" spans="1:3" x14ac:dyDescent="0.25">
      <c r="A8846" s="115">
        <v>1229553</v>
      </c>
      <c r="B8846" s="115" t="s">
        <v>8282</v>
      </c>
      <c r="C8846" s="117">
        <v>1509.19</v>
      </c>
    </row>
    <row r="8847" spans="1:3" x14ac:dyDescent="0.25">
      <c r="A8847" s="115">
        <v>1229453</v>
      </c>
      <c r="B8847" s="115" t="s">
        <v>8283</v>
      </c>
      <c r="C8847" s="117">
        <v>2654.12</v>
      </c>
    </row>
    <row r="8848" spans="1:3" x14ac:dyDescent="0.25">
      <c r="A8848" s="115">
        <v>1228603</v>
      </c>
      <c r="B8848" s="115" t="s">
        <v>8284</v>
      </c>
      <c r="C8848" s="117">
        <v>1760.42</v>
      </c>
    </row>
    <row r="8849" spans="1:3" x14ac:dyDescent="0.25">
      <c r="A8849" s="115">
        <v>1228500</v>
      </c>
      <c r="B8849" s="115" t="s">
        <v>8285</v>
      </c>
      <c r="C8849" s="117">
        <v>1480.82</v>
      </c>
    </row>
    <row r="8850" spans="1:3" x14ac:dyDescent="0.25">
      <c r="A8850" s="115">
        <v>1225673</v>
      </c>
      <c r="B8850" s="115" t="s">
        <v>12026</v>
      </c>
      <c r="C8850" s="117">
        <v>3668.78</v>
      </c>
    </row>
    <row r="8851" spans="1:3" x14ac:dyDescent="0.25">
      <c r="A8851" s="115">
        <v>1225224</v>
      </c>
      <c r="B8851" s="115" t="s">
        <v>8286</v>
      </c>
      <c r="C8851" s="117">
        <v>750.46</v>
      </c>
    </row>
    <row r="8852" spans="1:3" x14ac:dyDescent="0.25">
      <c r="A8852" s="115">
        <v>1225200</v>
      </c>
      <c r="B8852" s="115" t="s">
        <v>8287</v>
      </c>
      <c r="C8852" s="117">
        <v>750.46</v>
      </c>
    </row>
    <row r="8853" spans="1:3" x14ac:dyDescent="0.25">
      <c r="A8853" s="115">
        <v>1225126</v>
      </c>
      <c r="B8853" s="115" t="s">
        <v>8288</v>
      </c>
      <c r="C8853" s="117">
        <v>1866.84</v>
      </c>
    </row>
    <row r="8854" spans="1:3" x14ac:dyDescent="0.25">
      <c r="A8854" s="115">
        <v>1225280</v>
      </c>
      <c r="B8854" s="115" t="s">
        <v>8289</v>
      </c>
      <c r="C8854" s="117">
        <v>1866.84</v>
      </c>
    </row>
    <row r="8855" spans="1:3" x14ac:dyDescent="0.25">
      <c r="A8855" s="115">
        <v>1223025</v>
      </c>
      <c r="B8855" s="115" t="s">
        <v>8290</v>
      </c>
      <c r="C8855" s="117">
        <v>139.93</v>
      </c>
    </row>
    <row r="8856" spans="1:3" x14ac:dyDescent="0.25">
      <c r="A8856" s="115">
        <v>1223125</v>
      </c>
      <c r="B8856" s="115" t="s">
        <v>8291</v>
      </c>
      <c r="C8856" s="117">
        <v>430.3</v>
      </c>
    </row>
    <row r="8857" spans="1:3" x14ac:dyDescent="0.25">
      <c r="A8857" s="115">
        <v>1223026</v>
      </c>
      <c r="B8857" s="115" t="s">
        <v>8292</v>
      </c>
      <c r="C8857" s="117">
        <v>122.97</v>
      </c>
    </row>
    <row r="8858" spans="1:3" x14ac:dyDescent="0.25">
      <c r="A8858" s="115">
        <v>1223126</v>
      </c>
      <c r="B8858" s="115" t="s">
        <v>8293</v>
      </c>
      <c r="C8858" s="117">
        <v>402.31</v>
      </c>
    </row>
    <row r="8859" spans="1:3" x14ac:dyDescent="0.25">
      <c r="A8859" s="115">
        <v>1223053</v>
      </c>
      <c r="B8859" s="115" t="s">
        <v>8294</v>
      </c>
      <c r="C8859" s="117">
        <v>139.93</v>
      </c>
    </row>
    <row r="8860" spans="1:3" x14ac:dyDescent="0.25">
      <c r="A8860" s="115">
        <v>1223153</v>
      </c>
      <c r="B8860" s="115" t="s">
        <v>8295</v>
      </c>
      <c r="C8860" s="117">
        <v>430.3</v>
      </c>
    </row>
    <row r="8861" spans="1:3" x14ac:dyDescent="0.25">
      <c r="A8861" s="115">
        <v>1222475</v>
      </c>
      <c r="B8861" s="115" t="s">
        <v>12543</v>
      </c>
      <c r="C8861" s="117">
        <v>2422.77</v>
      </c>
    </row>
    <row r="8862" spans="1:3" x14ac:dyDescent="0.25">
      <c r="A8862" s="115">
        <v>1222477</v>
      </c>
      <c r="B8862" s="115" t="s">
        <v>12544</v>
      </c>
      <c r="C8862" s="117">
        <v>2422.77</v>
      </c>
    </row>
    <row r="8863" spans="1:3" x14ac:dyDescent="0.25">
      <c r="A8863" s="115">
        <v>1221816</v>
      </c>
      <c r="B8863" s="115" t="s">
        <v>8296</v>
      </c>
      <c r="C8863" s="117">
        <v>5626.65</v>
      </c>
    </row>
    <row r="8864" spans="1:3" x14ac:dyDescent="0.25">
      <c r="A8864" s="115">
        <v>1221825</v>
      </c>
      <c r="B8864" s="115" t="s">
        <v>8297</v>
      </c>
      <c r="C8864" s="117">
        <v>653.41</v>
      </c>
    </row>
    <row r="8865" spans="1:3" x14ac:dyDescent="0.25">
      <c r="A8865" s="115">
        <v>1221819</v>
      </c>
      <c r="B8865" s="115" t="s">
        <v>8298</v>
      </c>
      <c r="C8865" s="117">
        <v>2974.64</v>
      </c>
    </row>
    <row r="8866" spans="1:3" x14ac:dyDescent="0.25">
      <c r="A8866" s="115">
        <v>1221811</v>
      </c>
      <c r="B8866" s="115" t="s">
        <v>8299</v>
      </c>
      <c r="C8866" s="117">
        <v>1707.05</v>
      </c>
    </row>
    <row r="8867" spans="1:3" x14ac:dyDescent="0.25">
      <c r="A8867" s="115">
        <v>1221818</v>
      </c>
      <c r="B8867" s="115" t="s">
        <v>8300</v>
      </c>
      <c r="C8867" s="117">
        <v>2974.64</v>
      </c>
    </row>
    <row r="8868" spans="1:3" x14ac:dyDescent="0.25">
      <c r="A8868" s="115">
        <v>1221810</v>
      </c>
      <c r="B8868" s="115" t="s">
        <v>8301</v>
      </c>
      <c r="C8868" s="117">
        <v>14558.1</v>
      </c>
    </row>
    <row r="8869" spans="1:3" x14ac:dyDescent="0.25">
      <c r="A8869" s="115">
        <v>1221830</v>
      </c>
      <c r="B8869" s="115" t="s">
        <v>8302</v>
      </c>
      <c r="C8869" s="117">
        <v>5113.16</v>
      </c>
    </row>
    <row r="8870" spans="1:3" x14ac:dyDescent="0.25">
      <c r="A8870" s="115">
        <v>1221838</v>
      </c>
      <c r="B8870" s="115" t="s">
        <v>8303</v>
      </c>
      <c r="C8870" s="117">
        <v>653.41</v>
      </c>
    </row>
    <row r="8871" spans="1:3" x14ac:dyDescent="0.25">
      <c r="A8871" s="115">
        <v>1222599</v>
      </c>
      <c r="B8871" s="115" t="s">
        <v>12027</v>
      </c>
      <c r="C8871" s="117">
        <v>2741.34</v>
      </c>
    </row>
    <row r="8872" spans="1:3" x14ac:dyDescent="0.25">
      <c r="A8872" s="115">
        <v>1230854</v>
      </c>
      <c r="B8872" s="115" t="s">
        <v>8304</v>
      </c>
      <c r="C8872" s="117">
        <v>5628.06</v>
      </c>
    </row>
    <row r="8873" spans="1:3" x14ac:dyDescent="0.25">
      <c r="A8873" s="115">
        <v>1230853</v>
      </c>
      <c r="B8873" s="115" t="s">
        <v>8305</v>
      </c>
      <c r="C8873" s="117">
        <v>5628.06</v>
      </c>
    </row>
    <row r="8874" spans="1:3" x14ac:dyDescent="0.25">
      <c r="A8874" s="115">
        <v>1222601</v>
      </c>
      <c r="B8874" s="115" t="s">
        <v>8306</v>
      </c>
      <c r="C8874" s="117">
        <v>1256.3599999999999</v>
      </c>
    </row>
    <row r="8875" spans="1:3" x14ac:dyDescent="0.25">
      <c r="A8875" s="115">
        <v>1222426</v>
      </c>
      <c r="B8875" s="115" t="s">
        <v>8307</v>
      </c>
      <c r="C8875" s="117">
        <v>2192.38</v>
      </c>
    </row>
    <row r="8876" spans="1:3" x14ac:dyDescent="0.25">
      <c r="A8876" s="115">
        <v>1222424</v>
      </c>
      <c r="B8876" s="115" t="s">
        <v>8308</v>
      </c>
      <c r="C8876" s="117">
        <v>2192.38</v>
      </c>
    </row>
    <row r="8877" spans="1:3" x14ac:dyDescent="0.25">
      <c r="A8877" s="115">
        <v>1222499</v>
      </c>
      <c r="B8877" s="115" t="s">
        <v>8309</v>
      </c>
      <c r="C8877" s="117">
        <v>2260.19</v>
      </c>
    </row>
    <row r="8878" spans="1:3" x14ac:dyDescent="0.25">
      <c r="A8878" s="115">
        <v>1222453</v>
      </c>
      <c r="B8878" s="115" t="s">
        <v>8310</v>
      </c>
      <c r="C8878" s="117">
        <v>2192.38</v>
      </c>
    </row>
    <row r="8879" spans="1:3" x14ac:dyDescent="0.25">
      <c r="A8879" s="115">
        <v>1222709</v>
      </c>
      <c r="B8879" s="115" t="s">
        <v>12545</v>
      </c>
      <c r="C8879" s="117">
        <v>2990.53</v>
      </c>
    </row>
    <row r="8880" spans="1:3" x14ac:dyDescent="0.25">
      <c r="A8880" s="115">
        <v>1222622</v>
      </c>
      <c r="B8880" s="115" t="s">
        <v>8311</v>
      </c>
      <c r="C8880" s="117">
        <v>1261.82</v>
      </c>
    </row>
    <row r="8881" spans="1:3" x14ac:dyDescent="0.25">
      <c r="A8881" s="115">
        <v>1222626</v>
      </c>
      <c r="B8881" s="115" t="s">
        <v>8312</v>
      </c>
      <c r="C8881" s="117">
        <v>1261.82</v>
      </c>
    </row>
    <row r="8882" spans="1:3" x14ac:dyDescent="0.25">
      <c r="A8882" s="115">
        <v>1222624</v>
      </c>
      <c r="B8882" s="115" t="s">
        <v>8313</v>
      </c>
      <c r="C8882" s="117">
        <v>1261.82</v>
      </c>
    </row>
    <row r="8883" spans="1:3" x14ac:dyDescent="0.25">
      <c r="A8883" s="115">
        <v>1222653</v>
      </c>
      <c r="B8883" s="115" t="s">
        <v>8314</v>
      </c>
      <c r="C8883" s="117">
        <v>1261.82</v>
      </c>
    </row>
    <row r="8884" spans="1:3" x14ac:dyDescent="0.25">
      <c r="A8884" s="115">
        <v>1222699</v>
      </c>
      <c r="B8884" s="115" t="s">
        <v>8315</v>
      </c>
      <c r="C8884" s="117">
        <v>1261.82</v>
      </c>
    </row>
    <row r="8885" spans="1:3" x14ac:dyDescent="0.25">
      <c r="A8885" s="115">
        <v>1226900</v>
      </c>
      <c r="B8885" s="115" t="s">
        <v>8316</v>
      </c>
      <c r="C8885" s="117">
        <v>466.89</v>
      </c>
    </row>
    <row r="8886" spans="1:3" x14ac:dyDescent="0.25">
      <c r="A8886" s="115">
        <v>1228100</v>
      </c>
      <c r="B8886" s="115" t="s">
        <v>8317</v>
      </c>
      <c r="C8886" s="117">
        <v>563.22</v>
      </c>
    </row>
    <row r="8887" spans="1:3" x14ac:dyDescent="0.25">
      <c r="A8887" s="115">
        <v>1228140</v>
      </c>
      <c r="B8887" s="115" t="s">
        <v>12546</v>
      </c>
      <c r="C8887" s="117">
        <v>466.99</v>
      </c>
    </row>
    <row r="8888" spans="1:3" x14ac:dyDescent="0.25">
      <c r="A8888" s="115">
        <v>1228128</v>
      </c>
      <c r="B8888" s="115" t="s">
        <v>8318</v>
      </c>
      <c r="C8888" s="117">
        <v>830.47</v>
      </c>
    </row>
    <row r="8889" spans="1:3" x14ac:dyDescent="0.25">
      <c r="A8889" s="115">
        <v>1225363</v>
      </c>
      <c r="B8889" s="115" t="s">
        <v>8319</v>
      </c>
      <c r="C8889" s="117">
        <v>1573.21</v>
      </c>
    </row>
    <row r="8890" spans="1:3" x14ac:dyDescent="0.25">
      <c r="A8890" s="115">
        <v>1225900</v>
      </c>
      <c r="B8890" s="115" t="s">
        <v>8320</v>
      </c>
      <c r="C8890" s="117">
        <v>899.26</v>
      </c>
    </row>
    <row r="8891" spans="1:3" x14ac:dyDescent="0.25">
      <c r="A8891" s="115">
        <v>1225925</v>
      </c>
      <c r="B8891" s="115" t="s">
        <v>8321</v>
      </c>
      <c r="C8891" s="117">
        <v>899.26</v>
      </c>
    </row>
    <row r="8892" spans="1:3" x14ac:dyDescent="0.25">
      <c r="A8892" s="115">
        <v>1225924</v>
      </c>
      <c r="B8892" s="115" t="s">
        <v>8322</v>
      </c>
      <c r="C8892" s="117">
        <v>899.26</v>
      </c>
    </row>
    <row r="8893" spans="1:3" x14ac:dyDescent="0.25">
      <c r="A8893" s="115">
        <v>1225962</v>
      </c>
      <c r="B8893" s="115" t="s">
        <v>8323</v>
      </c>
      <c r="C8893" s="117">
        <v>899.24</v>
      </c>
    </row>
    <row r="8894" spans="1:3" x14ac:dyDescent="0.25">
      <c r="A8894" s="115">
        <v>1225963</v>
      </c>
      <c r="B8894" s="115" t="s">
        <v>8324</v>
      </c>
      <c r="C8894" s="117">
        <v>899.26</v>
      </c>
    </row>
    <row r="8895" spans="1:3" x14ac:dyDescent="0.25">
      <c r="A8895" s="115">
        <v>1226162</v>
      </c>
      <c r="B8895" s="115" t="s">
        <v>8325</v>
      </c>
      <c r="C8895" s="117">
        <v>3520.16</v>
      </c>
    </row>
    <row r="8896" spans="1:3" x14ac:dyDescent="0.25">
      <c r="A8896" s="115">
        <v>1226410</v>
      </c>
      <c r="B8896" s="115" t="s">
        <v>8326</v>
      </c>
      <c r="C8896" s="117">
        <v>1345.99</v>
      </c>
    </row>
    <row r="8897" spans="1:3" x14ac:dyDescent="0.25">
      <c r="A8897" s="115">
        <v>1226435</v>
      </c>
      <c r="B8897" s="115" t="s">
        <v>8327</v>
      </c>
      <c r="C8897" s="117">
        <v>421.33</v>
      </c>
    </row>
    <row r="8898" spans="1:3" x14ac:dyDescent="0.25">
      <c r="A8898" s="115">
        <v>1227526</v>
      </c>
      <c r="B8898" s="115" t="s">
        <v>8328</v>
      </c>
      <c r="C8898" s="117">
        <v>2195.61</v>
      </c>
    </row>
    <row r="8899" spans="1:3" x14ac:dyDescent="0.25">
      <c r="A8899" s="115">
        <v>1227625</v>
      </c>
      <c r="B8899" s="115" t="s">
        <v>8329</v>
      </c>
      <c r="C8899" s="117">
        <v>943.46</v>
      </c>
    </row>
    <row r="8900" spans="1:3" x14ac:dyDescent="0.25">
      <c r="A8900" s="115">
        <v>1227634</v>
      </c>
      <c r="B8900" s="115" t="s">
        <v>8330</v>
      </c>
      <c r="C8900" s="117">
        <v>1025.5</v>
      </c>
    </row>
    <row r="8901" spans="1:3" x14ac:dyDescent="0.25">
      <c r="A8901" s="115">
        <v>1227525</v>
      </c>
      <c r="B8901" s="115" t="s">
        <v>8331</v>
      </c>
      <c r="C8901" s="117">
        <v>2195.61</v>
      </c>
    </row>
    <row r="8902" spans="1:3" x14ac:dyDescent="0.25">
      <c r="A8902" s="115">
        <v>1227563</v>
      </c>
      <c r="B8902" s="115" t="s">
        <v>8332</v>
      </c>
      <c r="C8902" s="117">
        <v>2195.61</v>
      </c>
    </row>
    <row r="8903" spans="1:3" x14ac:dyDescent="0.25">
      <c r="A8903" s="115">
        <v>1227562</v>
      </c>
      <c r="B8903" s="115" t="s">
        <v>8333</v>
      </c>
      <c r="C8903" s="117">
        <v>1971.82</v>
      </c>
    </row>
    <row r="8904" spans="1:3" x14ac:dyDescent="0.25">
      <c r="A8904" s="115">
        <v>1228422</v>
      </c>
      <c r="B8904" s="115" t="s">
        <v>8334</v>
      </c>
      <c r="C8904" s="117">
        <v>599.5</v>
      </c>
    </row>
    <row r="8905" spans="1:3" x14ac:dyDescent="0.25">
      <c r="A8905" s="115">
        <v>1228425</v>
      </c>
      <c r="B8905" s="115" t="s">
        <v>8335</v>
      </c>
      <c r="C8905" s="117">
        <v>496.18</v>
      </c>
    </row>
    <row r="8906" spans="1:3" x14ac:dyDescent="0.25">
      <c r="A8906" s="115">
        <v>1228453</v>
      </c>
      <c r="B8906" s="115" t="s">
        <v>8336</v>
      </c>
      <c r="C8906" s="117">
        <v>539.33000000000004</v>
      </c>
    </row>
    <row r="8907" spans="1:3" x14ac:dyDescent="0.25">
      <c r="A8907" s="115">
        <v>1232853</v>
      </c>
      <c r="B8907" s="115" t="s">
        <v>8337</v>
      </c>
      <c r="C8907" s="117">
        <v>1091.19</v>
      </c>
    </row>
    <row r="8908" spans="1:3" x14ac:dyDescent="0.25">
      <c r="A8908" s="115">
        <v>1223940</v>
      </c>
      <c r="B8908" s="115" t="s">
        <v>12547</v>
      </c>
      <c r="C8908" s="117">
        <v>1247.1400000000001</v>
      </c>
    </row>
    <row r="8909" spans="1:3" x14ac:dyDescent="0.25">
      <c r="A8909" s="115">
        <v>1223973</v>
      </c>
      <c r="B8909" s="115" t="s">
        <v>12548</v>
      </c>
      <c r="C8909" s="117">
        <v>1323.98</v>
      </c>
    </row>
    <row r="8910" spans="1:3" x14ac:dyDescent="0.25">
      <c r="A8910" s="115">
        <v>1217124</v>
      </c>
      <c r="B8910" s="115" t="s">
        <v>8338</v>
      </c>
      <c r="C8910" s="117">
        <v>10648.93</v>
      </c>
    </row>
    <row r="8911" spans="1:3" x14ac:dyDescent="0.25">
      <c r="A8911" s="115">
        <v>1217100</v>
      </c>
      <c r="B8911" s="115" t="s">
        <v>8339</v>
      </c>
      <c r="C8911" s="117">
        <v>1626.4</v>
      </c>
    </row>
    <row r="8912" spans="1:3" x14ac:dyDescent="0.25">
      <c r="A8912" s="115">
        <v>1217102</v>
      </c>
      <c r="B8912" s="115" t="s">
        <v>8340</v>
      </c>
      <c r="C8912" s="117">
        <v>7183.92</v>
      </c>
    </row>
    <row r="8913" spans="1:3" x14ac:dyDescent="0.25">
      <c r="A8913" s="115">
        <v>1221093</v>
      </c>
      <c r="B8913" s="115" t="s">
        <v>12549</v>
      </c>
      <c r="C8913" s="117">
        <v>365.18</v>
      </c>
    </row>
    <row r="8914" spans="1:3" x14ac:dyDescent="0.25">
      <c r="A8914" s="115">
        <v>1221125</v>
      </c>
      <c r="B8914" s="115" t="s">
        <v>8341</v>
      </c>
      <c r="C8914" s="117">
        <v>390.64</v>
      </c>
    </row>
    <row r="8915" spans="1:3" x14ac:dyDescent="0.25">
      <c r="A8915" s="115">
        <v>1221163</v>
      </c>
      <c r="B8915" s="115" t="s">
        <v>8342</v>
      </c>
      <c r="C8915" s="117">
        <v>390.64</v>
      </c>
    </row>
    <row r="8916" spans="1:3" x14ac:dyDescent="0.25">
      <c r="A8916" s="115">
        <v>1221225</v>
      </c>
      <c r="B8916" s="115" t="s">
        <v>8343</v>
      </c>
      <c r="C8916" s="117">
        <v>660.11</v>
      </c>
    </row>
    <row r="8917" spans="1:3" x14ac:dyDescent="0.25">
      <c r="A8917" s="115">
        <v>1221263</v>
      </c>
      <c r="B8917" s="115" t="s">
        <v>8344</v>
      </c>
      <c r="C8917" s="117">
        <v>660.11</v>
      </c>
    </row>
    <row r="8918" spans="1:3" x14ac:dyDescent="0.25">
      <c r="A8918" s="115">
        <v>1220171</v>
      </c>
      <c r="B8918" s="115" t="s">
        <v>12550</v>
      </c>
      <c r="C8918" s="117">
        <v>2307.5500000000002</v>
      </c>
    </row>
    <row r="8919" spans="1:3" x14ac:dyDescent="0.25">
      <c r="A8919" s="115">
        <v>1222363</v>
      </c>
      <c r="B8919" s="115" t="s">
        <v>8345</v>
      </c>
      <c r="C8919" s="117">
        <v>1162.0999999999999</v>
      </c>
    </row>
    <row r="8920" spans="1:3" x14ac:dyDescent="0.25">
      <c r="A8920" s="115">
        <v>1222390</v>
      </c>
      <c r="B8920" s="115" t="s">
        <v>8346</v>
      </c>
      <c r="C8920" s="117">
        <v>1328.11</v>
      </c>
    </row>
    <row r="8921" spans="1:3" x14ac:dyDescent="0.25">
      <c r="A8921" s="115">
        <v>1220800</v>
      </c>
      <c r="B8921" s="115" t="s">
        <v>8347</v>
      </c>
      <c r="C8921" s="117">
        <v>248.98</v>
      </c>
    </row>
    <row r="8922" spans="1:3" x14ac:dyDescent="0.25">
      <c r="A8922" s="115">
        <v>1223273</v>
      </c>
      <c r="B8922" s="115" t="s">
        <v>12551</v>
      </c>
      <c r="C8922" s="117">
        <v>2015.2</v>
      </c>
    </row>
    <row r="8923" spans="1:3" x14ac:dyDescent="0.25">
      <c r="A8923" s="115">
        <v>1229000</v>
      </c>
      <c r="B8923" s="115" t="s">
        <v>8348</v>
      </c>
      <c r="C8923" s="117">
        <v>1147.57</v>
      </c>
    </row>
    <row r="8924" spans="1:3" x14ac:dyDescent="0.25">
      <c r="A8924" s="115">
        <v>1227860</v>
      </c>
      <c r="B8924" s="115" t="s">
        <v>8349</v>
      </c>
      <c r="C8924" s="117">
        <v>1017.54</v>
      </c>
    </row>
    <row r="8925" spans="1:3" x14ac:dyDescent="0.25">
      <c r="A8925" s="115">
        <v>1227861</v>
      </c>
      <c r="B8925" s="115" t="s">
        <v>8350</v>
      </c>
      <c r="C8925" s="117">
        <v>1017.54</v>
      </c>
    </row>
    <row r="8926" spans="1:3" x14ac:dyDescent="0.25">
      <c r="A8926" s="115">
        <v>1227825</v>
      </c>
      <c r="B8926" s="115" t="s">
        <v>8351</v>
      </c>
      <c r="C8926" s="117">
        <v>1106.02</v>
      </c>
    </row>
    <row r="8927" spans="1:3" x14ac:dyDescent="0.25">
      <c r="A8927" s="115">
        <v>1225065</v>
      </c>
      <c r="B8927" s="115" t="s">
        <v>12552</v>
      </c>
      <c r="C8927" s="117">
        <v>1784.96</v>
      </c>
    </row>
    <row r="8928" spans="1:3" x14ac:dyDescent="0.25">
      <c r="A8928" s="115">
        <v>1222900</v>
      </c>
      <c r="B8928" s="115" t="s">
        <v>8352</v>
      </c>
      <c r="C8928" s="117">
        <v>1820.49</v>
      </c>
    </row>
    <row r="8929" spans="1:3" x14ac:dyDescent="0.25">
      <c r="A8929" s="115">
        <v>1225064</v>
      </c>
      <c r="B8929" s="115" t="s">
        <v>12028</v>
      </c>
      <c r="C8929" s="117">
        <v>1329.76</v>
      </c>
    </row>
    <row r="8930" spans="1:3" x14ac:dyDescent="0.25">
      <c r="A8930" s="115">
        <v>1222910</v>
      </c>
      <c r="B8930" s="115" t="s">
        <v>8353</v>
      </c>
      <c r="C8930" s="117">
        <v>916.61</v>
      </c>
    </row>
    <row r="8931" spans="1:3" x14ac:dyDescent="0.25">
      <c r="A8931" s="115">
        <v>1225022</v>
      </c>
      <c r="B8931" s="115" t="s">
        <v>8354</v>
      </c>
      <c r="C8931" s="117">
        <v>1626.9</v>
      </c>
    </row>
    <row r="8932" spans="1:3" x14ac:dyDescent="0.25">
      <c r="A8932" s="115">
        <v>1225025</v>
      </c>
      <c r="B8932" s="115" t="s">
        <v>8355</v>
      </c>
      <c r="C8932" s="117">
        <v>1319.97</v>
      </c>
    </row>
    <row r="8933" spans="1:3" x14ac:dyDescent="0.25">
      <c r="A8933" s="115">
        <v>1225063</v>
      </c>
      <c r="B8933" s="115" t="s">
        <v>8356</v>
      </c>
      <c r="C8933" s="117">
        <v>1319.97</v>
      </c>
    </row>
    <row r="8934" spans="1:3" x14ac:dyDescent="0.25">
      <c r="A8934" s="115">
        <v>1222901</v>
      </c>
      <c r="B8934" s="115" t="s">
        <v>8357</v>
      </c>
      <c r="C8934" s="117">
        <v>1549.12</v>
      </c>
    </row>
    <row r="8935" spans="1:3" x14ac:dyDescent="0.25">
      <c r="A8935" s="115">
        <v>1222926</v>
      </c>
      <c r="B8935" s="115" t="s">
        <v>8358</v>
      </c>
      <c r="C8935" s="117">
        <v>2531.9699999999998</v>
      </c>
    </row>
    <row r="8936" spans="1:3" x14ac:dyDescent="0.25">
      <c r="A8936" s="115">
        <v>1222920</v>
      </c>
      <c r="B8936" s="115" t="s">
        <v>8359</v>
      </c>
      <c r="C8936" s="117">
        <v>615.91999999999996</v>
      </c>
    </row>
    <row r="8937" spans="1:3" x14ac:dyDescent="0.25">
      <c r="A8937" s="115">
        <v>1222935</v>
      </c>
      <c r="B8937" s="115" t="s">
        <v>8360</v>
      </c>
      <c r="C8937" s="117">
        <v>412.48</v>
      </c>
    </row>
    <row r="8938" spans="1:3" x14ac:dyDescent="0.25">
      <c r="A8938" s="115">
        <v>1228160</v>
      </c>
      <c r="B8938" s="115" t="s">
        <v>12553</v>
      </c>
      <c r="C8938" s="117">
        <v>762.41</v>
      </c>
    </row>
    <row r="8939" spans="1:3" x14ac:dyDescent="0.25">
      <c r="A8939" s="115">
        <v>1227427</v>
      </c>
      <c r="B8939" s="115" t="s">
        <v>8361</v>
      </c>
      <c r="C8939" s="117">
        <v>899.15</v>
      </c>
    </row>
    <row r="8940" spans="1:3" x14ac:dyDescent="0.25">
      <c r="A8940" s="115">
        <v>1227425</v>
      </c>
      <c r="B8940" s="115" t="s">
        <v>8362</v>
      </c>
      <c r="C8940" s="117">
        <v>899.15</v>
      </c>
    </row>
    <row r="8941" spans="1:3" x14ac:dyDescent="0.25">
      <c r="A8941" s="115">
        <v>1220225</v>
      </c>
      <c r="B8941" s="115" t="s">
        <v>8363</v>
      </c>
      <c r="C8941" s="117">
        <v>182.82</v>
      </c>
    </row>
    <row r="8942" spans="1:3" x14ac:dyDescent="0.25">
      <c r="A8942" s="115">
        <v>1220263</v>
      </c>
      <c r="B8942" s="115" t="s">
        <v>8364</v>
      </c>
      <c r="C8942" s="117">
        <v>182.82</v>
      </c>
    </row>
    <row r="8943" spans="1:3" x14ac:dyDescent="0.25">
      <c r="A8943" s="115">
        <v>1229225</v>
      </c>
      <c r="B8943" s="115" t="s">
        <v>8365</v>
      </c>
      <c r="C8943" s="117">
        <v>214.63</v>
      </c>
    </row>
    <row r="8944" spans="1:3" x14ac:dyDescent="0.25">
      <c r="A8944" s="115">
        <v>1229263</v>
      </c>
      <c r="B8944" s="115" t="s">
        <v>8366</v>
      </c>
      <c r="C8944" s="117">
        <v>214.63</v>
      </c>
    </row>
    <row r="8945" spans="1:3" x14ac:dyDescent="0.25">
      <c r="A8945" s="115">
        <v>1221025</v>
      </c>
      <c r="B8945" s="115" t="s">
        <v>8367</v>
      </c>
      <c r="C8945" s="117">
        <v>158.09</v>
      </c>
    </row>
    <row r="8946" spans="1:3" x14ac:dyDescent="0.25">
      <c r="A8946" s="115">
        <v>1221063</v>
      </c>
      <c r="B8946" s="115" t="s">
        <v>8368</v>
      </c>
      <c r="C8946" s="117">
        <v>158.09</v>
      </c>
    </row>
    <row r="8947" spans="1:3" x14ac:dyDescent="0.25">
      <c r="A8947" s="115">
        <v>1227600</v>
      </c>
      <c r="B8947" s="115" t="s">
        <v>8369</v>
      </c>
      <c r="C8947" s="117">
        <v>132.21</v>
      </c>
    </row>
    <row r="8948" spans="1:3" x14ac:dyDescent="0.25">
      <c r="A8948" s="115">
        <v>1228053</v>
      </c>
      <c r="B8948" s="115" t="s">
        <v>8370</v>
      </c>
      <c r="C8948" s="117">
        <v>15240.65</v>
      </c>
    </row>
    <row r="8949" spans="1:3" x14ac:dyDescent="0.25">
      <c r="A8949" s="115">
        <v>1229900</v>
      </c>
      <c r="B8949" s="115" t="s">
        <v>8371</v>
      </c>
      <c r="C8949" s="117">
        <v>1425.65</v>
      </c>
    </row>
    <row r="8950" spans="1:3" x14ac:dyDescent="0.25">
      <c r="A8950" s="115">
        <v>1229905</v>
      </c>
      <c r="B8950" s="115" t="s">
        <v>8372</v>
      </c>
      <c r="C8950" s="117">
        <v>1425.65</v>
      </c>
    </row>
    <row r="8951" spans="1:3" x14ac:dyDescent="0.25">
      <c r="A8951" s="144" t="s">
        <v>8373</v>
      </c>
      <c r="B8951" s="145"/>
      <c r="C8951" s="145"/>
    </row>
    <row r="8952" spans="1:3" x14ac:dyDescent="0.25">
      <c r="A8952" s="115">
        <v>1265701</v>
      </c>
      <c r="B8952" s="115" t="s">
        <v>8374</v>
      </c>
      <c r="C8952" s="117">
        <v>518.5</v>
      </c>
    </row>
    <row r="8953" spans="1:3" x14ac:dyDescent="0.25">
      <c r="A8953" s="115">
        <v>1265763</v>
      </c>
      <c r="B8953" s="115" t="s">
        <v>8375</v>
      </c>
      <c r="C8953" s="117">
        <v>505.71</v>
      </c>
    </row>
    <row r="8954" spans="1:3" x14ac:dyDescent="0.25">
      <c r="A8954" s="115">
        <v>1262000</v>
      </c>
      <c r="B8954" s="115" t="s">
        <v>8376</v>
      </c>
      <c r="C8954" s="117">
        <v>193.4</v>
      </c>
    </row>
    <row r="8955" spans="1:3" x14ac:dyDescent="0.25">
      <c r="A8955" s="115">
        <v>1262010</v>
      </c>
      <c r="B8955" s="115" t="s">
        <v>8377</v>
      </c>
      <c r="C8955" s="117">
        <v>4060.13</v>
      </c>
    </row>
    <row r="8956" spans="1:3" x14ac:dyDescent="0.25">
      <c r="A8956" s="115">
        <v>1262100</v>
      </c>
      <c r="B8956" s="115" t="s">
        <v>8378</v>
      </c>
      <c r="C8956" s="117">
        <v>438.54</v>
      </c>
    </row>
    <row r="8957" spans="1:3" x14ac:dyDescent="0.25">
      <c r="A8957" s="115">
        <v>1268444</v>
      </c>
      <c r="B8957" s="115" t="s">
        <v>8379</v>
      </c>
      <c r="C8957" s="117">
        <v>650</v>
      </c>
    </row>
    <row r="8958" spans="1:3" x14ac:dyDescent="0.25">
      <c r="A8958" s="115">
        <v>1265799</v>
      </c>
      <c r="B8958" s="115" t="s">
        <v>8380</v>
      </c>
      <c r="C8958" s="117">
        <v>468.2</v>
      </c>
    </row>
    <row r="8959" spans="1:3" x14ac:dyDescent="0.25">
      <c r="A8959" s="115">
        <v>1221625</v>
      </c>
      <c r="B8959" s="115" t="s">
        <v>8381</v>
      </c>
      <c r="C8959" s="117">
        <v>626.01</v>
      </c>
    </row>
    <row r="8960" spans="1:3" x14ac:dyDescent="0.25">
      <c r="A8960" s="115">
        <v>1222645</v>
      </c>
      <c r="B8960" s="115" t="s">
        <v>8382</v>
      </c>
      <c r="C8960" s="117">
        <v>626.01</v>
      </c>
    </row>
    <row r="8961" spans="1:3" x14ac:dyDescent="0.25">
      <c r="A8961" s="115">
        <v>1267525</v>
      </c>
      <c r="B8961" s="115" t="s">
        <v>12029</v>
      </c>
      <c r="C8961" s="117">
        <v>211.27</v>
      </c>
    </row>
    <row r="8962" spans="1:3" x14ac:dyDescent="0.25">
      <c r="A8962" s="115">
        <v>1267563</v>
      </c>
      <c r="B8962" s="115" t="s">
        <v>12030</v>
      </c>
      <c r="C8962" s="117">
        <v>211.27</v>
      </c>
    </row>
    <row r="8963" spans="1:3" x14ac:dyDescent="0.25">
      <c r="A8963" s="115">
        <v>1268922</v>
      </c>
      <c r="B8963" s="115" t="s">
        <v>8383</v>
      </c>
      <c r="C8963" s="117">
        <v>250.35</v>
      </c>
    </row>
    <row r="8964" spans="1:3" x14ac:dyDescent="0.25">
      <c r="A8964" s="115">
        <v>1268825</v>
      </c>
      <c r="B8964" s="115" t="s">
        <v>8384</v>
      </c>
      <c r="C8964" s="117">
        <v>250.35</v>
      </c>
    </row>
    <row r="8965" spans="1:3" x14ac:dyDescent="0.25">
      <c r="A8965" s="115">
        <v>1268863</v>
      </c>
      <c r="B8965" s="115" t="s">
        <v>8385</v>
      </c>
      <c r="C8965" s="117">
        <v>250.35</v>
      </c>
    </row>
    <row r="8966" spans="1:3" x14ac:dyDescent="0.25">
      <c r="A8966" s="115">
        <v>1268963</v>
      </c>
      <c r="B8966" s="115" t="s">
        <v>8386</v>
      </c>
      <c r="C8966" s="117">
        <v>250.35</v>
      </c>
    </row>
    <row r="8967" spans="1:3" x14ac:dyDescent="0.25">
      <c r="A8967" s="115">
        <v>1268962</v>
      </c>
      <c r="B8967" s="115" t="s">
        <v>8387</v>
      </c>
      <c r="C8967" s="117">
        <v>250.35</v>
      </c>
    </row>
    <row r="8968" spans="1:3" x14ac:dyDescent="0.25">
      <c r="A8968" s="115">
        <v>1268862</v>
      </c>
      <c r="B8968" s="115" t="s">
        <v>8388</v>
      </c>
      <c r="C8968" s="117">
        <v>250.35</v>
      </c>
    </row>
    <row r="8969" spans="1:3" x14ac:dyDescent="0.25">
      <c r="A8969" s="115">
        <v>1268982</v>
      </c>
      <c r="B8969" s="115" t="s">
        <v>8389</v>
      </c>
      <c r="C8969" s="117">
        <v>250.35</v>
      </c>
    </row>
    <row r="8970" spans="1:3" x14ac:dyDescent="0.25">
      <c r="A8970" s="115">
        <v>1261120</v>
      </c>
      <c r="B8970" s="115" t="s">
        <v>8390</v>
      </c>
      <c r="C8970" s="117">
        <v>273.44</v>
      </c>
    </row>
    <row r="8971" spans="1:3" x14ac:dyDescent="0.25">
      <c r="A8971" s="115">
        <v>1264500</v>
      </c>
      <c r="B8971" s="115" t="s">
        <v>8391</v>
      </c>
      <c r="C8971" s="117">
        <v>8617.31</v>
      </c>
    </row>
    <row r="8972" spans="1:3" x14ac:dyDescent="0.25">
      <c r="A8972" s="115">
        <v>1261020</v>
      </c>
      <c r="B8972" s="115" t="s">
        <v>8392</v>
      </c>
      <c r="C8972" s="117">
        <v>8420.58</v>
      </c>
    </row>
    <row r="8973" spans="1:3" x14ac:dyDescent="0.25">
      <c r="A8973" s="115">
        <v>1261040</v>
      </c>
      <c r="B8973" s="115" t="s">
        <v>8393</v>
      </c>
      <c r="C8973" s="117">
        <v>10774.56</v>
      </c>
    </row>
    <row r="8974" spans="1:3" x14ac:dyDescent="0.25">
      <c r="A8974" s="115">
        <v>1261700</v>
      </c>
      <c r="B8974" s="115" t="s">
        <v>8394</v>
      </c>
      <c r="C8974" s="117">
        <v>179.04</v>
      </c>
    </row>
    <row r="8975" spans="1:3" x14ac:dyDescent="0.25">
      <c r="A8975" s="115">
        <v>1267963</v>
      </c>
      <c r="B8975" s="115" t="s">
        <v>12554</v>
      </c>
      <c r="C8975" s="117">
        <v>11244.54</v>
      </c>
    </row>
    <row r="8976" spans="1:3" x14ac:dyDescent="0.25">
      <c r="A8976" s="115">
        <v>1269400</v>
      </c>
      <c r="B8976" s="115" t="s">
        <v>8395</v>
      </c>
      <c r="C8976" s="117">
        <v>1238.18</v>
      </c>
    </row>
    <row r="8977" spans="1:3" x14ac:dyDescent="0.25">
      <c r="A8977" s="115">
        <v>1261512</v>
      </c>
      <c r="B8977" s="115" t="s">
        <v>8396</v>
      </c>
      <c r="C8977" s="117">
        <v>508.85</v>
      </c>
    </row>
    <row r="8978" spans="1:3" x14ac:dyDescent="0.25">
      <c r="A8978" s="115">
        <v>1263312</v>
      </c>
      <c r="B8978" s="115" t="s">
        <v>8397</v>
      </c>
      <c r="C8978" s="117">
        <v>522.54999999999995</v>
      </c>
    </row>
    <row r="8979" spans="1:3" x14ac:dyDescent="0.25">
      <c r="A8979" s="115">
        <v>1263300</v>
      </c>
      <c r="B8979" s="115" t="s">
        <v>8398</v>
      </c>
      <c r="C8979" s="117">
        <v>3135.31</v>
      </c>
    </row>
    <row r="8980" spans="1:3" x14ac:dyDescent="0.25">
      <c r="A8980" s="115">
        <v>1229903</v>
      </c>
      <c r="B8980" s="115" t="s">
        <v>11674</v>
      </c>
      <c r="C8980" s="117">
        <v>7501.52</v>
      </c>
    </row>
    <row r="8981" spans="1:3" x14ac:dyDescent="0.25">
      <c r="A8981" s="115">
        <v>1229904</v>
      </c>
      <c r="B8981" s="115" t="s">
        <v>11675</v>
      </c>
      <c r="C8981" s="117">
        <v>8314.2999999999993</v>
      </c>
    </row>
    <row r="8982" spans="1:3" x14ac:dyDescent="0.25">
      <c r="A8982" s="115">
        <v>1269405</v>
      </c>
      <c r="B8982" s="115" t="s">
        <v>8399</v>
      </c>
      <c r="C8982" s="117">
        <v>6041.95</v>
      </c>
    </row>
    <row r="8983" spans="1:3" x14ac:dyDescent="0.25">
      <c r="A8983" s="115">
        <v>1269402</v>
      </c>
      <c r="B8983" s="115" t="s">
        <v>8400</v>
      </c>
      <c r="C8983" s="117">
        <v>6041.95</v>
      </c>
    </row>
    <row r="8984" spans="1:3" x14ac:dyDescent="0.25">
      <c r="A8984" s="115">
        <v>1267210</v>
      </c>
      <c r="B8984" s="115" t="s">
        <v>8401</v>
      </c>
      <c r="C8984" s="117">
        <v>29395.32</v>
      </c>
    </row>
    <row r="8985" spans="1:3" x14ac:dyDescent="0.25">
      <c r="A8985" s="115">
        <v>1264302</v>
      </c>
      <c r="B8985" s="115" t="s">
        <v>8402</v>
      </c>
      <c r="C8985" s="117">
        <v>1238.72</v>
      </c>
    </row>
    <row r="8986" spans="1:3" x14ac:dyDescent="0.25">
      <c r="A8986" s="115">
        <v>1264348</v>
      </c>
      <c r="B8986" s="115" t="s">
        <v>8403</v>
      </c>
      <c r="C8986" s="117">
        <v>1238.72</v>
      </c>
    </row>
    <row r="8987" spans="1:3" x14ac:dyDescent="0.25">
      <c r="A8987" s="115">
        <v>1381199</v>
      </c>
      <c r="B8987" s="115" t="s">
        <v>8404</v>
      </c>
      <c r="C8987" s="117">
        <v>14685.59</v>
      </c>
    </row>
    <row r="8988" spans="1:3" x14ac:dyDescent="0.25">
      <c r="A8988" s="115">
        <v>1381105</v>
      </c>
      <c r="B8988" s="115" t="s">
        <v>8405</v>
      </c>
      <c r="C8988" s="117">
        <v>14685.59</v>
      </c>
    </row>
    <row r="8989" spans="1:3" x14ac:dyDescent="0.25">
      <c r="A8989" s="115">
        <v>1264159</v>
      </c>
      <c r="B8989" s="115" t="s">
        <v>12555</v>
      </c>
      <c r="C8989" s="117">
        <v>1223.8</v>
      </c>
    </row>
    <row r="8990" spans="1:3" x14ac:dyDescent="0.25">
      <c r="A8990" s="115">
        <v>1264104</v>
      </c>
      <c r="B8990" s="115" t="s">
        <v>12031</v>
      </c>
      <c r="C8990" s="117">
        <v>14685.59</v>
      </c>
    </row>
    <row r="8991" spans="1:3" x14ac:dyDescent="0.25">
      <c r="A8991" s="115">
        <v>1264148</v>
      </c>
      <c r="B8991" s="115" t="s">
        <v>8406</v>
      </c>
      <c r="C8991" s="117">
        <v>1223.8</v>
      </c>
    </row>
    <row r="8992" spans="1:3" x14ac:dyDescent="0.25">
      <c r="A8992" s="115">
        <v>1260772</v>
      </c>
      <c r="B8992" s="115" t="s">
        <v>8407</v>
      </c>
      <c r="C8992" s="117">
        <v>432.67</v>
      </c>
    </row>
    <row r="8993" spans="1:3" x14ac:dyDescent="0.25">
      <c r="A8993" s="115">
        <v>1265335</v>
      </c>
      <c r="B8993" s="115" t="s">
        <v>8408</v>
      </c>
      <c r="C8993" s="117">
        <v>1923.75</v>
      </c>
    </row>
    <row r="8994" spans="1:3" x14ac:dyDescent="0.25">
      <c r="A8994" s="115">
        <v>1265330</v>
      </c>
      <c r="B8994" s="115" t="s">
        <v>8409</v>
      </c>
      <c r="C8994" s="117">
        <v>9748.58</v>
      </c>
    </row>
    <row r="8995" spans="1:3" x14ac:dyDescent="0.25">
      <c r="A8995" s="115">
        <v>1991524</v>
      </c>
      <c r="B8995" s="115" t="s">
        <v>8410</v>
      </c>
      <c r="C8995" s="117">
        <v>114.39</v>
      </c>
    </row>
    <row r="8996" spans="1:3" x14ac:dyDescent="0.25">
      <c r="A8996" s="115">
        <v>1991526</v>
      </c>
      <c r="B8996" s="115" t="s">
        <v>8411</v>
      </c>
      <c r="C8996" s="117">
        <v>2745.32</v>
      </c>
    </row>
    <row r="8997" spans="1:3" x14ac:dyDescent="0.25">
      <c r="A8997" s="115">
        <v>1991502</v>
      </c>
      <c r="B8997" s="115" t="s">
        <v>8412</v>
      </c>
      <c r="C8997" s="117">
        <v>114.39</v>
      </c>
    </row>
    <row r="8998" spans="1:3" x14ac:dyDescent="0.25">
      <c r="A8998" s="115">
        <v>1991529</v>
      </c>
      <c r="B8998" s="115" t="s">
        <v>8413</v>
      </c>
      <c r="C8998" s="117">
        <v>2745.32</v>
      </c>
    </row>
    <row r="8999" spans="1:3" x14ac:dyDescent="0.25">
      <c r="A8999" s="115">
        <v>1991528</v>
      </c>
      <c r="B8999" s="115" t="s">
        <v>8414</v>
      </c>
      <c r="C8999" s="117">
        <v>114.39</v>
      </c>
    </row>
    <row r="9000" spans="1:3" x14ac:dyDescent="0.25">
      <c r="A9000" s="115">
        <v>1991525</v>
      </c>
      <c r="B9000" s="115" t="s">
        <v>8415</v>
      </c>
      <c r="C9000" s="117">
        <v>114.39</v>
      </c>
    </row>
    <row r="9001" spans="1:3" x14ac:dyDescent="0.25">
      <c r="A9001" s="115">
        <v>1991501</v>
      </c>
      <c r="B9001" s="115" t="s">
        <v>8416</v>
      </c>
      <c r="C9001" s="117">
        <v>114.39</v>
      </c>
    </row>
    <row r="9002" spans="1:3" x14ac:dyDescent="0.25">
      <c r="A9002" s="115">
        <v>1265762</v>
      </c>
      <c r="B9002" s="115" t="s">
        <v>8417</v>
      </c>
      <c r="C9002" s="117">
        <v>253.41</v>
      </c>
    </row>
    <row r="9003" spans="1:3" x14ac:dyDescent="0.25">
      <c r="A9003" s="115">
        <v>1268125</v>
      </c>
      <c r="B9003" s="115" t="s">
        <v>8418</v>
      </c>
      <c r="C9003" s="117">
        <v>4397.6400000000003</v>
      </c>
    </row>
    <row r="9004" spans="1:3" x14ac:dyDescent="0.25">
      <c r="A9004" s="115">
        <v>1268115</v>
      </c>
      <c r="B9004" s="115" t="s">
        <v>8419</v>
      </c>
      <c r="C9004" s="117">
        <v>3869.92</v>
      </c>
    </row>
    <row r="9005" spans="1:3" x14ac:dyDescent="0.25">
      <c r="A9005" s="115">
        <v>1360335</v>
      </c>
      <c r="B9005" s="115" t="s">
        <v>12556</v>
      </c>
      <c r="C9005" s="117">
        <v>242.72</v>
      </c>
    </row>
    <row r="9006" spans="1:3" x14ac:dyDescent="0.25">
      <c r="A9006" s="115">
        <v>1361525</v>
      </c>
      <c r="B9006" s="115" t="s">
        <v>8420</v>
      </c>
      <c r="C9006" s="117">
        <v>761.74</v>
      </c>
    </row>
    <row r="9007" spans="1:3" x14ac:dyDescent="0.25">
      <c r="A9007" s="115">
        <v>1361523</v>
      </c>
      <c r="B9007" s="115" t="s">
        <v>8421</v>
      </c>
      <c r="C9007" s="117">
        <v>761.74</v>
      </c>
    </row>
    <row r="9008" spans="1:3" x14ac:dyDescent="0.25">
      <c r="A9008" s="115">
        <v>1361524</v>
      </c>
      <c r="B9008" s="115" t="s">
        <v>8422</v>
      </c>
      <c r="C9008" s="117">
        <v>761.74</v>
      </c>
    </row>
    <row r="9009" spans="1:3" x14ac:dyDescent="0.25">
      <c r="A9009" s="115">
        <v>1366224</v>
      </c>
      <c r="B9009" s="115" t="s">
        <v>8423</v>
      </c>
      <c r="C9009" s="117">
        <v>663.15</v>
      </c>
    </row>
    <row r="9010" spans="1:3" x14ac:dyDescent="0.25">
      <c r="A9010" s="115">
        <v>1366000</v>
      </c>
      <c r="B9010" s="115" t="s">
        <v>8424</v>
      </c>
      <c r="C9010" s="117">
        <v>663.15</v>
      </c>
    </row>
    <row r="9011" spans="1:3" x14ac:dyDescent="0.25">
      <c r="A9011" s="115">
        <v>1269457</v>
      </c>
      <c r="B9011" s="115" t="s">
        <v>12557</v>
      </c>
      <c r="C9011" s="117">
        <v>13048.3</v>
      </c>
    </row>
    <row r="9012" spans="1:3" x14ac:dyDescent="0.25">
      <c r="A9012" s="115">
        <v>1269456</v>
      </c>
      <c r="B9012" s="115" t="s">
        <v>12558</v>
      </c>
      <c r="C9012" s="117">
        <v>3591.64</v>
      </c>
    </row>
    <row r="9013" spans="1:3" x14ac:dyDescent="0.25">
      <c r="A9013" s="115">
        <v>1269419</v>
      </c>
      <c r="B9013" s="115" t="s">
        <v>8425</v>
      </c>
      <c r="C9013" s="117">
        <v>6041.95</v>
      </c>
    </row>
    <row r="9014" spans="1:3" x14ac:dyDescent="0.25">
      <c r="A9014" s="144" t="s">
        <v>8426</v>
      </c>
      <c r="B9014" s="145"/>
      <c r="C9014" s="145"/>
    </row>
    <row r="9015" spans="1:3" x14ac:dyDescent="0.25">
      <c r="A9015" s="115">
        <v>1380977</v>
      </c>
      <c r="B9015" s="115" t="s">
        <v>11676</v>
      </c>
      <c r="C9015" s="117">
        <v>4036.45</v>
      </c>
    </row>
    <row r="9016" spans="1:3" x14ac:dyDescent="0.25">
      <c r="A9016" s="115">
        <v>1384293</v>
      </c>
      <c r="B9016" s="115" t="s">
        <v>11677</v>
      </c>
      <c r="C9016" s="117">
        <v>2208.5500000000002</v>
      </c>
    </row>
    <row r="9017" spans="1:3" x14ac:dyDescent="0.25">
      <c r="A9017" s="115">
        <v>1380976</v>
      </c>
      <c r="B9017" s="115" t="s">
        <v>11678</v>
      </c>
      <c r="C9017" s="117">
        <v>24218.71</v>
      </c>
    </row>
    <row r="9018" spans="1:3" x14ac:dyDescent="0.25">
      <c r="A9018" s="115">
        <v>1384081</v>
      </c>
      <c r="B9018" s="115" t="s">
        <v>8427</v>
      </c>
      <c r="C9018" s="117">
        <v>2276.85</v>
      </c>
    </row>
    <row r="9019" spans="1:3" x14ac:dyDescent="0.25">
      <c r="A9019" s="115">
        <v>1382410</v>
      </c>
      <c r="B9019" s="115" t="s">
        <v>11679</v>
      </c>
      <c r="C9019" s="117">
        <v>953.98</v>
      </c>
    </row>
    <row r="9020" spans="1:3" x14ac:dyDescent="0.25">
      <c r="A9020" s="115">
        <v>1384017</v>
      </c>
      <c r="B9020" s="115" t="s">
        <v>11680</v>
      </c>
      <c r="C9020" s="117">
        <v>4248.04</v>
      </c>
    </row>
    <row r="9021" spans="1:3" x14ac:dyDescent="0.25">
      <c r="A9021" s="115">
        <v>1384645</v>
      </c>
      <c r="B9021" s="115" t="s">
        <v>11681</v>
      </c>
      <c r="C9021" s="117">
        <v>4036.45</v>
      </c>
    </row>
    <row r="9022" spans="1:3" x14ac:dyDescent="0.25">
      <c r="A9022" s="115">
        <v>1388810</v>
      </c>
      <c r="B9022" s="115" t="s">
        <v>8428</v>
      </c>
      <c r="C9022" s="117">
        <v>3275.03</v>
      </c>
    </row>
    <row r="9023" spans="1:3" x14ac:dyDescent="0.25">
      <c r="A9023" s="115">
        <v>1383577</v>
      </c>
      <c r="B9023" s="115" t="s">
        <v>11682</v>
      </c>
      <c r="C9023" s="117">
        <v>830.34</v>
      </c>
    </row>
    <row r="9024" spans="1:3" x14ac:dyDescent="0.25">
      <c r="A9024" s="115">
        <v>1383576</v>
      </c>
      <c r="B9024" s="115" t="s">
        <v>11683</v>
      </c>
      <c r="C9024" s="117">
        <v>830.34</v>
      </c>
    </row>
    <row r="9025" spans="1:3" x14ac:dyDescent="0.25">
      <c r="A9025" s="115">
        <v>1389522</v>
      </c>
      <c r="B9025" s="115" t="s">
        <v>12032</v>
      </c>
      <c r="C9025" s="117">
        <v>3050.3</v>
      </c>
    </row>
    <row r="9026" spans="1:3" x14ac:dyDescent="0.25">
      <c r="A9026" s="115">
        <v>1381905</v>
      </c>
      <c r="B9026" s="115" t="s">
        <v>11684</v>
      </c>
      <c r="C9026" s="117">
        <v>10036.530000000001</v>
      </c>
    </row>
    <row r="9027" spans="1:3" x14ac:dyDescent="0.25">
      <c r="A9027" s="115">
        <v>1389881</v>
      </c>
      <c r="B9027" s="115" t="s">
        <v>11685</v>
      </c>
      <c r="C9027" s="117">
        <v>9595.9500000000007</v>
      </c>
    </row>
    <row r="9028" spans="1:3" x14ac:dyDescent="0.25">
      <c r="A9028" s="115">
        <v>1381904</v>
      </c>
      <c r="B9028" s="115" t="s">
        <v>11686</v>
      </c>
      <c r="C9028" s="117">
        <v>6550.98</v>
      </c>
    </row>
    <row r="9029" spans="1:3" x14ac:dyDescent="0.25">
      <c r="A9029" s="115">
        <v>1385950</v>
      </c>
      <c r="B9029" s="115" t="s">
        <v>11687</v>
      </c>
      <c r="C9029" s="117">
        <v>364.62</v>
      </c>
    </row>
    <row r="9030" spans="1:3" x14ac:dyDescent="0.25">
      <c r="A9030" s="115">
        <v>1385932</v>
      </c>
      <c r="B9030" s="115" t="s">
        <v>11688</v>
      </c>
      <c r="C9030" s="117">
        <v>663.13</v>
      </c>
    </row>
    <row r="9031" spans="1:3" x14ac:dyDescent="0.25">
      <c r="A9031" s="115">
        <v>1388511</v>
      </c>
      <c r="B9031" s="115" t="s">
        <v>11689</v>
      </c>
      <c r="C9031" s="117">
        <v>7315.85</v>
      </c>
    </row>
    <row r="9032" spans="1:3" x14ac:dyDescent="0.25">
      <c r="A9032" s="115">
        <v>1388510</v>
      </c>
      <c r="B9032" s="115" t="s">
        <v>11690</v>
      </c>
      <c r="C9032" s="117">
        <v>7315.85</v>
      </c>
    </row>
    <row r="9033" spans="1:3" x14ac:dyDescent="0.25">
      <c r="A9033" s="115">
        <v>1384023</v>
      </c>
      <c r="B9033" s="115" t="s">
        <v>11691</v>
      </c>
      <c r="C9033" s="117">
        <v>10036.530000000001</v>
      </c>
    </row>
    <row r="9034" spans="1:3" x14ac:dyDescent="0.25">
      <c r="A9034" s="115">
        <v>1380325</v>
      </c>
      <c r="B9034" s="115" t="s">
        <v>11692</v>
      </c>
      <c r="C9034" s="117">
        <v>602.70000000000005</v>
      </c>
    </row>
    <row r="9035" spans="1:3" x14ac:dyDescent="0.25">
      <c r="A9035" s="115">
        <v>1380363</v>
      </c>
      <c r="B9035" s="115" t="s">
        <v>11693</v>
      </c>
      <c r="C9035" s="117">
        <v>602.70000000000005</v>
      </c>
    </row>
    <row r="9036" spans="1:3" x14ac:dyDescent="0.25">
      <c r="A9036" s="115">
        <v>1385775</v>
      </c>
      <c r="B9036" s="115" t="s">
        <v>11694</v>
      </c>
      <c r="C9036" s="117">
        <v>5027.93</v>
      </c>
    </row>
    <row r="9037" spans="1:3" x14ac:dyDescent="0.25">
      <c r="A9037" s="115">
        <v>1385776</v>
      </c>
      <c r="B9037" s="115" t="s">
        <v>11695</v>
      </c>
      <c r="C9037" s="117">
        <v>5027.93</v>
      </c>
    </row>
    <row r="9038" spans="1:3" x14ac:dyDescent="0.25">
      <c r="A9038" s="115">
        <v>1384532</v>
      </c>
      <c r="B9038" s="115" t="s">
        <v>11696</v>
      </c>
      <c r="C9038" s="117">
        <v>1983.24</v>
      </c>
    </row>
    <row r="9039" spans="1:3" x14ac:dyDescent="0.25">
      <c r="A9039" s="115">
        <v>1381394</v>
      </c>
      <c r="B9039" s="115" t="s">
        <v>11697</v>
      </c>
      <c r="C9039" s="117">
        <v>9065.01</v>
      </c>
    </row>
    <row r="9040" spans="1:3" x14ac:dyDescent="0.25">
      <c r="A9040" s="115">
        <v>1385879</v>
      </c>
      <c r="B9040" s="115" t="s">
        <v>11698</v>
      </c>
      <c r="C9040" s="117">
        <v>3416.23</v>
      </c>
    </row>
    <row r="9041" spans="1:3" x14ac:dyDescent="0.25">
      <c r="A9041" s="115">
        <v>1380364</v>
      </c>
      <c r="B9041" s="115" t="s">
        <v>11699</v>
      </c>
      <c r="C9041" s="117">
        <v>8053.87</v>
      </c>
    </row>
    <row r="9042" spans="1:3" x14ac:dyDescent="0.25">
      <c r="A9042" s="115">
        <v>1383633</v>
      </c>
      <c r="B9042" s="115" t="s">
        <v>11700</v>
      </c>
      <c r="C9042" s="117">
        <v>10036.530000000001</v>
      </c>
    </row>
    <row r="9043" spans="1:3" x14ac:dyDescent="0.25">
      <c r="A9043" s="115">
        <v>1382310</v>
      </c>
      <c r="B9043" s="115" t="s">
        <v>11701</v>
      </c>
      <c r="C9043" s="117">
        <v>2686.28</v>
      </c>
    </row>
    <row r="9044" spans="1:3" x14ac:dyDescent="0.25">
      <c r="A9044" s="115">
        <v>1382815</v>
      </c>
      <c r="B9044" s="115" t="s">
        <v>11702</v>
      </c>
      <c r="C9044" s="117">
        <v>4750.6899999999996</v>
      </c>
    </row>
    <row r="9045" spans="1:3" x14ac:dyDescent="0.25">
      <c r="A9045" s="115">
        <v>1382808</v>
      </c>
      <c r="B9045" s="115" t="s">
        <v>11703</v>
      </c>
      <c r="C9045" s="117">
        <v>9483.11</v>
      </c>
    </row>
    <row r="9046" spans="1:3" x14ac:dyDescent="0.25">
      <c r="A9046" s="115">
        <v>1381950</v>
      </c>
      <c r="B9046" s="115" t="s">
        <v>11704</v>
      </c>
      <c r="C9046" s="117">
        <v>602.70000000000005</v>
      </c>
    </row>
    <row r="9047" spans="1:3" x14ac:dyDescent="0.25">
      <c r="A9047" s="115">
        <v>1384013</v>
      </c>
      <c r="B9047" s="115" t="s">
        <v>11705</v>
      </c>
      <c r="C9047" s="117">
        <v>9065.01</v>
      </c>
    </row>
    <row r="9048" spans="1:3" x14ac:dyDescent="0.25">
      <c r="A9048" s="115">
        <v>1388001</v>
      </c>
      <c r="B9048" s="115" t="s">
        <v>11706</v>
      </c>
      <c r="C9048" s="117">
        <v>22831.360000000001</v>
      </c>
    </row>
    <row r="9049" spans="1:3" x14ac:dyDescent="0.25">
      <c r="A9049" s="115">
        <v>1383684</v>
      </c>
      <c r="B9049" s="115" t="s">
        <v>11707</v>
      </c>
      <c r="C9049" s="117">
        <v>10036.530000000001</v>
      </c>
    </row>
    <row r="9050" spans="1:3" x14ac:dyDescent="0.25">
      <c r="A9050" s="115">
        <v>1385745</v>
      </c>
      <c r="B9050" s="115" t="s">
        <v>11708</v>
      </c>
      <c r="C9050" s="117">
        <v>3416.23</v>
      </c>
    </row>
    <row r="9051" spans="1:3" x14ac:dyDescent="0.25">
      <c r="A9051" s="115">
        <v>1385783</v>
      </c>
      <c r="B9051" s="115" t="s">
        <v>11709</v>
      </c>
      <c r="C9051" s="117">
        <v>12475.39</v>
      </c>
    </row>
    <row r="9052" spans="1:3" x14ac:dyDescent="0.25">
      <c r="A9052" s="115">
        <v>1383415</v>
      </c>
      <c r="B9052" s="115" t="s">
        <v>11710</v>
      </c>
      <c r="C9052" s="117">
        <v>6618.29</v>
      </c>
    </row>
    <row r="9053" spans="1:3" x14ac:dyDescent="0.25">
      <c r="A9053" s="115">
        <v>1389239</v>
      </c>
      <c r="B9053" s="115" t="s">
        <v>11711</v>
      </c>
      <c r="C9053" s="117">
        <v>19647.91</v>
      </c>
    </row>
    <row r="9054" spans="1:3" x14ac:dyDescent="0.25">
      <c r="A9054" s="115">
        <v>1389225</v>
      </c>
      <c r="B9054" s="115" t="s">
        <v>11712</v>
      </c>
      <c r="C9054" s="117">
        <v>13044.86</v>
      </c>
    </row>
    <row r="9055" spans="1:3" x14ac:dyDescent="0.25">
      <c r="A9055" s="115">
        <v>1388128</v>
      </c>
      <c r="B9055" s="115" t="s">
        <v>11713</v>
      </c>
      <c r="C9055" s="117">
        <v>8096.81</v>
      </c>
    </row>
    <row r="9056" spans="1:3" x14ac:dyDescent="0.25">
      <c r="A9056" s="115">
        <v>1383216</v>
      </c>
      <c r="B9056" s="115" t="s">
        <v>11714</v>
      </c>
      <c r="C9056" s="117">
        <v>2504.21</v>
      </c>
    </row>
    <row r="9057" spans="1:3" x14ac:dyDescent="0.25">
      <c r="A9057" s="115">
        <v>1383217</v>
      </c>
      <c r="B9057" s="115" t="s">
        <v>11715</v>
      </c>
      <c r="C9057" s="117">
        <v>825.62</v>
      </c>
    </row>
    <row r="9058" spans="1:3" x14ac:dyDescent="0.25">
      <c r="A9058" s="115">
        <v>1381173</v>
      </c>
      <c r="B9058" s="115" t="s">
        <v>12033</v>
      </c>
      <c r="C9058" s="117">
        <v>6583.74</v>
      </c>
    </row>
    <row r="9059" spans="1:3" x14ac:dyDescent="0.25">
      <c r="A9059" s="115">
        <v>1386901</v>
      </c>
      <c r="B9059" s="115" t="s">
        <v>11716</v>
      </c>
      <c r="C9059" s="117">
        <v>4930.6400000000003</v>
      </c>
    </row>
    <row r="9060" spans="1:3" x14ac:dyDescent="0.25">
      <c r="A9060" s="115">
        <v>1386903</v>
      </c>
      <c r="B9060" s="115" t="s">
        <v>11717</v>
      </c>
      <c r="C9060" s="117">
        <v>5365.2</v>
      </c>
    </row>
    <row r="9061" spans="1:3" x14ac:dyDescent="0.25">
      <c r="A9061" s="115">
        <v>1382363</v>
      </c>
      <c r="B9061" s="115" t="s">
        <v>11718</v>
      </c>
      <c r="C9061" s="117">
        <v>2597.29</v>
      </c>
    </row>
    <row r="9062" spans="1:3" x14ac:dyDescent="0.25">
      <c r="A9062" s="115">
        <v>1382320</v>
      </c>
      <c r="B9062" s="115" t="s">
        <v>11719</v>
      </c>
      <c r="C9062" s="117">
        <v>2597.29</v>
      </c>
    </row>
    <row r="9063" spans="1:3" x14ac:dyDescent="0.25">
      <c r="A9063" s="115">
        <v>1382322</v>
      </c>
      <c r="B9063" s="115" t="s">
        <v>11720</v>
      </c>
      <c r="C9063" s="117">
        <v>4330.2700000000004</v>
      </c>
    </row>
    <row r="9064" spans="1:3" x14ac:dyDescent="0.25">
      <c r="A9064" s="115">
        <v>1387725</v>
      </c>
      <c r="B9064" s="115" t="s">
        <v>11721</v>
      </c>
      <c r="C9064" s="117">
        <v>4874.45</v>
      </c>
    </row>
    <row r="9065" spans="1:3" x14ac:dyDescent="0.25">
      <c r="A9065" s="115">
        <v>1389125</v>
      </c>
      <c r="B9065" s="115" t="s">
        <v>11722</v>
      </c>
      <c r="C9065" s="117">
        <v>2505.36</v>
      </c>
    </row>
    <row r="9066" spans="1:3" x14ac:dyDescent="0.25">
      <c r="A9066" s="115">
        <v>1387763</v>
      </c>
      <c r="B9066" s="115" t="s">
        <v>11723</v>
      </c>
      <c r="C9066" s="117">
        <v>4874.45</v>
      </c>
    </row>
    <row r="9067" spans="1:3" x14ac:dyDescent="0.25">
      <c r="A9067" s="115">
        <v>1389163</v>
      </c>
      <c r="B9067" s="115" t="s">
        <v>11724</v>
      </c>
      <c r="C9067" s="117">
        <v>2505.36</v>
      </c>
    </row>
    <row r="9068" spans="1:3" x14ac:dyDescent="0.25">
      <c r="A9068" s="115">
        <v>1387299</v>
      </c>
      <c r="B9068" s="115" t="s">
        <v>11725</v>
      </c>
      <c r="C9068" s="117">
        <v>1983.24</v>
      </c>
    </row>
    <row r="9069" spans="1:3" x14ac:dyDescent="0.25">
      <c r="A9069" s="115">
        <v>1384027</v>
      </c>
      <c r="B9069" s="115" t="s">
        <v>11726</v>
      </c>
      <c r="C9069" s="117">
        <v>7081.57</v>
      </c>
    </row>
    <row r="9070" spans="1:3" x14ac:dyDescent="0.25">
      <c r="A9070" s="115">
        <v>1388663</v>
      </c>
      <c r="B9070" s="115" t="s">
        <v>11727</v>
      </c>
      <c r="C9070" s="117">
        <v>2448.34</v>
      </c>
    </row>
    <row r="9071" spans="1:3" x14ac:dyDescent="0.25">
      <c r="A9071" s="115">
        <v>1389361</v>
      </c>
      <c r="B9071" s="115" t="s">
        <v>11728</v>
      </c>
      <c r="C9071" s="117">
        <v>5365.2</v>
      </c>
    </row>
    <row r="9072" spans="1:3" x14ac:dyDescent="0.25">
      <c r="A9072" s="115">
        <v>1389363</v>
      </c>
      <c r="B9072" s="115" t="s">
        <v>11729</v>
      </c>
      <c r="C9072" s="117">
        <v>4055.26</v>
      </c>
    </row>
    <row r="9073" spans="1:3" x14ac:dyDescent="0.25">
      <c r="A9073" s="115">
        <v>1382999</v>
      </c>
      <c r="B9073" s="115" t="s">
        <v>11730</v>
      </c>
      <c r="C9073" s="117">
        <v>5027.93</v>
      </c>
    </row>
    <row r="9074" spans="1:3" x14ac:dyDescent="0.25">
      <c r="A9074" s="115">
        <v>1383289</v>
      </c>
      <c r="B9074" s="115" t="s">
        <v>11731</v>
      </c>
      <c r="C9074" s="117">
        <v>10036.530000000001</v>
      </c>
    </row>
    <row r="9075" spans="1:3" x14ac:dyDescent="0.25">
      <c r="A9075" s="115">
        <v>1389463</v>
      </c>
      <c r="B9075" s="115" t="s">
        <v>11732</v>
      </c>
      <c r="C9075" s="117">
        <v>3307.51</v>
      </c>
    </row>
    <row r="9076" spans="1:3" x14ac:dyDescent="0.25">
      <c r="A9076" s="115">
        <v>1385016</v>
      </c>
      <c r="B9076" s="115" t="s">
        <v>11733</v>
      </c>
      <c r="C9076" s="117">
        <v>2879.7</v>
      </c>
    </row>
    <row r="9077" spans="1:3" x14ac:dyDescent="0.25">
      <c r="A9077" s="115">
        <v>1385062</v>
      </c>
      <c r="B9077" s="115" t="s">
        <v>11734</v>
      </c>
      <c r="C9077" s="117">
        <v>4799.38</v>
      </c>
    </row>
    <row r="9078" spans="1:3" x14ac:dyDescent="0.25">
      <c r="A9078" s="115">
        <v>1385067</v>
      </c>
      <c r="B9078" s="115" t="s">
        <v>11735</v>
      </c>
      <c r="C9078" s="117">
        <v>4979.3100000000004</v>
      </c>
    </row>
    <row r="9079" spans="1:3" x14ac:dyDescent="0.25">
      <c r="A9079" s="115">
        <v>1385087</v>
      </c>
      <c r="B9079" s="115" t="s">
        <v>11736</v>
      </c>
      <c r="C9079" s="117">
        <v>2610.19</v>
      </c>
    </row>
    <row r="9080" spans="1:3" x14ac:dyDescent="0.25">
      <c r="A9080" s="115">
        <v>1383036</v>
      </c>
      <c r="B9080" s="115" t="s">
        <v>11737</v>
      </c>
      <c r="C9080" s="117">
        <v>3530.57</v>
      </c>
    </row>
    <row r="9081" spans="1:3" x14ac:dyDescent="0.25">
      <c r="A9081" s="115">
        <v>1383035</v>
      </c>
      <c r="B9081" s="115" t="s">
        <v>11738</v>
      </c>
      <c r="C9081" s="117">
        <v>2104.12</v>
      </c>
    </row>
    <row r="9082" spans="1:3" x14ac:dyDescent="0.25">
      <c r="A9082" s="115">
        <v>1382400</v>
      </c>
      <c r="B9082" s="115" t="s">
        <v>11739</v>
      </c>
      <c r="C9082" s="117">
        <v>3092.18</v>
      </c>
    </row>
    <row r="9083" spans="1:3" x14ac:dyDescent="0.25">
      <c r="A9083" s="115">
        <v>1383500</v>
      </c>
      <c r="B9083" s="115" t="s">
        <v>11740</v>
      </c>
      <c r="C9083" s="117">
        <v>4719.78</v>
      </c>
    </row>
    <row r="9084" spans="1:3" x14ac:dyDescent="0.25">
      <c r="A9084" s="115">
        <v>1382300</v>
      </c>
      <c r="B9084" s="115" t="s">
        <v>11741</v>
      </c>
      <c r="C9084" s="117">
        <v>4590.1099999999997</v>
      </c>
    </row>
    <row r="9085" spans="1:3" x14ac:dyDescent="0.25">
      <c r="A9085" s="115">
        <v>1383005</v>
      </c>
      <c r="B9085" s="115" t="s">
        <v>11742</v>
      </c>
      <c r="C9085" s="117">
        <v>5365.25</v>
      </c>
    </row>
    <row r="9086" spans="1:3" x14ac:dyDescent="0.25">
      <c r="A9086" s="115">
        <v>1383554</v>
      </c>
      <c r="B9086" s="115" t="s">
        <v>12034</v>
      </c>
      <c r="C9086" s="117">
        <v>830.34</v>
      </c>
    </row>
    <row r="9087" spans="1:3" x14ac:dyDescent="0.25">
      <c r="A9087" s="144" t="s">
        <v>8429</v>
      </c>
      <c r="B9087" s="145"/>
      <c r="C9087" s="145"/>
    </row>
    <row r="9088" spans="1:3" x14ac:dyDescent="0.25">
      <c r="A9088" s="115">
        <v>6995034</v>
      </c>
      <c r="B9088" s="115" t="s">
        <v>8430</v>
      </c>
      <c r="C9088" s="117">
        <v>4363.3</v>
      </c>
    </row>
    <row r="9089" spans="1:3" x14ac:dyDescent="0.25">
      <c r="A9089" s="115">
        <v>6992145</v>
      </c>
      <c r="B9089" s="115" t="s">
        <v>8431</v>
      </c>
      <c r="C9089" s="117">
        <v>1250.23</v>
      </c>
    </row>
    <row r="9090" spans="1:3" x14ac:dyDescent="0.25">
      <c r="A9090" s="115">
        <v>6995051</v>
      </c>
      <c r="B9090" s="115" t="s">
        <v>8432</v>
      </c>
      <c r="C9090" s="117">
        <v>2162.9</v>
      </c>
    </row>
    <row r="9091" spans="1:3" x14ac:dyDescent="0.25">
      <c r="A9091" s="115">
        <v>6992102</v>
      </c>
      <c r="B9091" s="115" t="s">
        <v>8433</v>
      </c>
      <c r="C9091" s="117">
        <v>750.14</v>
      </c>
    </row>
    <row r="9092" spans="1:3" x14ac:dyDescent="0.25">
      <c r="A9092" s="115">
        <v>6992146</v>
      </c>
      <c r="B9092" s="115" t="s">
        <v>8434</v>
      </c>
      <c r="C9092" s="117">
        <v>1312.74</v>
      </c>
    </row>
    <row r="9093" spans="1:3" x14ac:dyDescent="0.25">
      <c r="A9093" s="115">
        <v>6995048</v>
      </c>
      <c r="B9093" s="115" t="s">
        <v>8435</v>
      </c>
      <c r="C9093" s="117">
        <v>1894.1</v>
      </c>
    </row>
    <row r="9094" spans="1:3" x14ac:dyDescent="0.25">
      <c r="A9094" s="115">
        <v>6995049</v>
      </c>
      <c r="B9094" s="115" t="s">
        <v>8436</v>
      </c>
      <c r="C9094" s="117">
        <v>1894.1</v>
      </c>
    </row>
    <row r="9095" spans="1:3" x14ac:dyDescent="0.25">
      <c r="A9095" s="115">
        <v>6995056</v>
      </c>
      <c r="B9095" s="115" t="s">
        <v>8437</v>
      </c>
      <c r="C9095" s="117">
        <v>1312.74</v>
      </c>
    </row>
    <row r="9096" spans="1:3" x14ac:dyDescent="0.25">
      <c r="A9096" s="115">
        <v>6995055</v>
      </c>
      <c r="B9096" s="115" t="s">
        <v>8438</v>
      </c>
      <c r="C9096" s="117">
        <v>1312.74</v>
      </c>
    </row>
    <row r="9097" spans="1:3" x14ac:dyDescent="0.25">
      <c r="A9097" s="115">
        <v>6995044</v>
      </c>
      <c r="B9097" s="115" t="s">
        <v>8439</v>
      </c>
      <c r="C9097" s="117">
        <v>775.14</v>
      </c>
    </row>
    <row r="9098" spans="1:3" x14ac:dyDescent="0.25">
      <c r="A9098" s="115">
        <v>6995045</v>
      </c>
      <c r="B9098" s="115" t="s">
        <v>8440</v>
      </c>
      <c r="C9098" s="117">
        <v>775.14</v>
      </c>
    </row>
    <row r="9099" spans="1:3" x14ac:dyDescent="0.25">
      <c r="A9099" s="115">
        <v>6995057</v>
      </c>
      <c r="B9099" s="115" t="s">
        <v>8441</v>
      </c>
      <c r="C9099" s="117">
        <v>2988.05</v>
      </c>
    </row>
    <row r="9100" spans="1:3" x14ac:dyDescent="0.25">
      <c r="A9100" s="115">
        <v>6995058</v>
      </c>
      <c r="B9100" s="115" t="s">
        <v>8442</v>
      </c>
      <c r="C9100" s="117">
        <v>2612.98</v>
      </c>
    </row>
    <row r="9101" spans="1:3" x14ac:dyDescent="0.25">
      <c r="A9101" s="115">
        <v>6998428</v>
      </c>
      <c r="B9101" s="115" t="s">
        <v>8443</v>
      </c>
      <c r="C9101" s="117">
        <v>1575.29</v>
      </c>
    </row>
    <row r="9102" spans="1:3" x14ac:dyDescent="0.25">
      <c r="A9102" s="115">
        <v>6998453</v>
      </c>
      <c r="B9102" s="115" t="s">
        <v>8444</v>
      </c>
      <c r="C9102" s="117">
        <v>1575.29</v>
      </c>
    </row>
    <row r="9103" spans="1:3" x14ac:dyDescent="0.25">
      <c r="A9103" s="115">
        <v>6998424</v>
      </c>
      <c r="B9103" s="115" t="s">
        <v>8445</v>
      </c>
      <c r="C9103" s="117">
        <v>1701.31</v>
      </c>
    </row>
    <row r="9104" spans="1:3" x14ac:dyDescent="0.25">
      <c r="A9104" s="115">
        <v>6998426</v>
      </c>
      <c r="B9104" s="115" t="s">
        <v>8446</v>
      </c>
      <c r="C9104" s="117">
        <v>1575.29</v>
      </c>
    </row>
    <row r="9105" spans="1:3" x14ac:dyDescent="0.25">
      <c r="A9105" s="115">
        <v>6998421</v>
      </c>
      <c r="B9105" s="115" t="s">
        <v>8447</v>
      </c>
      <c r="C9105" s="117">
        <v>1701.31</v>
      </c>
    </row>
    <row r="9106" spans="1:3" x14ac:dyDescent="0.25">
      <c r="A9106" s="115">
        <v>6998422</v>
      </c>
      <c r="B9106" s="115" t="s">
        <v>8448</v>
      </c>
      <c r="C9106" s="117">
        <v>1575.29</v>
      </c>
    </row>
    <row r="9107" spans="1:3" x14ac:dyDescent="0.25">
      <c r="A9107" s="115">
        <v>6998409</v>
      </c>
      <c r="B9107" s="115" t="s">
        <v>8449</v>
      </c>
      <c r="C9107" s="117">
        <v>1575.29</v>
      </c>
    </row>
    <row r="9108" spans="1:3" x14ac:dyDescent="0.25">
      <c r="A9108" s="115">
        <v>6998433</v>
      </c>
      <c r="B9108" s="115" t="s">
        <v>8450</v>
      </c>
      <c r="C9108" s="117">
        <v>1575.29</v>
      </c>
    </row>
    <row r="9109" spans="1:3" x14ac:dyDescent="0.25">
      <c r="A9109" s="115">
        <v>6998435</v>
      </c>
      <c r="B9109" s="115" t="s">
        <v>8451</v>
      </c>
      <c r="C9109" s="117">
        <v>1575.29</v>
      </c>
    </row>
    <row r="9110" spans="1:3" x14ac:dyDescent="0.25">
      <c r="A9110" s="115">
        <v>6998442</v>
      </c>
      <c r="B9110" s="115" t="s">
        <v>8452</v>
      </c>
      <c r="C9110" s="117">
        <v>1575.29</v>
      </c>
    </row>
    <row r="9111" spans="1:3" x14ac:dyDescent="0.25">
      <c r="A9111" s="115">
        <v>6998463</v>
      </c>
      <c r="B9111" s="115" t="s">
        <v>8453</v>
      </c>
      <c r="C9111" s="117">
        <v>1575.29</v>
      </c>
    </row>
    <row r="9112" spans="1:3" x14ac:dyDescent="0.25">
      <c r="A9112" s="115">
        <v>6998415</v>
      </c>
      <c r="B9112" s="115" t="s">
        <v>8454</v>
      </c>
      <c r="C9112" s="117">
        <v>1575.29</v>
      </c>
    </row>
    <row r="9113" spans="1:3" x14ac:dyDescent="0.25">
      <c r="A9113" s="115">
        <v>6998439</v>
      </c>
      <c r="B9113" s="115" t="s">
        <v>8455</v>
      </c>
      <c r="C9113" s="117">
        <v>1575.29</v>
      </c>
    </row>
    <row r="9114" spans="1:3" x14ac:dyDescent="0.25">
      <c r="A9114" s="115">
        <v>6998467</v>
      </c>
      <c r="B9114" s="115" t="s">
        <v>8456</v>
      </c>
      <c r="C9114" s="117">
        <v>1575.29</v>
      </c>
    </row>
    <row r="9115" spans="1:3" x14ac:dyDescent="0.25">
      <c r="A9115" s="115">
        <v>6998476</v>
      </c>
      <c r="B9115" s="115" t="s">
        <v>8457</v>
      </c>
      <c r="C9115" s="117">
        <v>1837.84</v>
      </c>
    </row>
    <row r="9116" spans="1:3" x14ac:dyDescent="0.25">
      <c r="A9116" s="115">
        <v>6998477</v>
      </c>
      <c r="B9116" s="115" t="s">
        <v>8458</v>
      </c>
      <c r="C9116" s="117">
        <v>1963.86</v>
      </c>
    </row>
    <row r="9117" spans="1:3" x14ac:dyDescent="0.25">
      <c r="A9117" s="115">
        <v>6995029</v>
      </c>
      <c r="B9117" s="115" t="s">
        <v>8459</v>
      </c>
      <c r="C9117" s="117">
        <v>6226.14</v>
      </c>
    </row>
    <row r="9118" spans="1:3" x14ac:dyDescent="0.25">
      <c r="A9118" s="115">
        <v>6995016</v>
      </c>
      <c r="B9118" s="115" t="s">
        <v>8460</v>
      </c>
      <c r="C9118" s="117">
        <v>775.14</v>
      </c>
    </row>
    <row r="9119" spans="1:3" x14ac:dyDescent="0.25">
      <c r="A9119" s="115">
        <v>6995008</v>
      </c>
      <c r="B9119" s="115" t="s">
        <v>8461</v>
      </c>
      <c r="C9119" s="117">
        <v>750.14</v>
      </c>
    </row>
    <row r="9120" spans="1:3" x14ac:dyDescent="0.25">
      <c r="A9120" s="115">
        <v>6995022</v>
      </c>
      <c r="B9120" s="115" t="s">
        <v>8462</v>
      </c>
      <c r="C9120" s="117">
        <v>2294.17</v>
      </c>
    </row>
    <row r="9121" spans="1:3" x14ac:dyDescent="0.25">
      <c r="A9121" s="115">
        <v>6995018</v>
      </c>
      <c r="B9121" s="115" t="s">
        <v>8463</v>
      </c>
      <c r="C9121" s="117">
        <v>2325.4299999999998</v>
      </c>
    </row>
    <row r="9122" spans="1:3" x14ac:dyDescent="0.25">
      <c r="A9122" s="115">
        <v>6995007</v>
      </c>
      <c r="B9122" s="115" t="s">
        <v>8464</v>
      </c>
      <c r="C9122" s="117">
        <v>775.14</v>
      </c>
    </row>
    <row r="9123" spans="1:3" x14ac:dyDescent="0.25">
      <c r="A9123" s="115">
        <v>6995009</v>
      </c>
      <c r="B9123" s="115" t="s">
        <v>8465</v>
      </c>
      <c r="C9123" s="117">
        <v>775.14</v>
      </c>
    </row>
    <row r="9124" spans="1:3" x14ac:dyDescent="0.25">
      <c r="A9124" s="115">
        <v>6995012</v>
      </c>
      <c r="B9124" s="115" t="s">
        <v>8466</v>
      </c>
      <c r="C9124" s="117">
        <v>1719.73</v>
      </c>
    </row>
    <row r="9125" spans="1:3" x14ac:dyDescent="0.25">
      <c r="A9125" s="115">
        <v>6995024</v>
      </c>
      <c r="B9125" s="115" t="s">
        <v>8467</v>
      </c>
      <c r="C9125" s="117">
        <v>1937.86</v>
      </c>
    </row>
    <row r="9126" spans="1:3" x14ac:dyDescent="0.25">
      <c r="A9126" s="115">
        <v>6995010</v>
      </c>
      <c r="B9126" s="115" t="s">
        <v>8468</v>
      </c>
      <c r="C9126" s="117">
        <v>750.14</v>
      </c>
    </row>
    <row r="9127" spans="1:3" x14ac:dyDescent="0.25">
      <c r="A9127" s="115">
        <v>6995015</v>
      </c>
      <c r="B9127" s="115" t="s">
        <v>8469</v>
      </c>
      <c r="C9127" s="117">
        <v>775.14</v>
      </c>
    </row>
    <row r="9128" spans="1:3" x14ac:dyDescent="0.25">
      <c r="A9128" s="115">
        <v>6995019</v>
      </c>
      <c r="B9128" s="115" t="s">
        <v>8470</v>
      </c>
      <c r="C9128" s="117">
        <v>2325.4299999999998</v>
      </c>
    </row>
    <row r="9129" spans="1:3" x14ac:dyDescent="0.25">
      <c r="A9129" s="115">
        <v>6995026</v>
      </c>
      <c r="B9129" s="115" t="s">
        <v>8471</v>
      </c>
      <c r="C9129" s="117">
        <v>775.14</v>
      </c>
    </row>
    <row r="9130" spans="1:3" x14ac:dyDescent="0.25">
      <c r="A9130" s="115">
        <v>6995014</v>
      </c>
      <c r="B9130" s="115" t="s">
        <v>8472</v>
      </c>
      <c r="C9130" s="117">
        <v>2387.94</v>
      </c>
    </row>
    <row r="9131" spans="1:3" x14ac:dyDescent="0.25">
      <c r="A9131" s="115">
        <v>6995025</v>
      </c>
      <c r="B9131" s="115" t="s">
        <v>8473</v>
      </c>
      <c r="C9131" s="117">
        <v>2387.94</v>
      </c>
    </row>
    <row r="9132" spans="1:3" x14ac:dyDescent="0.25">
      <c r="A9132" s="115">
        <v>6995011</v>
      </c>
      <c r="B9132" s="115" t="s">
        <v>8474</v>
      </c>
      <c r="C9132" s="117">
        <v>1250.23</v>
      </c>
    </row>
    <row r="9133" spans="1:3" x14ac:dyDescent="0.25">
      <c r="A9133" s="115">
        <v>6995021</v>
      </c>
      <c r="B9133" s="115" t="s">
        <v>8475</v>
      </c>
      <c r="C9133" s="117">
        <v>1875.34</v>
      </c>
    </row>
    <row r="9134" spans="1:3" x14ac:dyDescent="0.25">
      <c r="A9134" s="115">
        <v>6995059</v>
      </c>
      <c r="B9134" s="115" t="s">
        <v>8476</v>
      </c>
      <c r="C9134" s="117">
        <v>4863.3900000000003</v>
      </c>
    </row>
    <row r="9135" spans="1:3" x14ac:dyDescent="0.25">
      <c r="A9135" s="115">
        <v>6995060</v>
      </c>
      <c r="B9135" s="115" t="s">
        <v>8477</v>
      </c>
      <c r="C9135" s="117">
        <v>2687.99</v>
      </c>
    </row>
    <row r="9136" spans="1:3" x14ac:dyDescent="0.25">
      <c r="A9136" s="115">
        <v>6995027</v>
      </c>
      <c r="B9136" s="115" t="s">
        <v>8478</v>
      </c>
      <c r="C9136" s="117">
        <v>1987.86</v>
      </c>
    </row>
    <row r="9137" spans="1:3" x14ac:dyDescent="0.25">
      <c r="A9137" s="144" t="s">
        <v>8479</v>
      </c>
      <c r="B9137" s="145"/>
      <c r="C9137" s="145"/>
    </row>
    <row r="9138" spans="1:3" x14ac:dyDescent="0.25">
      <c r="A9138" s="115">
        <v>3229611</v>
      </c>
      <c r="B9138" s="115" t="s">
        <v>8480</v>
      </c>
      <c r="C9138" s="117">
        <v>1055.3</v>
      </c>
    </row>
    <row r="9139" spans="1:3" x14ac:dyDescent="0.25">
      <c r="A9139" s="115">
        <v>6990082</v>
      </c>
      <c r="B9139" s="115" t="s">
        <v>8481</v>
      </c>
      <c r="C9139" s="117">
        <v>1430.92</v>
      </c>
    </row>
    <row r="9140" spans="1:3" x14ac:dyDescent="0.25">
      <c r="A9140" s="115">
        <v>6997002</v>
      </c>
      <c r="B9140" s="115" t="s">
        <v>8482</v>
      </c>
      <c r="C9140" s="117">
        <v>1087.7</v>
      </c>
    </row>
    <row r="9141" spans="1:3" x14ac:dyDescent="0.25">
      <c r="A9141" s="115">
        <v>6997007</v>
      </c>
      <c r="B9141" s="115" t="s">
        <v>8483</v>
      </c>
      <c r="C9141" s="117">
        <v>1087.7</v>
      </c>
    </row>
    <row r="9142" spans="1:3" x14ac:dyDescent="0.25">
      <c r="A9142" s="115">
        <v>6997016</v>
      </c>
      <c r="B9142" s="115" t="s">
        <v>8484</v>
      </c>
      <c r="C9142" s="117">
        <v>2637.98</v>
      </c>
    </row>
    <row r="9143" spans="1:3" x14ac:dyDescent="0.25">
      <c r="A9143" s="115">
        <v>6997012</v>
      </c>
      <c r="B9143" s="115" t="s">
        <v>8485</v>
      </c>
      <c r="C9143" s="117">
        <v>1181.47</v>
      </c>
    </row>
    <row r="9144" spans="1:3" x14ac:dyDescent="0.25">
      <c r="A9144" s="115">
        <v>6997015</v>
      </c>
      <c r="B9144" s="115" t="s">
        <v>8486</v>
      </c>
      <c r="C9144" s="117">
        <v>2637.98</v>
      </c>
    </row>
    <row r="9145" spans="1:3" x14ac:dyDescent="0.25">
      <c r="A9145" s="115">
        <v>6992022</v>
      </c>
      <c r="B9145" s="115" t="s">
        <v>8487</v>
      </c>
      <c r="C9145" s="117">
        <v>3238.09</v>
      </c>
    </row>
    <row r="9146" spans="1:3" x14ac:dyDescent="0.25">
      <c r="A9146" s="115">
        <v>6992005</v>
      </c>
      <c r="B9146" s="115" t="s">
        <v>8488</v>
      </c>
      <c r="C9146" s="117">
        <v>1612.8</v>
      </c>
    </row>
    <row r="9147" spans="1:3" x14ac:dyDescent="0.25">
      <c r="A9147" s="115">
        <v>6992072</v>
      </c>
      <c r="B9147" s="115" t="s">
        <v>8489</v>
      </c>
      <c r="C9147" s="117">
        <v>1913.66</v>
      </c>
    </row>
    <row r="9148" spans="1:3" x14ac:dyDescent="0.25">
      <c r="A9148" s="115">
        <v>6992028</v>
      </c>
      <c r="B9148" s="115" t="s">
        <v>8490</v>
      </c>
      <c r="C9148" s="117">
        <v>1303.74</v>
      </c>
    </row>
    <row r="9149" spans="1:3" x14ac:dyDescent="0.25">
      <c r="A9149" s="115">
        <v>6992049</v>
      </c>
      <c r="B9149" s="115" t="s">
        <v>8491</v>
      </c>
      <c r="C9149" s="117">
        <v>925.17</v>
      </c>
    </row>
    <row r="9150" spans="1:3" x14ac:dyDescent="0.25">
      <c r="A9150" s="115">
        <v>6992058</v>
      </c>
      <c r="B9150" s="115" t="s">
        <v>8492</v>
      </c>
      <c r="C9150" s="117">
        <v>3075.56</v>
      </c>
    </row>
    <row r="9151" spans="1:3" x14ac:dyDescent="0.25">
      <c r="A9151" s="115">
        <v>6992051</v>
      </c>
      <c r="B9151" s="115" t="s">
        <v>8493</v>
      </c>
      <c r="C9151" s="117">
        <v>1592.54</v>
      </c>
    </row>
    <row r="9152" spans="1:3" x14ac:dyDescent="0.25">
      <c r="A9152" s="115">
        <v>6992056</v>
      </c>
      <c r="B9152" s="115" t="s">
        <v>8494</v>
      </c>
      <c r="C9152" s="117">
        <v>3975.73</v>
      </c>
    </row>
    <row r="9153" spans="1:3" x14ac:dyDescent="0.25">
      <c r="A9153" s="115">
        <v>6992046</v>
      </c>
      <c r="B9153" s="115" t="s">
        <v>8495</v>
      </c>
      <c r="C9153" s="117">
        <v>2362.9299999999998</v>
      </c>
    </row>
    <row r="9154" spans="1:3" x14ac:dyDescent="0.25">
      <c r="A9154" s="115">
        <v>6992161</v>
      </c>
      <c r="B9154" s="115" t="s">
        <v>8496</v>
      </c>
      <c r="C9154" s="117">
        <v>6001.1</v>
      </c>
    </row>
    <row r="9155" spans="1:3" x14ac:dyDescent="0.25">
      <c r="A9155" s="115">
        <v>6990031</v>
      </c>
      <c r="B9155" s="115" t="s">
        <v>8497</v>
      </c>
      <c r="C9155" s="117">
        <v>3756.16</v>
      </c>
    </row>
    <row r="9156" spans="1:3" x14ac:dyDescent="0.25">
      <c r="A9156" s="115">
        <v>6993019</v>
      </c>
      <c r="B9156" s="115" t="s">
        <v>8498</v>
      </c>
      <c r="C9156" s="117">
        <v>2362.9299999999998</v>
      </c>
    </row>
    <row r="9157" spans="1:3" x14ac:dyDescent="0.25">
      <c r="A9157" s="115">
        <v>6990091</v>
      </c>
      <c r="B9157" s="115" t="s">
        <v>8499</v>
      </c>
      <c r="C9157" s="117">
        <v>1770.76</v>
      </c>
    </row>
    <row r="9158" spans="1:3" x14ac:dyDescent="0.25">
      <c r="A9158" s="115">
        <v>6990090</v>
      </c>
      <c r="B9158" s="115" t="s">
        <v>8500</v>
      </c>
      <c r="C9158" s="117">
        <v>1770.76</v>
      </c>
    </row>
    <row r="9159" spans="1:3" x14ac:dyDescent="0.25">
      <c r="A9159" s="115">
        <v>6990092</v>
      </c>
      <c r="B9159" s="115" t="s">
        <v>8501</v>
      </c>
      <c r="C9159" s="117">
        <v>1770.76</v>
      </c>
    </row>
    <row r="9160" spans="1:3" x14ac:dyDescent="0.25">
      <c r="A9160" s="115">
        <v>6990094</v>
      </c>
      <c r="B9160" s="115" t="s">
        <v>8502</v>
      </c>
      <c r="C9160" s="117">
        <v>1770.76</v>
      </c>
    </row>
    <row r="9161" spans="1:3" x14ac:dyDescent="0.25">
      <c r="A9161" s="115">
        <v>6990033</v>
      </c>
      <c r="B9161" s="115" t="s">
        <v>8503</v>
      </c>
      <c r="C9161" s="117">
        <v>3756.16</v>
      </c>
    </row>
    <row r="9162" spans="1:3" x14ac:dyDescent="0.25">
      <c r="A9162" s="115">
        <v>6990032</v>
      </c>
      <c r="B9162" s="115" t="s">
        <v>8504</v>
      </c>
      <c r="C9162" s="117">
        <v>3756.16</v>
      </c>
    </row>
    <row r="9163" spans="1:3" x14ac:dyDescent="0.25">
      <c r="A9163" s="115">
        <v>6990030</v>
      </c>
      <c r="B9163" s="115" t="s">
        <v>8505</v>
      </c>
      <c r="C9163" s="117">
        <v>3756.16</v>
      </c>
    </row>
    <row r="9164" spans="1:3" x14ac:dyDescent="0.25">
      <c r="A9164" s="115">
        <v>6990034</v>
      </c>
      <c r="B9164" s="115" t="s">
        <v>8506</v>
      </c>
      <c r="C9164" s="117">
        <v>3756.16</v>
      </c>
    </row>
    <row r="9165" spans="1:3" x14ac:dyDescent="0.25">
      <c r="A9165" s="115">
        <v>6990041</v>
      </c>
      <c r="B9165" s="115" t="s">
        <v>8507</v>
      </c>
      <c r="C9165" s="117">
        <v>1001.64</v>
      </c>
    </row>
    <row r="9166" spans="1:3" x14ac:dyDescent="0.25">
      <c r="A9166" s="115">
        <v>6990040</v>
      </c>
      <c r="B9166" s="115" t="s">
        <v>8508</v>
      </c>
      <c r="C9166" s="117">
        <v>1001.64</v>
      </c>
    </row>
    <row r="9167" spans="1:3" x14ac:dyDescent="0.25">
      <c r="A9167" s="144" t="s">
        <v>8509</v>
      </c>
      <c r="B9167" s="145"/>
      <c r="C9167" s="145"/>
    </row>
    <row r="9168" spans="1:3" x14ac:dyDescent="0.25">
      <c r="A9168" s="115">
        <v>6992156</v>
      </c>
      <c r="B9168" s="115" t="s">
        <v>8510</v>
      </c>
      <c r="C9168" s="117">
        <v>1987.86</v>
      </c>
    </row>
    <row r="9169" spans="1:3" x14ac:dyDescent="0.25">
      <c r="A9169" s="115">
        <v>6992111</v>
      </c>
      <c r="B9169" s="115" t="s">
        <v>8511</v>
      </c>
      <c r="C9169" s="117">
        <v>1469.02</v>
      </c>
    </row>
    <row r="9170" spans="1:3" x14ac:dyDescent="0.25">
      <c r="A9170" s="115">
        <v>6992115</v>
      </c>
      <c r="B9170" s="115" t="s">
        <v>8512</v>
      </c>
      <c r="C9170" s="117">
        <v>1675.31</v>
      </c>
    </row>
    <row r="9171" spans="1:3" x14ac:dyDescent="0.25">
      <c r="A9171" s="115">
        <v>6992117</v>
      </c>
      <c r="B9171" s="115" t="s">
        <v>8513</v>
      </c>
      <c r="C9171" s="117">
        <v>1737.82</v>
      </c>
    </row>
    <row r="9172" spans="1:3" x14ac:dyDescent="0.25">
      <c r="A9172" s="115">
        <v>6992109</v>
      </c>
      <c r="B9172" s="115" t="s">
        <v>8514</v>
      </c>
      <c r="C9172" s="117">
        <v>1375.25</v>
      </c>
    </row>
    <row r="9173" spans="1:3" x14ac:dyDescent="0.25">
      <c r="A9173" s="115">
        <v>6992114</v>
      </c>
      <c r="B9173" s="115" t="s">
        <v>8515</v>
      </c>
      <c r="C9173" s="117">
        <v>1644.05</v>
      </c>
    </row>
    <row r="9174" spans="1:3" x14ac:dyDescent="0.25">
      <c r="A9174" s="115">
        <v>6992107</v>
      </c>
      <c r="B9174" s="115" t="s">
        <v>8516</v>
      </c>
      <c r="C9174" s="117">
        <v>956.43</v>
      </c>
    </row>
    <row r="9175" spans="1:3" x14ac:dyDescent="0.25">
      <c r="A9175" s="115">
        <v>6992103</v>
      </c>
      <c r="B9175" s="115" t="s">
        <v>8517</v>
      </c>
      <c r="C9175" s="117">
        <v>775.14</v>
      </c>
    </row>
    <row r="9176" spans="1:3" x14ac:dyDescent="0.25">
      <c r="A9176" s="115">
        <v>6992100</v>
      </c>
      <c r="B9176" s="115" t="s">
        <v>8518</v>
      </c>
      <c r="C9176" s="117">
        <v>487.59</v>
      </c>
    </row>
    <row r="9177" spans="1:3" x14ac:dyDescent="0.25">
      <c r="A9177" s="115">
        <v>6992113</v>
      </c>
      <c r="B9177" s="115" t="s">
        <v>8519</v>
      </c>
      <c r="C9177" s="117">
        <v>1600.29</v>
      </c>
    </row>
    <row r="9178" spans="1:3" x14ac:dyDescent="0.25">
      <c r="A9178" s="115">
        <v>6992116</v>
      </c>
      <c r="B9178" s="115" t="s">
        <v>8520</v>
      </c>
      <c r="C9178" s="117">
        <v>1719.07</v>
      </c>
    </row>
    <row r="9179" spans="1:3" x14ac:dyDescent="0.25">
      <c r="A9179" s="115">
        <v>6992063</v>
      </c>
      <c r="B9179" s="115" t="s">
        <v>8521</v>
      </c>
      <c r="C9179" s="117">
        <v>3125.57</v>
      </c>
    </row>
    <row r="9180" spans="1:3" x14ac:dyDescent="0.25">
      <c r="A9180" s="115">
        <v>6992061</v>
      </c>
      <c r="B9180" s="115" t="s">
        <v>8522</v>
      </c>
      <c r="C9180" s="117">
        <v>4219.5200000000004</v>
      </c>
    </row>
    <row r="9181" spans="1:3" x14ac:dyDescent="0.25">
      <c r="A9181" s="115">
        <v>6992032</v>
      </c>
      <c r="B9181" s="115" t="s">
        <v>8523</v>
      </c>
      <c r="C9181" s="117">
        <v>2187.9</v>
      </c>
    </row>
    <row r="9182" spans="1:3" x14ac:dyDescent="0.25">
      <c r="A9182" s="115">
        <v>6992030</v>
      </c>
      <c r="B9182" s="115" t="s">
        <v>8524</v>
      </c>
      <c r="C9182" s="117">
        <v>565.78</v>
      </c>
    </row>
    <row r="9183" spans="1:3" x14ac:dyDescent="0.25">
      <c r="A9183" s="115">
        <v>3630704</v>
      </c>
      <c r="B9183" s="115" t="s">
        <v>8525</v>
      </c>
      <c r="C9183" s="117">
        <v>790.37</v>
      </c>
    </row>
    <row r="9184" spans="1:3" x14ac:dyDescent="0.25">
      <c r="A9184" s="115">
        <v>6995030</v>
      </c>
      <c r="B9184" s="115" t="s">
        <v>8526</v>
      </c>
      <c r="C9184" s="117">
        <v>3488.14</v>
      </c>
    </row>
    <row r="9185" spans="1:3" x14ac:dyDescent="0.25">
      <c r="A9185" s="115">
        <v>6995031</v>
      </c>
      <c r="B9185" s="115" t="s">
        <v>8527</v>
      </c>
      <c r="C9185" s="117">
        <v>3488.14</v>
      </c>
    </row>
    <row r="9186" spans="1:3" x14ac:dyDescent="0.25">
      <c r="A9186" s="144" t="s">
        <v>8528</v>
      </c>
      <c r="B9186" s="145"/>
      <c r="C9186" s="145"/>
    </row>
    <row r="9187" spans="1:3" x14ac:dyDescent="0.25">
      <c r="A9187" s="115">
        <v>6995033</v>
      </c>
      <c r="B9187" s="115" t="s">
        <v>8529</v>
      </c>
      <c r="C9187" s="117">
        <v>3863.21</v>
      </c>
    </row>
    <row r="9188" spans="1:3" x14ac:dyDescent="0.25">
      <c r="A9188" s="115">
        <v>6994802</v>
      </c>
      <c r="B9188" s="115" t="s">
        <v>8530</v>
      </c>
      <c r="C9188" s="117">
        <v>1487.77</v>
      </c>
    </row>
    <row r="9189" spans="1:3" x14ac:dyDescent="0.25">
      <c r="A9189" s="115">
        <v>6997401</v>
      </c>
      <c r="B9189" s="115" t="s">
        <v>8531</v>
      </c>
      <c r="C9189" s="117">
        <v>1875.34</v>
      </c>
    </row>
    <row r="9190" spans="1:3" x14ac:dyDescent="0.25">
      <c r="A9190" s="115">
        <v>6992021</v>
      </c>
      <c r="B9190" s="115" t="s">
        <v>8532</v>
      </c>
      <c r="C9190" s="117">
        <v>2387.94</v>
      </c>
    </row>
    <row r="9191" spans="1:3" x14ac:dyDescent="0.25">
      <c r="A9191" s="115">
        <v>6992026</v>
      </c>
      <c r="B9191" s="115" t="s">
        <v>8533</v>
      </c>
      <c r="C9191" s="117">
        <v>1737.82</v>
      </c>
    </row>
    <row r="9192" spans="1:3" x14ac:dyDescent="0.25">
      <c r="A9192" s="115">
        <v>6992027</v>
      </c>
      <c r="B9192" s="115" t="s">
        <v>8534</v>
      </c>
      <c r="C9192" s="117">
        <v>1719.07</v>
      </c>
    </row>
    <row r="9193" spans="1:3" x14ac:dyDescent="0.25">
      <c r="A9193" s="115">
        <v>6992057</v>
      </c>
      <c r="B9193" s="115" t="s">
        <v>8535</v>
      </c>
      <c r="C9193" s="117">
        <v>1987.86</v>
      </c>
    </row>
    <row r="9194" spans="1:3" x14ac:dyDescent="0.25">
      <c r="A9194" s="115">
        <v>6998505</v>
      </c>
      <c r="B9194" s="115" t="s">
        <v>8536</v>
      </c>
      <c r="C9194" s="117">
        <v>1237.73</v>
      </c>
    </row>
    <row r="9195" spans="1:3" x14ac:dyDescent="0.25">
      <c r="A9195" s="115">
        <v>6992079</v>
      </c>
      <c r="B9195" s="115" t="s">
        <v>8537</v>
      </c>
      <c r="C9195" s="117">
        <v>2863.02</v>
      </c>
    </row>
    <row r="9196" spans="1:3" x14ac:dyDescent="0.25">
      <c r="A9196" s="115">
        <v>6994801</v>
      </c>
      <c r="B9196" s="115" t="s">
        <v>8538</v>
      </c>
      <c r="C9196" s="117">
        <v>875.16</v>
      </c>
    </row>
    <row r="9197" spans="1:3" x14ac:dyDescent="0.25">
      <c r="A9197" s="115">
        <v>6998224</v>
      </c>
      <c r="B9197" s="115" t="s">
        <v>8539</v>
      </c>
      <c r="C9197" s="117">
        <v>1487.77</v>
      </c>
    </row>
    <row r="9198" spans="1:3" x14ac:dyDescent="0.25">
      <c r="A9198" s="115">
        <v>6998203</v>
      </c>
      <c r="B9198" s="115" t="s">
        <v>8540</v>
      </c>
      <c r="C9198" s="117">
        <v>2988.05</v>
      </c>
    </row>
    <row r="9199" spans="1:3" x14ac:dyDescent="0.25">
      <c r="A9199" s="115">
        <v>6998217</v>
      </c>
      <c r="B9199" s="115" t="s">
        <v>8541</v>
      </c>
      <c r="C9199" s="117">
        <v>1487.77</v>
      </c>
    </row>
    <row r="9200" spans="1:3" x14ac:dyDescent="0.25">
      <c r="A9200" s="115">
        <v>6998232</v>
      </c>
      <c r="B9200" s="115" t="s">
        <v>8542</v>
      </c>
      <c r="C9200" s="117">
        <v>4988.41</v>
      </c>
    </row>
    <row r="9201" spans="1:3" x14ac:dyDescent="0.25">
      <c r="A9201" s="115">
        <v>6998207</v>
      </c>
      <c r="B9201" s="115" t="s">
        <v>8543</v>
      </c>
      <c r="C9201" s="117">
        <v>2031.62</v>
      </c>
    </row>
    <row r="9202" spans="1:3" x14ac:dyDescent="0.25">
      <c r="A9202" s="115">
        <v>6998206</v>
      </c>
      <c r="B9202" s="115" t="s">
        <v>8544</v>
      </c>
      <c r="C9202" s="117">
        <v>1487.77</v>
      </c>
    </row>
    <row r="9203" spans="1:3" x14ac:dyDescent="0.25">
      <c r="A9203" s="115">
        <v>6998234</v>
      </c>
      <c r="B9203" s="115" t="s">
        <v>8545</v>
      </c>
      <c r="C9203" s="117">
        <v>2913.03</v>
      </c>
    </row>
    <row r="9204" spans="1:3" x14ac:dyDescent="0.25">
      <c r="A9204" s="115">
        <v>6998230</v>
      </c>
      <c r="B9204" s="115" t="s">
        <v>8546</v>
      </c>
      <c r="C9204" s="117">
        <v>781.39</v>
      </c>
    </row>
    <row r="9205" spans="1:3" x14ac:dyDescent="0.25">
      <c r="A9205" s="115">
        <v>6998221</v>
      </c>
      <c r="B9205" s="115" t="s">
        <v>8547</v>
      </c>
      <c r="C9205" s="117">
        <v>1875.34</v>
      </c>
    </row>
    <row r="9206" spans="1:3" x14ac:dyDescent="0.25">
      <c r="A9206" s="115">
        <v>6996820</v>
      </c>
      <c r="B9206" s="115" t="s">
        <v>8548</v>
      </c>
      <c r="C9206" s="117">
        <v>1737.82</v>
      </c>
    </row>
    <row r="9207" spans="1:3" x14ac:dyDescent="0.25">
      <c r="A9207" s="115">
        <v>6996830</v>
      </c>
      <c r="B9207" s="115" t="s">
        <v>8549</v>
      </c>
      <c r="C9207" s="117">
        <v>3738.19</v>
      </c>
    </row>
    <row r="9208" spans="1:3" x14ac:dyDescent="0.25">
      <c r="A9208" s="115">
        <v>6997610</v>
      </c>
      <c r="B9208" s="115" t="s">
        <v>8550</v>
      </c>
      <c r="C9208" s="117">
        <v>332.81</v>
      </c>
    </row>
    <row r="9209" spans="1:3" x14ac:dyDescent="0.25">
      <c r="A9209" s="115">
        <v>6995104</v>
      </c>
      <c r="B9209" s="115" t="s">
        <v>8551</v>
      </c>
      <c r="C9209" s="117">
        <v>1125.21</v>
      </c>
    </row>
    <row r="9210" spans="1:3" x14ac:dyDescent="0.25">
      <c r="A9210" s="115">
        <v>6997106</v>
      </c>
      <c r="B9210" s="115" t="s">
        <v>8552</v>
      </c>
      <c r="C9210" s="117">
        <v>1975.36</v>
      </c>
    </row>
    <row r="9211" spans="1:3" x14ac:dyDescent="0.25">
      <c r="A9211" s="115">
        <v>6997133</v>
      </c>
      <c r="B9211" s="115" t="s">
        <v>8553</v>
      </c>
      <c r="C9211" s="117">
        <v>1862.84</v>
      </c>
    </row>
    <row r="9212" spans="1:3" x14ac:dyDescent="0.25">
      <c r="A9212" s="115">
        <v>6997135</v>
      </c>
      <c r="B9212" s="115" t="s">
        <v>8554</v>
      </c>
      <c r="C9212" s="117">
        <v>925.17</v>
      </c>
    </row>
    <row r="9213" spans="1:3" x14ac:dyDescent="0.25">
      <c r="A9213" s="115">
        <v>6997109</v>
      </c>
      <c r="B9213" s="115" t="s">
        <v>8555</v>
      </c>
      <c r="C9213" s="117">
        <v>6113.62</v>
      </c>
    </row>
    <row r="9214" spans="1:3" x14ac:dyDescent="0.25">
      <c r="A9214" s="115">
        <v>6997320</v>
      </c>
      <c r="B9214" s="115" t="s">
        <v>8556</v>
      </c>
      <c r="C9214" s="117">
        <v>1437.76</v>
      </c>
    </row>
    <row r="9215" spans="1:3" x14ac:dyDescent="0.25">
      <c r="A9215" s="115">
        <v>6997502</v>
      </c>
      <c r="B9215" s="115" t="s">
        <v>8557</v>
      </c>
      <c r="C9215" s="117">
        <v>1625.3</v>
      </c>
    </row>
    <row r="9216" spans="1:3" x14ac:dyDescent="0.25">
      <c r="A9216" s="115">
        <v>6997505</v>
      </c>
      <c r="B9216" s="115" t="s">
        <v>8558</v>
      </c>
      <c r="C9216" s="117">
        <v>1625.3</v>
      </c>
    </row>
    <row r="9217" spans="1:3" x14ac:dyDescent="0.25">
      <c r="A9217" s="115">
        <v>6997507</v>
      </c>
      <c r="B9217" s="115" t="s">
        <v>8559</v>
      </c>
      <c r="C9217" s="117">
        <v>1625.3</v>
      </c>
    </row>
    <row r="9218" spans="1:3" x14ac:dyDescent="0.25">
      <c r="A9218" s="115">
        <v>6997504</v>
      </c>
      <c r="B9218" s="115" t="s">
        <v>8560</v>
      </c>
      <c r="C9218" s="117">
        <v>1625.3</v>
      </c>
    </row>
    <row r="9219" spans="1:3" x14ac:dyDescent="0.25">
      <c r="A9219" s="115">
        <v>6997503</v>
      </c>
      <c r="B9219" s="115" t="s">
        <v>8561</v>
      </c>
      <c r="C9219" s="117">
        <v>1625.3</v>
      </c>
    </row>
    <row r="9220" spans="1:3" x14ac:dyDescent="0.25">
      <c r="A9220" s="115">
        <v>6997508</v>
      </c>
      <c r="B9220" s="115" t="s">
        <v>8562</v>
      </c>
      <c r="C9220" s="117">
        <v>1625.3</v>
      </c>
    </row>
    <row r="9221" spans="1:3" x14ac:dyDescent="0.25">
      <c r="A9221" s="115">
        <v>6997501</v>
      </c>
      <c r="B9221" s="115" t="s">
        <v>8563</v>
      </c>
      <c r="C9221" s="117">
        <v>1625.3</v>
      </c>
    </row>
    <row r="9222" spans="1:3" x14ac:dyDescent="0.25">
      <c r="A9222" s="115">
        <v>6999303</v>
      </c>
      <c r="B9222" s="115" t="s">
        <v>8564</v>
      </c>
      <c r="C9222" s="117">
        <v>1125.21</v>
      </c>
    </row>
    <row r="9223" spans="1:3" x14ac:dyDescent="0.25">
      <c r="A9223" s="115">
        <v>6994900</v>
      </c>
      <c r="B9223" s="115" t="s">
        <v>8565</v>
      </c>
      <c r="C9223" s="117">
        <v>1250.23</v>
      </c>
    </row>
    <row r="9224" spans="1:3" x14ac:dyDescent="0.25">
      <c r="A9224" s="115">
        <v>6997201</v>
      </c>
      <c r="B9224" s="115" t="s">
        <v>8566</v>
      </c>
      <c r="C9224" s="117">
        <v>317.68</v>
      </c>
    </row>
    <row r="9225" spans="1:3" x14ac:dyDescent="0.25">
      <c r="A9225" s="144" t="s">
        <v>8567</v>
      </c>
      <c r="B9225" s="145"/>
      <c r="C9225" s="145"/>
    </row>
    <row r="9226" spans="1:3" x14ac:dyDescent="0.25">
      <c r="A9226" s="115">
        <v>6999418</v>
      </c>
      <c r="B9226" s="115" t="s">
        <v>8568</v>
      </c>
      <c r="C9226" s="117">
        <v>1125.21</v>
      </c>
    </row>
    <row r="9227" spans="1:3" x14ac:dyDescent="0.25">
      <c r="A9227" s="115">
        <v>6992219</v>
      </c>
      <c r="B9227" s="115" t="s">
        <v>8569</v>
      </c>
      <c r="C9227" s="117">
        <v>2112.89</v>
      </c>
    </row>
    <row r="9228" spans="1:3" x14ac:dyDescent="0.25">
      <c r="A9228" s="115">
        <v>6992129</v>
      </c>
      <c r="B9228" s="115" t="s">
        <v>8570</v>
      </c>
      <c r="C9228" s="117">
        <v>1612.8</v>
      </c>
    </row>
    <row r="9229" spans="1:3" x14ac:dyDescent="0.25">
      <c r="A9229" s="115">
        <v>6999435</v>
      </c>
      <c r="B9229" s="115" t="s">
        <v>8571</v>
      </c>
      <c r="C9229" s="117">
        <v>3238.09</v>
      </c>
    </row>
    <row r="9230" spans="1:3" x14ac:dyDescent="0.25">
      <c r="A9230" s="115">
        <v>6999417</v>
      </c>
      <c r="B9230" s="115" t="s">
        <v>8572</v>
      </c>
      <c r="C9230" s="117">
        <v>2237.91</v>
      </c>
    </row>
    <row r="9231" spans="1:3" x14ac:dyDescent="0.25">
      <c r="A9231" s="115">
        <v>6999405</v>
      </c>
      <c r="B9231" s="115" t="s">
        <v>8573</v>
      </c>
      <c r="C9231" s="117">
        <v>1862.84</v>
      </c>
    </row>
    <row r="9232" spans="1:3" x14ac:dyDescent="0.25">
      <c r="A9232" s="115">
        <v>6999406</v>
      </c>
      <c r="B9232" s="115" t="s">
        <v>8574</v>
      </c>
      <c r="C9232" s="117">
        <v>937.67</v>
      </c>
    </row>
    <row r="9233" spans="1:3" x14ac:dyDescent="0.25">
      <c r="A9233" s="115">
        <v>6999402</v>
      </c>
      <c r="B9233" s="115" t="s">
        <v>8575</v>
      </c>
      <c r="C9233" s="117">
        <v>2975.55</v>
      </c>
    </row>
    <row r="9234" spans="1:3" x14ac:dyDescent="0.25">
      <c r="A9234" s="115">
        <v>6999404</v>
      </c>
      <c r="B9234" s="115" t="s">
        <v>8576</v>
      </c>
      <c r="C9234" s="117">
        <v>2738</v>
      </c>
    </row>
    <row r="9235" spans="1:3" x14ac:dyDescent="0.25">
      <c r="A9235" s="115">
        <v>6999414</v>
      </c>
      <c r="B9235" s="115" t="s">
        <v>8577</v>
      </c>
      <c r="C9235" s="117">
        <v>1250.23</v>
      </c>
    </row>
    <row r="9236" spans="1:3" x14ac:dyDescent="0.25">
      <c r="A9236" s="115">
        <v>6999411</v>
      </c>
      <c r="B9236" s="115" t="s">
        <v>8578</v>
      </c>
      <c r="C9236" s="117">
        <v>1125.21</v>
      </c>
    </row>
    <row r="9237" spans="1:3" x14ac:dyDescent="0.25">
      <c r="A9237" s="115">
        <v>6992000</v>
      </c>
      <c r="B9237" s="115" t="s">
        <v>8579</v>
      </c>
      <c r="C9237" s="117">
        <v>1312.74</v>
      </c>
    </row>
    <row r="9238" spans="1:3" x14ac:dyDescent="0.25">
      <c r="A9238" s="115">
        <v>6992036</v>
      </c>
      <c r="B9238" s="115" t="s">
        <v>8580</v>
      </c>
      <c r="C9238" s="117">
        <v>1362.75</v>
      </c>
    </row>
    <row r="9239" spans="1:3" x14ac:dyDescent="0.25">
      <c r="A9239" s="115">
        <v>6992126</v>
      </c>
      <c r="B9239" s="115" t="s">
        <v>8581</v>
      </c>
      <c r="C9239" s="117">
        <v>1000.18</v>
      </c>
    </row>
    <row r="9240" spans="1:3" x14ac:dyDescent="0.25">
      <c r="A9240" s="115">
        <v>6992127</v>
      </c>
      <c r="B9240" s="115" t="s">
        <v>8582</v>
      </c>
      <c r="C9240" s="117">
        <v>1531.53</v>
      </c>
    </row>
    <row r="9241" spans="1:3" x14ac:dyDescent="0.25">
      <c r="A9241" s="115">
        <v>6992128</v>
      </c>
      <c r="B9241" s="115" t="s">
        <v>8583</v>
      </c>
      <c r="C9241" s="117">
        <v>1531.53</v>
      </c>
    </row>
    <row r="9242" spans="1:3" x14ac:dyDescent="0.25">
      <c r="A9242" s="115">
        <v>6992215</v>
      </c>
      <c r="B9242" s="115" t="s">
        <v>8584</v>
      </c>
      <c r="C9242" s="117">
        <v>1074.42</v>
      </c>
    </row>
    <row r="9243" spans="1:3" x14ac:dyDescent="0.25">
      <c r="A9243" s="115">
        <v>6999416</v>
      </c>
      <c r="B9243" s="115" t="s">
        <v>8585</v>
      </c>
      <c r="C9243" s="117">
        <v>1125.21</v>
      </c>
    </row>
    <row r="9244" spans="1:3" x14ac:dyDescent="0.25">
      <c r="A9244" s="115">
        <v>6999409</v>
      </c>
      <c r="B9244" s="115" t="s">
        <v>8586</v>
      </c>
      <c r="C9244" s="117">
        <v>3738.19</v>
      </c>
    </row>
    <row r="9245" spans="1:3" x14ac:dyDescent="0.25">
      <c r="A9245" s="115">
        <v>6999407</v>
      </c>
      <c r="B9245" s="115" t="s">
        <v>8587</v>
      </c>
      <c r="C9245" s="117">
        <v>2362.9299999999998</v>
      </c>
    </row>
    <row r="9246" spans="1:3" x14ac:dyDescent="0.25">
      <c r="A9246" s="115">
        <v>6999408</v>
      </c>
      <c r="B9246" s="115" t="s">
        <v>8587</v>
      </c>
      <c r="C9246" s="117">
        <v>3488.14</v>
      </c>
    </row>
    <row r="9247" spans="1:3" x14ac:dyDescent="0.25">
      <c r="A9247" s="115">
        <v>6999430</v>
      </c>
      <c r="B9247" s="115" t="s">
        <v>8588</v>
      </c>
      <c r="C9247" s="117">
        <v>1737.82</v>
      </c>
    </row>
    <row r="9248" spans="1:3" x14ac:dyDescent="0.25">
      <c r="A9248" s="115">
        <v>6999421</v>
      </c>
      <c r="B9248" s="115" t="s">
        <v>8589</v>
      </c>
      <c r="C9248" s="117">
        <v>2237.91</v>
      </c>
    </row>
    <row r="9249" spans="1:3" x14ac:dyDescent="0.25">
      <c r="A9249" s="115">
        <v>6999424</v>
      </c>
      <c r="B9249" s="115" t="s">
        <v>8590</v>
      </c>
      <c r="C9249" s="117">
        <v>706.38</v>
      </c>
    </row>
    <row r="9250" spans="1:3" x14ac:dyDescent="0.25">
      <c r="A9250" s="115">
        <v>6999401</v>
      </c>
      <c r="B9250" s="115" t="s">
        <v>8591</v>
      </c>
      <c r="C9250" s="117">
        <v>2237.91</v>
      </c>
    </row>
    <row r="9251" spans="1:3" x14ac:dyDescent="0.25">
      <c r="A9251" s="115">
        <v>6999419</v>
      </c>
      <c r="B9251" s="115" t="s">
        <v>8592</v>
      </c>
      <c r="C9251" s="117">
        <v>562.6</v>
      </c>
    </row>
    <row r="9252" spans="1:3" x14ac:dyDescent="0.25">
      <c r="A9252" s="115">
        <v>6999422</v>
      </c>
      <c r="B9252" s="115" t="s">
        <v>8593</v>
      </c>
      <c r="C9252" s="117">
        <v>1062.69</v>
      </c>
    </row>
    <row r="9253" spans="1:3" x14ac:dyDescent="0.25">
      <c r="A9253" s="115">
        <v>6997113</v>
      </c>
      <c r="B9253" s="115" t="s">
        <v>8594</v>
      </c>
      <c r="C9253" s="117">
        <v>925.17</v>
      </c>
    </row>
    <row r="9254" spans="1:3" x14ac:dyDescent="0.25">
      <c r="A9254" s="115">
        <v>6997112</v>
      </c>
      <c r="B9254" s="115" t="s">
        <v>8595</v>
      </c>
      <c r="C9254" s="117">
        <v>750.14</v>
      </c>
    </row>
    <row r="9255" spans="1:3" x14ac:dyDescent="0.25">
      <c r="A9255" s="115">
        <v>6997114</v>
      </c>
      <c r="B9255" s="115" t="s">
        <v>8596</v>
      </c>
      <c r="C9255" s="117">
        <v>1837.84</v>
      </c>
    </row>
    <row r="9256" spans="1:3" x14ac:dyDescent="0.25">
      <c r="A9256" s="144" t="s">
        <v>8597</v>
      </c>
      <c r="B9256" s="145"/>
      <c r="C9256" s="145"/>
    </row>
    <row r="9257" spans="1:3" x14ac:dyDescent="0.25">
      <c r="A9257" s="115">
        <v>6992208</v>
      </c>
      <c r="B9257" s="115" t="s">
        <v>8598</v>
      </c>
      <c r="C9257" s="117">
        <v>5375.99</v>
      </c>
    </row>
    <row r="9258" spans="1:3" x14ac:dyDescent="0.25">
      <c r="A9258" s="115">
        <v>6992218</v>
      </c>
      <c r="B9258" s="115" t="s">
        <v>8599</v>
      </c>
      <c r="C9258" s="117">
        <v>5988.6</v>
      </c>
    </row>
    <row r="9259" spans="1:3" x14ac:dyDescent="0.25">
      <c r="A9259" s="115">
        <v>6998235</v>
      </c>
      <c r="B9259" s="115" t="s">
        <v>8600</v>
      </c>
      <c r="C9259" s="117">
        <v>1875.34</v>
      </c>
    </row>
    <row r="9260" spans="1:3" x14ac:dyDescent="0.25">
      <c r="A9260" s="115">
        <v>6992201</v>
      </c>
      <c r="B9260" s="115" t="s">
        <v>8601</v>
      </c>
      <c r="C9260" s="117">
        <v>1143.96</v>
      </c>
    </row>
    <row r="9261" spans="1:3" x14ac:dyDescent="0.25">
      <c r="A9261" s="115">
        <v>6992097</v>
      </c>
      <c r="B9261" s="115" t="s">
        <v>8602</v>
      </c>
      <c r="C9261" s="117">
        <v>6726.23</v>
      </c>
    </row>
    <row r="9262" spans="1:3" x14ac:dyDescent="0.25">
      <c r="A9262" s="115">
        <v>6992202</v>
      </c>
      <c r="B9262" s="115" t="s">
        <v>8603</v>
      </c>
      <c r="C9262" s="117">
        <v>2150.39</v>
      </c>
    </row>
    <row r="9263" spans="1:3" x14ac:dyDescent="0.25">
      <c r="A9263" s="115">
        <v>6997700</v>
      </c>
      <c r="B9263" s="115" t="s">
        <v>8604</v>
      </c>
      <c r="C9263" s="117">
        <v>1625.3</v>
      </c>
    </row>
    <row r="9264" spans="1:3" x14ac:dyDescent="0.25">
      <c r="A9264" s="115">
        <v>6992155</v>
      </c>
      <c r="B9264" s="115" t="s">
        <v>8605</v>
      </c>
      <c r="C9264" s="117">
        <v>1087.7</v>
      </c>
    </row>
    <row r="9265" spans="1:3" x14ac:dyDescent="0.25">
      <c r="A9265" s="115">
        <v>6997124</v>
      </c>
      <c r="B9265" s="115" t="s">
        <v>8606</v>
      </c>
      <c r="C9265" s="117">
        <v>5988.6</v>
      </c>
    </row>
    <row r="9266" spans="1:3" x14ac:dyDescent="0.25">
      <c r="A9266" s="115">
        <v>6995041</v>
      </c>
      <c r="B9266" s="115" t="s">
        <v>8607</v>
      </c>
      <c r="C9266" s="117">
        <v>7126.31</v>
      </c>
    </row>
    <row r="9267" spans="1:3" x14ac:dyDescent="0.25">
      <c r="A9267" s="115">
        <v>6997123</v>
      </c>
      <c r="B9267" s="115" t="s">
        <v>8608</v>
      </c>
      <c r="C9267" s="117">
        <v>2362.9299999999998</v>
      </c>
    </row>
    <row r="9268" spans="1:3" x14ac:dyDescent="0.25">
      <c r="A9268" s="115">
        <v>6992122</v>
      </c>
      <c r="B9268" s="115" t="s">
        <v>8609</v>
      </c>
      <c r="C9268" s="117">
        <v>2487.96</v>
      </c>
    </row>
    <row r="9269" spans="1:3" x14ac:dyDescent="0.25">
      <c r="A9269" s="115">
        <v>6992106</v>
      </c>
      <c r="B9269" s="115" t="s">
        <v>8610</v>
      </c>
      <c r="C9269" s="117">
        <v>862.66</v>
      </c>
    </row>
    <row r="9270" spans="1:3" x14ac:dyDescent="0.25">
      <c r="A9270" s="115">
        <v>6992105</v>
      </c>
      <c r="B9270" s="115" t="s">
        <v>8611</v>
      </c>
      <c r="C9270" s="117">
        <v>862.66</v>
      </c>
    </row>
    <row r="9271" spans="1:3" x14ac:dyDescent="0.25">
      <c r="A9271" s="115">
        <v>6992118</v>
      </c>
      <c r="B9271" s="115" t="s">
        <v>8612</v>
      </c>
      <c r="C9271" s="117">
        <v>1850.34</v>
      </c>
    </row>
    <row r="9272" spans="1:3" x14ac:dyDescent="0.25">
      <c r="A9272" s="115">
        <v>6992124</v>
      </c>
      <c r="B9272" s="115" t="s">
        <v>8613</v>
      </c>
      <c r="C9272" s="117">
        <v>2625.48</v>
      </c>
    </row>
    <row r="9273" spans="1:3" x14ac:dyDescent="0.25">
      <c r="A9273" s="115">
        <v>6992121</v>
      </c>
      <c r="B9273" s="115" t="s">
        <v>8614</v>
      </c>
      <c r="C9273" s="117">
        <v>2281.67</v>
      </c>
    </row>
    <row r="9274" spans="1:3" x14ac:dyDescent="0.25">
      <c r="A9274" s="115">
        <v>6992137</v>
      </c>
      <c r="B9274" s="115" t="s">
        <v>8615</v>
      </c>
      <c r="C9274" s="117">
        <v>1062.69</v>
      </c>
    </row>
    <row r="9275" spans="1:3" x14ac:dyDescent="0.25">
      <c r="A9275" s="115">
        <v>6992153</v>
      </c>
      <c r="B9275" s="115" t="s">
        <v>8616</v>
      </c>
      <c r="C9275" s="117">
        <v>2969.29</v>
      </c>
    </row>
    <row r="9276" spans="1:3" x14ac:dyDescent="0.25">
      <c r="A9276" s="115">
        <v>6992096</v>
      </c>
      <c r="B9276" s="115" t="s">
        <v>8617</v>
      </c>
      <c r="C9276" s="117">
        <v>5388.49</v>
      </c>
    </row>
    <row r="9277" spans="1:3" x14ac:dyDescent="0.25">
      <c r="A9277" s="115">
        <v>6996920</v>
      </c>
      <c r="B9277" s="115" t="s">
        <v>8618</v>
      </c>
      <c r="C9277" s="117">
        <v>1862.84</v>
      </c>
    </row>
    <row r="9278" spans="1:3" x14ac:dyDescent="0.25">
      <c r="A9278" s="115">
        <v>6996930</v>
      </c>
      <c r="B9278" s="115" t="s">
        <v>8619</v>
      </c>
      <c r="C9278" s="117">
        <v>1862.84</v>
      </c>
    </row>
    <row r="9279" spans="1:3" x14ac:dyDescent="0.25">
      <c r="A9279" s="115">
        <v>6992206</v>
      </c>
      <c r="B9279" s="115" t="s">
        <v>8620</v>
      </c>
      <c r="C9279" s="117">
        <v>2938.04</v>
      </c>
    </row>
    <row r="9280" spans="1:3" x14ac:dyDescent="0.25">
      <c r="A9280" s="115">
        <v>6992024</v>
      </c>
      <c r="B9280" s="115" t="s">
        <v>8621</v>
      </c>
      <c r="C9280" s="117">
        <v>1894.1</v>
      </c>
    </row>
    <row r="9281" spans="1:3" x14ac:dyDescent="0.25">
      <c r="A9281" s="115">
        <v>6992025</v>
      </c>
      <c r="B9281" s="115" t="s">
        <v>8622</v>
      </c>
      <c r="C9281" s="117">
        <v>1894.1</v>
      </c>
    </row>
    <row r="9282" spans="1:3" x14ac:dyDescent="0.25">
      <c r="A9282" s="115">
        <v>6992033</v>
      </c>
      <c r="B9282" s="115" t="s">
        <v>8623</v>
      </c>
      <c r="C9282" s="117">
        <v>1987.86</v>
      </c>
    </row>
    <row r="9283" spans="1:3" x14ac:dyDescent="0.25">
      <c r="A9283" s="115">
        <v>6992217</v>
      </c>
      <c r="B9283" s="115" t="s">
        <v>8624</v>
      </c>
      <c r="C9283" s="117">
        <v>750.14</v>
      </c>
    </row>
    <row r="9284" spans="1:3" x14ac:dyDescent="0.25">
      <c r="A9284" s="115">
        <v>6992207</v>
      </c>
      <c r="B9284" s="115" t="s">
        <v>8625</v>
      </c>
      <c r="C9284" s="117">
        <v>2788.01</v>
      </c>
    </row>
    <row r="9285" spans="1:3" x14ac:dyDescent="0.25">
      <c r="A9285" s="115">
        <v>6997119</v>
      </c>
      <c r="B9285" s="115" t="s">
        <v>8626</v>
      </c>
      <c r="C9285" s="117">
        <v>5613.53</v>
      </c>
    </row>
    <row r="9286" spans="1:3" x14ac:dyDescent="0.25">
      <c r="A9286" s="115">
        <v>6992091</v>
      </c>
      <c r="B9286" s="115" t="s">
        <v>8627</v>
      </c>
      <c r="C9286" s="117">
        <v>8739.1</v>
      </c>
    </row>
    <row r="9287" spans="1:3" x14ac:dyDescent="0.25">
      <c r="A9287" s="115">
        <v>6992092</v>
      </c>
      <c r="B9287" s="115" t="s">
        <v>8628</v>
      </c>
      <c r="C9287" s="117">
        <v>4738.37</v>
      </c>
    </row>
    <row r="9288" spans="1:3" x14ac:dyDescent="0.25">
      <c r="A9288" s="115">
        <v>6992154</v>
      </c>
      <c r="B9288" s="115" t="s">
        <v>8629</v>
      </c>
      <c r="C9288" s="117">
        <v>1462.77</v>
      </c>
    </row>
    <row r="9289" spans="1:3" x14ac:dyDescent="0.25">
      <c r="A9289" s="115">
        <v>6992140</v>
      </c>
      <c r="B9289" s="115" t="s">
        <v>8630</v>
      </c>
      <c r="C9289" s="117">
        <v>1362.75</v>
      </c>
    </row>
    <row r="9290" spans="1:3" x14ac:dyDescent="0.25">
      <c r="A9290" s="115">
        <v>6998226</v>
      </c>
      <c r="B9290" s="115" t="s">
        <v>8631</v>
      </c>
      <c r="C9290" s="117">
        <v>4613.3500000000004</v>
      </c>
    </row>
    <row r="9291" spans="1:3" x14ac:dyDescent="0.25">
      <c r="A9291" s="115">
        <v>6998228</v>
      </c>
      <c r="B9291" s="115" t="s">
        <v>8632</v>
      </c>
      <c r="C9291" s="117">
        <v>6238.64</v>
      </c>
    </row>
    <row r="9292" spans="1:3" x14ac:dyDescent="0.25">
      <c r="A9292" s="115">
        <v>6998222</v>
      </c>
      <c r="B9292" s="115" t="s">
        <v>8633</v>
      </c>
      <c r="C9292" s="117">
        <v>1112.7</v>
      </c>
    </row>
    <row r="9293" spans="1:3" x14ac:dyDescent="0.25">
      <c r="A9293" s="115">
        <v>6992130</v>
      </c>
      <c r="B9293" s="115" t="s">
        <v>8634</v>
      </c>
      <c r="C9293" s="117">
        <v>750.14</v>
      </c>
    </row>
    <row r="9294" spans="1:3" x14ac:dyDescent="0.25">
      <c r="A9294" s="115">
        <v>6996901</v>
      </c>
      <c r="B9294" s="115" t="s">
        <v>8635</v>
      </c>
      <c r="C9294" s="117">
        <v>1987.86</v>
      </c>
    </row>
    <row r="9295" spans="1:3" x14ac:dyDescent="0.25">
      <c r="A9295" s="115">
        <v>6999426</v>
      </c>
      <c r="B9295" s="115" t="s">
        <v>8636</v>
      </c>
      <c r="C9295" s="117">
        <v>3738.19</v>
      </c>
    </row>
    <row r="9296" spans="1:3" x14ac:dyDescent="0.25">
      <c r="A9296" s="115">
        <v>6999427</v>
      </c>
      <c r="B9296" s="115" t="s">
        <v>8637</v>
      </c>
      <c r="C9296" s="117">
        <v>4363.3</v>
      </c>
    </row>
    <row r="9297" spans="1:3" x14ac:dyDescent="0.25">
      <c r="A9297" s="115">
        <v>6999425</v>
      </c>
      <c r="B9297" s="115" t="s">
        <v>8638</v>
      </c>
      <c r="C9297" s="117">
        <v>3363.12</v>
      </c>
    </row>
    <row r="9298" spans="1:3" x14ac:dyDescent="0.25">
      <c r="A9298" s="115">
        <v>6992139</v>
      </c>
      <c r="B9298" s="115" t="s">
        <v>8639</v>
      </c>
      <c r="C9298" s="117">
        <v>1062.69</v>
      </c>
    </row>
    <row r="9299" spans="1:3" x14ac:dyDescent="0.25">
      <c r="A9299" s="115">
        <v>6992141</v>
      </c>
      <c r="B9299" s="115" t="s">
        <v>8640</v>
      </c>
      <c r="C9299" s="117">
        <v>1737.82</v>
      </c>
    </row>
    <row r="9300" spans="1:3" x14ac:dyDescent="0.25">
      <c r="A9300" s="115">
        <v>6992094</v>
      </c>
      <c r="B9300" s="115" t="s">
        <v>8641</v>
      </c>
      <c r="C9300" s="117">
        <v>3613.16</v>
      </c>
    </row>
    <row r="9301" spans="1:3" x14ac:dyDescent="0.25">
      <c r="A9301" s="115">
        <v>6997120</v>
      </c>
      <c r="B9301" s="115" t="s">
        <v>8642</v>
      </c>
      <c r="C9301" s="117">
        <v>3077.13</v>
      </c>
    </row>
    <row r="9302" spans="1:3" x14ac:dyDescent="0.25">
      <c r="A9302" s="115">
        <v>6999432</v>
      </c>
      <c r="B9302" s="115" t="s">
        <v>8643</v>
      </c>
      <c r="C9302" s="117">
        <v>1112.7</v>
      </c>
    </row>
    <row r="9303" spans="1:3" x14ac:dyDescent="0.25">
      <c r="A9303" s="115">
        <v>6999429</v>
      </c>
      <c r="B9303" s="115" t="s">
        <v>8644</v>
      </c>
      <c r="C9303" s="117">
        <v>1237.73</v>
      </c>
    </row>
    <row r="9304" spans="1:3" x14ac:dyDescent="0.25">
      <c r="A9304" s="115">
        <v>6992149</v>
      </c>
      <c r="B9304" s="115" t="s">
        <v>8645</v>
      </c>
      <c r="C9304" s="117">
        <v>737.64</v>
      </c>
    </row>
    <row r="9305" spans="1:3" x14ac:dyDescent="0.25">
      <c r="A9305" s="115">
        <v>6992150</v>
      </c>
      <c r="B9305" s="115" t="s">
        <v>8646</v>
      </c>
      <c r="C9305" s="117">
        <v>862.66</v>
      </c>
    </row>
    <row r="9306" spans="1:3" x14ac:dyDescent="0.25">
      <c r="A9306" s="115">
        <v>6998220</v>
      </c>
      <c r="B9306" s="115" t="s">
        <v>8647</v>
      </c>
      <c r="C9306" s="117">
        <v>2487.96</v>
      </c>
    </row>
    <row r="9307" spans="1:3" x14ac:dyDescent="0.25">
      <c r="A9307" s="115">
        <v>6997139</v>
      </c>
      <c r="B9307" s="115" t="s">
        <v>8648</v>
      </c>
      <c r="C9307" s="117">
        <v>2813.02</v>
      </c>
    </row>
    <row r="9308" spans="1:3" x14ac:dyDescent="0.25">
      <c r="A9308" s="115">
        <v>6997140</v>
      </c>
      <c r="B9308" s="115" t="s">
        <v>8649</v>
      </c>
      <c r="C9308" s="117">
        <v>3863.21</v>
      </c>
    </row>
    <row r="9309" spans="1:3" x14ac:dyDescent="0.25">
      <c r="A9309" s="115">
        <v>6997141</v>
      </c>
      <c r="B9309" s="115" t="s">
        <v>8650</v>
      </c>
      <c r="C9309" s="117">
        <v>3113.07</v>
      </c>
    </row>
    <row r="9310" spans="1:3" x14ac:dyDescent="0.25">
      <c r="A9310" s="115">
        <v>6992136</v>
      </c>
      <c r="B9310" s="115" t="s">
        <v>8651</v>
      </c>
      <c r="C9310" s="117">
        <v>2187.9</v>
      </c>
    </row>
    <row r="9311" spans="1:3" x14ac:dyDescent="0.25">
      <c r="A9311" s="115">
        <v>6992135</v>
      </c>
      <c r="B9311" s="115" t="s">
        <v>8652</v>
      </c>
      <c r="C9311" s="117">
        <v>1437.76</v>
      </c>
    </row>
    <row r="9312" spans="1:3" x14ac:dyDescent="0.25">
      <c r="A9312" s="115">
        <v>6992142</v>
      </c>
      <c r="B9312" s="115" t="s">
        <v>8653</v>
      </c>
      <c r="C9312" s="117">
        <v>1612.8</v>
      </c>
    </row>
    <row r="9313" spans="1:3" x14ac:dyDescent="0.25">
      <c r="A9313" s="115">
        <v>6992134</v>
      </c>
      <c r="B9313" s="115" t="s">
        <v>8654</v>
      </c>
      <c r="C9313" s="117">
        <v>1237.73</v>
      </c>
    </row>
    <row r="9314" spans="1:3" x14ac:dyDescent="0.25">
      <c r="A9314" s="115">
        <v>6992120</v>
      </c>
      <c r="B9314" s="115" t="s">
        <v>8655</v>
      </c>
      <c r="C9314" s="117">
        <v>1894.1</v>
      </c>
    </row>
    <row r="9315" spans="1:3" x14ac:dyDescent="0.25">
      <c r="A9315" s="115">
        <v>6997149</v>
      </c>
      <c r="B9315" s="115" t="s">
        <v>8656</v>
      </c>
      <c r="C9315" s="117">
        <v>3363.12</v>
      </c>
    </row>
    <row r="9316" spans="1:3" x14ac:dyDescent="0.25">
      <c r="A9316" s="115">
        <v>6997127</v>
      </c>
      <c r="B9316" s="115" t="s">
        <v>8657</v>
      </c>
      <c r="C9316" s="117">
        <v>3406.87</v>
      </c>
    </row>
    <row r="9317" spans="1:3" x14ac:dyDescent="0.25">
      <c r="A9317" s="115">
        <v>6997142</v>
      </c>
      <c r="B9317" s="115" t="s">
        <v>8658</v>
      </c>
      <c r="C9317" s="117">
        <v>2750.5</v>
      </c>
    </row>
    <row r="9318" spans="1:3" x14ac:dyDescent="0.25">
      <c r="A9318" s="115">
        <v>6992221</v>
      </c>
      <c r="B9318" s="115" t="s">
        <v>8659</v>
      </c>
      <c r="C9318" s="117">
        <v>1062.69</v>
      </c>
    </row>
    <row r="9319" spans="1:3" x14ac:dyDescent="0.25">
      <c r="A9319" s="115">
        <v>6995106</v>
      </c>
      <c r="B9319" s="115" t="s">
        <v>8660</v>
      </c>
      <c r="C9319" s="117">
        <v>3113.07</v>
      </c>
    </row>
    <row r="9320" spans="1:3" x14ac:dyDescent="0.25">
      <c r="A9320" s="115">
        <v>6992147</v>
      </c>
      <c r="B9320" s="115" t="s">
        <v>8661</v>
      </c>
      <c r="C9320" s="117">
        <v>1375.25</v>
      </c>
    </row>
    <row r="9321" spans="1:3" x14ac:dyDescent="0.25">
      <c r="A9321" s="115">
        <v>6992131</v>
      </c>
      <c r="B9321" s="115" t="s">
        <v>8662</v>
      </c>
      <c r="C9321" s="117">
        <v>1012.69</v>
      </c>
    </row>
    <row r="9322" spans="1:3" x14ac:dyDescent="0.25">
      <c r="A9322" s="115">
        <v>6992152</v>
      </c>
      <c r="B9322" s="115" t="s">
        <v>8663</v>
      </c>
      <c r="C9322" s="117">
        <v>675.12</v>
      </c>
    </row>
    <row r="9323" spans="1:3" x14ac:dyDescent="0.25">
      <c r="A9323" s="115">
        <v>6992093</v>
      </c>
      <c r="B9323" s="115" t="s">
        <v>8664</v>
      </c>
      <c r="C9323" s="117">
        <v>6488.69</v>
      </c>
    </row>
    <row r="9324" spans="1:3" x14ac:dyDescent="0.25">
      <c r="A9324" s="115">
        <v>6992200</v>
      </c>
      <c r="B9324" s="115" t="s">
        <v>8665</v>
      </c>
      <c r="C9324" s="117">
        <v>4738.37</v>
      </c>
    </row>
    <row r="9325" spans="1:3" x14ac:dyDescent="0.25">
      <c r="A9325" s="115">
        <v>6995043</v>
      </c>
      <c r="B9325" s="115" t="s">
        <v>8666</v>
      </c>
      <c r="C9325" s="117">
        <v>2044.12</v>
      </c>
    </row>
    <row r="9326" spans="1:3" x14ac:dyDescent="0.25">
      <c r="A9326" s="115">
        <v>6995039</v>
      </c>
      <c r="B9326" s="115" t="s">
        <v>8667</v>
      </c>
      <c r="C9326" s="117">
        <v>4125.76</v>
      </c>
    </row>
    <row r="9327" spans="1:3" x14ac:dyDescent="0.25">
      <c r="A9327" s="115">
        <v>6995052</v>
      </c>
      <c r="B9327" s="115" t="s">
        <v>8668</v>
      </c>
      <c r="C9327" s="117">
        <v>1862.84</v>
      </c>
    </row>
    <row r="9328" spans="1:3" x14ac:dyDescent="0.25">
      <c r="A9328" s="115">
        <v>6992138</v>
      </c>
      <c r="B9328" s="115" t="s">
        <v>8669</v>
      </c>
      <c r="C9328" s="117">
        <v>2362.9299999999998</v>
      </c>
    </row>
    <row r="9329" spans="1:3" x14ac:dyDescent="0.25">
      <c r="A9329">
        <v>6992129</v>
      </c>
      <c r="B9329" t="s">
        <v>8570</v>
      </c>
      <c r="C9329" s="102">
        <v>1612.8</v>
      </c>
    </row>
    <row r="9330" spans="1:3" x14ac:dyDescent="0.25">
      <c r="A9330">
        <v>6999435</v>
      </c>
      <c r="B9330" t="s">
        <v>8571</v>
      </c>
      <c r="C9330" s="102">
        <v>3238.09</v>
      </c>
    </row>
    <row r="9331" spans="1:3" x14ac:dyDescent="0.25">
      <c r="A9331">
        <v>6999417</v>
      </c>
      <c r="B9331" t="s">
        <v>8572</v>
      </c>
      <c r="C9331" s="102">
        <v>2237.91</v>
      </c>
    </row>
    <row r="9332" spans="1:3" x14ac:dyDescent="0.25">
      <c r="A9332">
        <v>6999405</v>
      </c>
      <c r="B9332" t="s">
        <v>8573</v>
      </c>
      <c r="C9332" s="102">
        <v>1862.84</v>
      </c>
    </row>
    <row r="9333" spans="1:3" x14ac:dyDescent="0.25">
      <c r="A9333">
        <v>6999406</v>
      </c>
      <c r="B9333" t="s">
        <v>8574</v>
      </c>
      <c r="C9333">
        <v>937.67</v>
      </c>
    </row>
    <row r="9334" spans="1:3" x14ac:dyDescent="0.25">
      <c r="A9334">
        <v>6999402</v>
      </c>
      <c r="B9334" t="s">
        <v>8575</v>
      </c>
      <c r="C9334" s="102">
        <v>2975.55</v>
      </c>
    </row>
    <row r="9335" spans="1:3" x14ac:dyDescent="0.25">
      <c r="A9335">
        <v>6999404</v>
      </c>
      <c r="B9335" t="s">
        <v>8576</v>
      </c>
      <c r="C9335" s="102">
        <v>2738</v>
      </c>
    </row>
    <row r="9336" spans="1:3" x14ac:dyDescent="0.25">
      <c r="A9336">
        <v>6999414</v>
      </c>
      <c r="B9336" t="s">
        <v>8577</v>
      </c>
      <c r="C9336" s="102">
        <v>1250.23</v>
      </c>
    </row>
    <row r="9337" spans="1:3" x14ac:dyDescent="0.25">
      <c r="A9337">
        <v>6999411</v>
      </c>
      <c r="B9337" t="s">
        <v>8578</v>
      </c>
      <c r="C9337" s="102">
        <v>1125.21</v>
      </c>
    </row>
    <row r="9338" spans="1:3" x14ac:dyDescent="0.25">
      <c r="A9338">
        <v>6992000</v>
      </c>
      <c r="B9338" t="s">
        <v>8579</v>
      </c>
      <c r="C9338" s="102">
        <v>1312.74</v>
      </c>
    </row>
    <row r="9339" spans="1:3" x14ac:dyDescent="0.25">
      <c r="A9339">
        <v>6992036</v>
      </c>
      <c r="B9339" t="s">
        <v>8580</v>
      </c>
      <c r="C9339" s="102">
        <v>1362.75</v>
      </c>
    </row>
    <row r="9340" spans="1:3" x14ac:dyDescent="0.25">
      <c r="A9340">
        <v>6992126</v>
      </c>
      <c r="B9340" t="s">
        <v>8581</v>
      </c>
      <c r="C9340" s="102">
        <v>1000.18</v>
      </c>
    </row>
    <row r="9341" spans="1:3" x14ac:dyDescent="0.25">
      <c r="A9341">
        <v>6992127</v>
      </c>
      <c r="B9341" t="s">
        <v>8582</v>
      </c>
      <c r="C9341" s="102">
        <v>1531.53</v>
      </c>
    </row>
    <row r="9342" spans="1:3" x14ac:dyDescent="0.25">
      <c r="A9342">
        <v>6992128</v>
      </c>
      <c r="B9342" t="s">
        <v>8583</v>
      </c>
      <c r="C9342" s="102">
        <v>1531.53</v>
      </c>
    </row>
    <row r="9343" spans="1:3" x14ac:dyDescent="0.25">
      <c r="A9343">
        <v>6992215</v>
      </c>
      <c r="B9343" t="s">
        <v>8584</v>
      </c>
      <c r="C9343" s="102">
        <v>1074.42</v>
      </c>
    </row>
    <row r="9344" spans="1:3" x14ac:dyDescent="0.25">
      <c r="A9344">
        <v>6999416</v>
      </c>
      <c r="B9344" t="s">
        <v>8585</v>
      </c>
      <c r="C9344" s="102">
        <v>1125.21</v>
      </c>
    </row>
    <row r="9345" spans="1:3" x14ac:dyDescent="0.25">
      <c r="A9345">
        <v>6999409</v>
      </c>
      <c r="B9345" t="s">
        <v>8586</v>
      </c>
      <c r="C9345" s="102">
        <v>3738.19</v>
      </c>
    </row>
    <row r="9346" spans="1:3" x14ac:dyDescent="0.25">
      <c r="A9346">
        <v>6999407</v>
      </c>
      <c r="B9346" t="s">
        <v>8587</v>
      </c>
      <c r="C9346" s="102">
        <v>2362.9299999999998</v>
      </c>
    </row>
    <row r="9347" spans="1:3" x14ac:dyDescent="0.25">
      <c r="A9347">
        <v>6999408</v>
      </c>
      <c r="B9347" t="s">
        <v>8587</v>
      </c>
      <c r="C9347" s="102">
        <v>3488.14</v>
      </c>
    </row>
    <row r="9348" spans="1:3" x14ac:dyDescent="0.25">
      <c r="A9348">
        <v>6999430</v>
      </c>
      <c r="B9348" t="s">
        <v>8588</v>
      </c>
      <c r="C9348" s="102">
        <v>1737.82</v>
      </c>
    </row>
    <row r="9349" spans="1:3" x14ac:dyDescent="0.25">
      <c r="A9349">
        <v>6999421</v>
      </c>
      <c r="B9349" t="s">
        <v>8589</v>
      </c>
      <c r="C9349" s="102">
        <v>2237.91</v>
      </c>
    </row>
    <row r="9350" spans="1:3" x14ac:dyDescent="0.25">
      <c r="A9350">
        <v>6999424</v>
      </c>
      <c r="B9350" t="s">
        <v>8590</v>
      </c>
      <c r="C9350">
        <v>706.38</v>
      </c>
    </row>
    <row r="9351" spans="1:3" x14ac:dyDescent="0.25">
      <c r="A9351">
        <v>6999401</v>
      </c>
      <c r="B9351" t="s">
        <v>8591</v>
      </c>
      <c r="C9351" s="102">
        <v>2237.91</v>
      </c>
    </row>
    <row r="9352" spans="1:3" x14ac:dyDescent="0.25">
      <c r="A9352">
        <v>6999419</v>
      </c>
      <c r="B9352" t="s">
        <v>8592</v>
      </c>
      <c r="C9352">
        <v>562.6</v>
      </c>
    </row>
    <row r="9353" spans="1:3" x14ac:dyDescent="0.25">
      <c r="A9353">
        <v>6999422</v>
      </c>
      <c r="B9353" t="s">
        <v>8593</v>
      </c>
      <c r="C9353" s="102">
        <v>1062.69</v>
      </c>
    </row>
    <row r="9354" spans="1:3" x14ac:dyDescent="0.25">
      <c r="A9354">
        <v>6997113</v>
      </c>
      <c r="B9354" t="s">
        <v>8594</v>
      </c>
      <c r="C9354">
        <v>925.17</v>
      </c>
    </row>
    <row r="9355" spans="1:3" x14ac:dyDescent="0.25">
      <c r="A9355">
        <v>6997112</v>
      </c>
      <c r="B9355" t="s">
        <v>8595</v>
      </c>
      <c r="C9355">
        <v>750.14</v>
      </c>
    </row>
    <row r="9356" spans="1:3" x14ac:dyDescent="0.25">
      <c r="A9356">
        <v>6997114</v>
      </c>
      <c r="B9356" t="s">
        <v>8596</v>
      </c>
      <c r="C9356" s="102">
        <v>1837.84</v>
      </c>
    </row>
    <row r="9357" spans="1:3" x14ac:dyDescent="0.25">
      <c r="A9357" s="146" t="s">
        <v>8597</v>
      </c>
      <c r="B9357" s="147"/>
      <c r="C9357" s="147"/>
    </row>
    <row r="9358" spans="1:3" x14ac:dyDescent="0.25">
      <c r="A9358">
        <v>6992208</v>
      </c>
      <c r="B9358" t="s">
        <v>8598</v>
      </c>
      <c r="C9358" s="102">
        <v>5375.99</v>
      </c>
    </row>
    <row r="9359" spans="1:3" x14ac:dyDescent="0.25">
      <c r="A9359">
        <v>6992218</v>
      </c>
      <c r="B9359" t="s">
        <v>8599</v>
      </c>
      <c r="C9359" s="102">
        <v>5988.6</v>
      </c>
    </row>
    <row r="9360" spans="1:3" x14ac:dyDescent="0.25">
      <c r="A9360">
        <v>6998235</v>
      </c>
      <c r="B9360" t="s">
        <v>8600</v>
      </c>
      <c r="C9360" s="102">
        <v>1875.34</v>
      </c>
    </row>
    <row r="9361" spans="1:3" x14ac:dyDescent="0.25">
      <c r="A9361">
        <v>6992201</v>
      </c>
      <c r="B9361" t="s">
        <v>8601</v>
      </c>
      <c r="C9361" s="102">
        <v>1143.96</v>
      </c>
    </row>
    <row r="9362" spans="1:3" x14ac:dyDescent="0.25">
      <c r="A9362">
        <v>6992097</v>
      </c>
      <c r="B9362" t="s">
        <v>8602</v>
      </c>
      <c r="C9362" s="102">
        <v>6726.23</v>
      </c>
    </row>
    <row r="9363" spans="1:3" x14ac:dyDescent="0.25">
      <c r="A9363">
        <v>6992202</v>
      </c>
      <c r="B9363" t="s">
        <v>8603</v>
      </c>
      <c r="C9363" s="102">
        <v>2150.39</v>
      </c>
    </row>
    <row r="9364" spans="1:3" x14ac:dyDescent="0.25">
      <c r="A9364">
        <v>6997700</v>
      </c>
      <c r="B9364" t="s">
        <v>8604</v>
      </c>
      <c r="C9364" s="102">
        <v>1625.3</v>
      </c>
    </row>
    <row r="9365" spans="1:3" x14ac:dyDescent="0.25">
      <c r="A9365">
        <v>6992155</v>
      </c>
      <c r="B9365" t="s">
        <v>8605</v>
      </c>
      <c r="C9365" s="102">
        <v>1087.7</v>
      </c>
    </row>
    <row r="9366" spans="1:3" x14ac:dyDescent="0.25">
      <c r="A9366">
        <v>6997124</v>
      </c>
      <c r="B9366" t="s">
        <v>8606</v>
      </c>
      <c r="C9366" s="102">
        <v>5988.6</v>
      </c>
    </row>
    <row r="9367" spans="1:3" x14ac:dyDescent="0.25">
      <c r="A9367">
        <v>6995041</v>
      </c>
      <c r="B9367" t="s">
        <v>8607</v>
      </c>
      <c r="C9367" s="102">
        <v>7126.31</v>
      </c>
    </row>
    <row r="9368" spans="1:3" x14ac:dyDescent="0.25">
      <c r="A9368">
        <v>6997123</v>
      </c>
      <c r="B9368" t="s">
        <v>8608</v>
      </c>
      <c r="C9368" s="102">
        <v>2362.9299999999998</v>
      </c>
    </row>
    <row r="9369" spans="1:3" x14ac:dyDescent="0.25">
      <c r="A9369">
        <v>6992122</v>
      </c>
      <c r="B9369" t="s">
        <v>8609</v>
      </c>
      <c r="C9369" s="102">
        <v>2487.96</v>
      </c>
    </row>
    <row r="9370" spans="1:3" x14ac:dyDescent="0.25">
      <c r="A9370">
        <v>6992106</v>
      </c>
      <c r="B9370" t="s">
        <v>8610</v>
      </c>
      <c r="C9370">
        <v>862.66</v>
      </c>
    </row>
    <row r="9371" spans="1:3" x14ac:dyDescent="0.25">
      <c r="A9371">
        <v>6992105</v>
      </c>
      <c r="B9371" t="s">
        <v>8611</v>
      </c>
      <c r="C9371">
        <v>862.66</v>
      </c>
    </row>
    <row r="9372" spans="1:3" x14ac:dyDescent="0.25">
      <c r="A9372">
        <v>6992118</v>
      </c>
      <c r="B9372" t="s">
        <v>8612</v>
      </c>
      <c r="C9372" s="102">
        <v>1850.34</v>
      </c>
    </row>
    <row r="9373" spans="1:3" x14ac:dyDescent="0.25">
      <c r="A9373">
        <v>6992124</v>
      </c>
      <c r="B9373" t="s">
        <v>8613</v>
      </c>
      <c r="C9373" s="102">
        <v>2625.48</v>
      </c>
    </row>
    <row r="9374" spans="1:3" x14ac:dyDescent="0.25">
      <c r="A9374">
        <v>6992121</v>
      </c>
      <c r="B9374" t="s">
        <v>8614</v>
      </c>
      <c r="C9374" s="102">
        <v>2281.67</v>
      </c>
    </row>
    <row r="9375" spans="1:3" x14ac:dyDescent="0.25">
      <c r="A9375">
        <v>6992137</v>
      </c>
      <c r="B9375" t="s">
        <v>8615</v>
      </c>
      <c r="C9375" s="102">
        <v>1062.69</v>
      </c>
    </row>
    <row r="9376" spans="1:3" x14ac:dyDescent="0.25">
      <c r="A9376">
        <v>6992153</v>
      </c>
      <c r="B9376" t="s">
        <v>8616</v>
      </c>
      <c r="C9376" s="102">
        <v>2969.29</v>
      </c>
    </row>
    <row r="9377" spans="1:3" x14ac:dyDescent="0.25">
      <c r="A9377">
        <v>6992096</v>
      </c>
      <c r="B9377" t="s">
        <v>8617</v>
      </c>
      <c r="C9377" s="102">
        <v>5388.49</v>
      </c>
    </row>
    <row r="9378" spans="1:3" x14ac:dyDescent="0.25">
      <c r="A9378">
        <v>6996920</v>
      </c>
      <c r="B9378" t="s">
        <v>8618</v>
      </c>
      <c r="C9378" s="102">
        <v>1862.84</v>
      </c>
    </row>
    <row r="9379" spans="1:3" x14ac:dyDescent="0.25">
      <c r="A9379">
        <v>6996930</v>
      </c>
      <c r="B9379" t="s">
        <v>8619</v>
      </c>
      <c r="C9379" s="102">
        <v>1862.84</v>
      </c>
    </row>
    <row r="9380" spans="1:3" x14ac:dyDescent="0.25">
      <c r="A9380">
        <v>6992206</v>
      </c>
      <c r="B9380" t="s">
        <v>8620</v>
      </c>
      <c r="C9380" s="102">
        <v>2938.04</v>
      </c>
    </row>
    <row r="9381" spans="1:3" x14ac:dyDescent="0.25">
      <c r="A9381">
        <v>6992024</v>
      </c>
      <c r="B9381" t="s">
        <v>8621</v>
      </c>
      <c r="C9381" s="102">
        <v>1894.1</v>
      </c>
    </row>
    <row r="9382" spans="1:3" x14ac:dyDescent="0.25">
      <c r="A9382">
        <v>6992025</v>
      </c>
      <c r="B9382" t="s">
        <v>8622</v>
      </c>
      <c r="C9382" s="102">
        <v>1894.1</v>
      </c>
    </row>
    <row r="9383" spans="1:3" x14ac:dyDescent="0.25">
      <c r="A9383">
        <v>6992033</v>
      </c>
      <c r="B9383" t="s">
        <v>8623</v>
      </c>
      <c r="C9383" s="102">
        <v>1987.86</v>
      </c>
    </row>
    <row r="9384" spans="1:3" x14ac:dyDescent="0.25">
      <c r="A9384">
        <v>6992217</v>
      </c>
      <c r="B9384" t="s">
        <v>8624</v>
      </c>
      <c r="C9384">
        <v>750.14</v>
      </c>
    </row>
    <row r="9385" spans="1:3" x14ac:dyDescent="0.25">
      <c r="A9385">
        <v>6992207</v>
      </c>
      <c r="B9385" t="s">
        <v>8625</v>
      </c>
      <c r="C9385" s="102">
        <v>2788.01</v>
      </c>
    </row>
    <row r="9386" spans="1:3" x14ac:dyDescent="0.25">
      <c r="A9386">
        <v>6997119</v>
      </c>
      <c r="B9386" t="s">
        <v>8626</v>
      </c>
      <c r="C9386" s="102">
        <v>5613.53</v>
      </c>
    </row>
    <row r="9387" spans="1:3" x14ac:dyDescent="0.25">
      <c r="A9387">
        <v>6992091</v>
      </c>
      <c r="B9387" t="s">
        <v>8627</v>
      </c>
      <c r="C9387" s="102">
        <v>8739.1</v>
      </c>
    </row>
    <row r="9388" spans="1:3" x14ac:dyDescent="0.25">
      <c r="A9388">
        <v>6992092</v>
      </c>
      <c r="B9388" t="s">
        <v>8628</v>
      </c>
      <c r="C9388" s="102">
        <v>4738.37</v>
      </c>
    </row>
    <row r="9389" spans="1:3" x14ac:dyDescent="0.25">
      <c r="A9389">
        <v>6992154</v>
      </c>
      <c r="B9389" t="s">
        <v>8629</v>
      </c>
      <c r="C9389" s="102">
        <v>1462.77</v>
      </c>
    </row>
    <row r="9390" spans="1:3" x14ac:dyDescent="0.25">
      <c r="A9390">
        <v>6992140</v>
      </c>
      <c r="B9390" t="s">
        <v>8630</v>
      </c>
      <c r="C9390" s="102">
        <v>1362.75</v>
      </c>
    </row>
    <row r="9391" spans="1:3" x14ac:dyDescent="0.25">
      <c r="A9391">
        <v>6998226</v>
      </c>
      <c r="B9391" t="s">
        <v>8631</v>
      </c>
      <c r="C9391" s="102">
        <v>4613.3500000000004</v>
      </c>
    </row>
    <row r="9392" spans="1:3" x14ac:dyDescent="0.25">
      <c r="A9392">
        <v>6998228</v>
      </c>
      <c r="B9392" t="s">
        <v>8632</v>
      </c>
      <c r="C9392" s="102">
        <v>6238.64</v>
      </c>
    </row>
    <row r="9393" spans="1:3" x14ac:dyDescent="0.25">
      <c r="A9393">
        <v>6998222</v>
      </c>
      <c r="B9393" t="s">
        <v>8633</v>
      </c>
      <c r="C9393" s="102">
        <v>1112.7</v>
      </c>
    </row>
    <row r="9394" spans="1:3" x14ac:dyDescent="0.25">
      <c r="A9394">
        <v>6992130</v>
      </c>
      <c r="B9394" t="s">
        <v>8634</v>
      </c>
      <c r="C9394">
        <v>750.14</v>
      </c>
    </row>
    <row r="9395" spans="1:3" x14ac:dyDescent="0.25">
      <c r="A9395">
        <v>6996901</v>
      </c>
      <c r="B9395" t="s">
        <v>8635</v>
      </c>
      <c r="C9395" s="102">
        <v>1987.86</v>
      </c>
    </row>
    <row r="9396" spans="1:3" x14ac:dyDescent="0.25">
      <c r="A9396">
        <v>6999426</v>
      </c>
      <c r="B9396" t="s">
        <v>8636</v>
      </c>
      <c r="C9396" s="102">
        <v>3738.19</v>
      </c>
    </row>
    <row r="9397" spans="1:3" x14ac:dyDescent="0.25">
      <c r="A9397">
        <v>6999427</v>
      </c>
      <c r="B9397" t="s">
        <v>8637</v>
      </c>
      <c r="C9397" s="102">
        <v>4363.3</v>
      </c>
    </row>
    <row r="9398" spans="1:3" x14ac:dyDescent="0.25">
      <c r="A9398">
        <v>6999425</v>
      </c>
      <c r="B9398" t="s">
        <v>8638</v>
      </c>
      <c r="C9398" s="102">
        <v>3363.12</v>
      </c>
    </row>
    <row r="9399" spans="1:3" x14ac:dyDescent="0.25">
      <c r="A9399">
        <v>6992139</v>
      </c>
      <c r="B9399" t="s">
        <v>8639</v>
      </c>
      <c r="C9399" s="102">
        <v>1062.69</v>
      </c>
    </row>
    <row r="9400" spans="1:3" x14ac:dyDescent="0.25">
      <c r="A9400">
        <v>6992141</v>
      </c>
      <c r="B9400" t="s">
        <v>8640</v>
      </c>
      <c r="C9400" s="102">
        <v>1737.82</v>
      </c>
    </row>
    <row r="9401" spans="1:3" x14ac:dyDescent="0.25">
      <c r="A9401">
        <v>6992094</v>
      </c>
      <c r="B9401" t="s">
        <v>8641</v>
      </c>
      <c r="C9401" s="102">
        <v>3613.16</v>
      </c>
    </row>
    <row r="9402" spans="1:3" x14ac:dyDescent="0.25">
      <c r="A9402">
        <v>6997120</v>
      </c>
      <c r="B9402" t="s">
        <v>8642</v>
      </c>
      <c r="C9402" s="102">
        <v>3077.13</v>
      </c>
    </row>
    <row r="9403" spans="1:3" x14ac:dyDescent="0.25">
      <c r="A9403">
        <v>6999432</v>
      </c>
      <c r="B9403" t="s">
        <v>8643</v>
      </c>
      <c r="C9403" s="102">
        <v>1112.7</v>
      </c>
    </row>
    <row r="9404" spans="1:3" x14ac:dyDescent="0.25">
      <c r="A9404">
        <v>6999429</v>
      </c>
      <c r="B9404" t="s">
        <v>8644</v>
      </c>
      <c r="C9404" s="102">
        <v>1237.73</v>
      </c>
    </row>
    <row r="9405" spans="1:3" x14ac:dyDescent="0.25">
      <c r="A9405">
        <v>6992149</v>
      </c>
      <c r="B9405" t="s">
        <v>8645</v>
      </c>
      <c r="C9405">
        <v>737.64</v>
      </c>
    </row>
    <row r="9406" spans="1:3" x14ac:dyDescent="0.25">
      <c r="A9406">
        <v>6992150</v>
      </c>
      <c r="B9406" t="s">
        <v>8646</v>
      </c>
      <c r="C9406">
        <v>862.66</v>
      </c>
    </row>
    <row r="9407" spans="1:3" x14ac:dyDescent="0.25">
      <c r="A9407">
        <v>6998220</v>
      </c>
      <c r="B9407" t="s">
        <v>8647</v>
      </c>
      <c r="C9407" s="102">
        <v>2487.96</v>
      </c>
    </row>
    <row r="9408" spans="1:3" x14ac:dyDescent="0.25">
      <c r="A9408">
        <v>6997139</v>
      </c>
      <c r="B9408" t="s">
        <v>8648</v>
      </c>
      <c r="C9408" s="102">
        <v>2813.02</v>
      </c>
    </row>
    <row r="9409" spans="1:3" x14ac:dyDescent="0.25">
      <c r="A9409">
        <v>6997140</v>
      </c>
      <c r="B9409" t="s">
        <v>8649</v>
      </c>
      <c r="C9409" s="102">
        <v>3863.21</v>
      </c>
    </row>
    <row r="9410" spans="1:3" x14ac:dyDescent="0.25">
      <c r="A9410">
        <v>6997141</v>
      </c>
      <c r="B9410" t="s">
        <v>8650</v>
      </c>
      <c r="C9410" s="102">
        <v>3113.07</v>
      </c>
    </row>
    <row r="9411" spans="1:3" x14ac:dyDescent="0.25">
      <c r="A9411">
        <v>6992136</v>
      </c>
      <c r="B9411" t="s">
        <v>8651</v>
      </c>
      <c r="C9411" s="102">
        <v>2187.9</v>
      </c>
    </row>
    <row r="9412" spans="1:3" x14ac:dyDescent="0.25">
      <c r="A9412">
        <v>6992135</v>
      </c>
      <c r="B9412" t="s">
        <v>8652</v>
      </c>
      <c r="C9412" s="102">
        <v>1437.76</v>
      </c>
    </row>
    <row r="9413" spans="1:3" x14ac:dyDescent="0.25">
      <c r="A9413">
        <v>6992142</v>
      </c>
      <c r="B9413" t="s">
        <v>8653</v>
      </c>
      <c r="C9413" s="102">
        <v>1612.8</v>
      </c>
    </row>
    <row r="9414" spans="1:3" x14ac:dyDescent="0.25">
      <c r="A9414">
        <v>6992134</v>
      </c>
      <c r="B9414" t="s">
        <v>8654</v>
      </c>
      <c r="C9414" s="102">
        <v>1237.73</v>
      </c>
    </row>
    <row r="9415" spans="1:3" x14ac:dyDescent="0.25">
      <c r="A9415">
        <v>6992120</v>
      </c>
      <c r="B9415" t="s">
        <v>8655</v>
      </c>
      <c r="C9415" s="102">
        <v>1894.1</v>
      </c>
    </row>
    <row r="9416" spans="1:3" x14ac:dyDescent="0.25">
      <c r="A9416">
        <v>6997149</v>
      </c>
      <c r="B9416" t="s">
        <v>8656</v>
      </c>
      <c r="C9416" s="102">
        <v>3363.12</v>
      </c>
    </row>
    <row r="9417" spans="1:3" x14ac:dyDescent="0.25">
      <c r="A9417">
        <v>6997127</v>
      </c>
      <c r="B9417" t="s">
        <v>8657</v>
      </c>
      <c r="C9417" s="102">
        <v>3406.87</v>
      </c>
    </row>
    <row r="9418" spans="1:3" x14ac:dyDescent="0.25">
      <c r="A9418">
        <v>6997142</v>
      </c>
      <c r="B9418" t="s">
        <v>8658</v>
      </c>
      <c r="C9418" s="102">
        <v>2750.5</v>
      </c>
    </row>
    <row r="9419" spans="1:3" x14ac:dyDescent="0.25">
      <c r="A9419">
        <v>6992221</v>
      </c>
      <c r="B9419" t="s">
        <v>8659</v>
      </c>
      <c r="C9419" s="102">
        <v>1062.69</v>
      </c>
    </row>
    <row r="9420" spans="1:3" x14ac:dyDescent="0.25">
      <c r="A9420">
        <v>6995106</v>
      </c>
      <c r="B9420" t="s">
        <v>8660</v>
      </c>
      <c r="C9420" s="102">
        <v>3113.07</v>
      </c>
    </row>
    <row r="9421" spans="1:3" x14ac:dyDescent="0.25">
      <c r="A9421">
        <v>6992147</v>
      </c>
      <c r="B9421" t="s">
        <v>8661</v>
      </c>
      <c r="C9421" s="102">
        <v>1375.25</v>
      </c>
    </row>
    <row r="9422" spans="1:3" x14ac:dyDescent="0.25">
      <c r="A9422">
        <v>6992131</v>
      </c>
      <c r="B9422" t="s">
        <v>8662</v>
      </c>
      <c r="C9422" s="102">
        <v>1012.69</v>
      </c>
    </row>
    <row r="9423" spans="1:3" x14ac:dyDescent="0.25">
      <c r="A9423">
        <v>6992152</v>
      </c>
      <c r="B9423" t="s">
        <v>8663</v>
      </c>
      <c r="C9423">
        <v>675.12</v>
      </c>
    </row>
    <row r="9424" spans="1:3" x14ac:dyDescent="0.25">
      <c r="A9424">
        <v>6992093</v>
      </c>
      <c r="B9424" t="s">
        <v>8664</v>
      </c>
      <c r="C9424" s="102">
        <v>6488.69</v>
      </c>
    </row>
    <row r="9425" spans="1:3" x14ac:dyDescent="0.25">
      <c r="A9425">
        <v>6992200</v>
      </c>
      <c r="B9425" t="s">
        <v>8665</v>
      </c>
      <c r="C9425" s="102">
        <v>4738.37</v>
      </c>
    </row>
    <row r="9426" spans="1:3" x14ac:dyDescent="0.25">
      <c r="A9426">
        <v>6995043</v>
      </c>
      <c r="B9426" t="s">
        <v>8666</v>
      </c>
      <c r="C9426" s="102">
        <v>2044.12</v>
      </c>
    </row>
    <row r="9427" spans="1:3" x14ac:dyDescent="0.25">
      <c r="A9427">
        <v>6995039</v>
      </c>
      <c r="B9427" t="s">
        <v>8667</v>
      </c>
      <c r="C9427" s="102">
        <v>4125.76</v>
      </c>
    </row>
    <row r="9428" spans="1:3" x14ac:dyDescent="0.25">
      <c r="A9428">
        <v>6995052</v>
      </c>
      <c r="B9428" t="s">
        <v>8668</v>
      </c>
      <c r="C9428" s="102">
        <v>1862.84</v>
      </c>
    </row>
    <row r="9429" spans="1:3" x14ac:dyDescent="0.25">
      <c r="A9429">
        <v>6992138</v>
      </c>
      <c r="B9429" t="s">
        <v>8669</v>
      </c>
      <c r="C9429" s="102">
        <v>2362.9299999999998</v>
      </c>
    </row>
  </sheetData>
  <sheetProtection formatCells="0" formatColumns="0" formatRows="0" insertColumns="0" insertRows="0" insertHyperlinks="0" deleteColumns="0" deleteRows="0" sort="0" autoFilter="0" pivotTables="0"/>
  <mergeCells count="122">
    <mergeCell ref="A6029:C6029"/>
    <mergeCell ref="A748:C748"/>
    <mergeCell ref="A2:C2"/>
    <mergeCell ref="A24:C24"/>
    <mergeCell ref="A27:C27"/>
    <mergeCell ref="A133:C133"/>
    <mergeCell ref="A1768:C1768"/>
    <mergeCell ref="A1818:C1818"/>
    <mergeCell ref="A1876:C1876"/>
    <mergeCell ref="A1909:C1909"/>
    <mergeCell ref="A1157:C1157"/>
    <mergeCell ref="A1228:C1228"/>
    <mergeCell ref="A825:C825"/>
    <mergeCell ref="A1015:C1015"/>
    <mergeCell ref="A1035:C1035"/>
    <mergeCell ref="A1052:C1052"/>
    <mergeCell ref="A1097:C1097"/>
    <mergeCell ref="A1105:C1105"/>
    <mergeCell ref="A149:C149"/>
    <mergeCell ref="A254:C254"/>
    <mergeCell ref="A352:C352"/>
    <mergeCell ref="A538:C538"/>
    <mergeCell ref="A645:C645"/>
    <mergeCell ref="A1465:C1465"/>
    <mergeCell ref="A5334:C5334"/>
    <mergeCell ref="A4930:C4930"/>
    <mergeCell ref="A5057:C5057"/>
    <mergeCell ref="A5125:C5125"/>
    <mergeCell ref="A5127:C5127"/>
    <mergeCell ref="A5158:C5158"/>
    <mergeCell ref="A4245:C4245"/>
    <mergeCell ref="A4313:C4313"/>
    <mergeCell ref="A6715:C6715"/>
    <mergeCell ref="A4349:C4349"/>
    <mergeCell ref="A4361:C4361"/>
    <mergeCell ref="A4373:C4373"/>
    <mergeCell ref="A4838:C4838"/>
    <mergeCell ref="A6130:C6130"/>
    <mergeCell ref="A6285:C6285"/>
    <mergeCell ref="A6299:C6299"/>
    <mergeCell ref="A6310:C6310"/>
    <mergeCell ref="A6315:C6315"/>
    <mergeCell ref="A5418:C5418"/>
    <mergeCell ref="A5515:C5515"/>
    <mergeCell ref="A5659:C5659"/>
    <mergeCell ref="A5821:C5821"/>
    <mergeCell ref="A5924:C5924"/>
    <mergeCell ref="A5948:C5948"/>
    <mergeCell ref="A6776:C6776"/>
    <mergeCell ref="A6787:C6787"/>
    <mergeCell ref="A6796:C6796"/>
    <mergeCell ref="A6824:C6824"/>
    <mergeCell ref="A6837:C6837"/>
    <mergeCell ref="A6398:C6398"/>
    <mergeCell ref="A6452:C6452"/>
    <mergeCell ref="A6473:C6473"/>
    <mergeCell ref="A6522:C6522"/>
    <mergeCell ref="A6537:C6537"/>
    <mergeCell ref="A6634:C6634"/>
    <mergeCell ref="A9357:C9357"/>
    <mergeCell ref="A9186:C9186"/>
    <mergeCell ref="A9225:C9225"/>
    <mergeCell ref="A9256:C9256"/>
    <mergeCell ref="A8822:C8822"/>
    <mergeCell ref="A8951:C8951"/>
    <mergeCell ref="A9014:C9014"/>
    <mergeCell ref="A9087:C9087"/>
    <mergeCell ref="A9137:C9137"/>
    <mergeCell ref="A9167:C9167"/>
    <mergeCell ref="A8437:C8437"/>
    <mergeCell ref="A8513:C8513"/>
    <mergeCell ref="A8625:C8625"/>
    <mergeCell ref="A8679:C8679"/>
    <mergeCell ref="A8736:C8736"/>
    <mergeCell ref="A8756:C8756"/>
    <mergeCell ref="A6859:C6859"/>
    <mergeCell ref="A6929:C6929"/>
    <mergeCell ref="A6973:C6973"/>
    <mergeCell ref="A6995:C6995"/>
    <mergeCell ref="A7076:C7076"/>
    <mergeCell ref="A7817:C7817"/>
    <mergeCell ref="A7847:C7847"/>
    <mergeCell ref="A8029:C8029"/>
    <mergeCell ref="A8088:C8088"/>
    <mergeCell ref="A8237:C8237"/>
    <mergeCell ref="A8315:C8315"/>
    <mergeCell ref="A7322:C7322"/>
    <mergeCell ref="A7377:C7377"/>
    <mergeCell ref="A7461:C7461"/>
    <mergeCell ref="A7480:C7480"/>
    <mergeCell ref="A7604:C7604"/>
    <mergeCell ref="A7628:C7628"/>
    <mergeCell ref="A7179:C7179"/>
    <mergeCell ref="A1309:C1309"/>
    <mergeCell ref="A1330:C1330"/>
    <mergeCell ref="A1337:C1337"/>
    <mergeCell ref="A1357:C1357"/>
    <mergeCell ref="A2971:C2971"/>
    <mergeCell ref="A3022:C3022"/>
    <mergeCell ref="A3185:C3185"/>
    <mergeCell ref="A3190:C3190"/>
    <mergeCell ref="A3281:C3281"/>
    <mergeCell ref="A2363:C2363"/>
    <mergeCell ref="A2406:C2406"/>
    <mergeCell ref="A2562:C2562"/>
    <mergeCell ref="A2798:C2798"/>
    <mergeCell ref="A2848:C2848"/>
    <mergeCell ref="A2932:C2932"/>
    <mergeCell ref="A1949:C1949"/>
    <mergeCell ref="A2014:C2014"/>
    <mergeCell ref="A1422:C1422"/>
    <mergeCell ref="A1630:C1630"/>
    <mergeCell ref="A1700:C1700"/>
    <mergeCell ref="A1731:C1731"/>
    <mergeCell ref="A1742:C1742"/>
    <mergeCell ref="A2956:C2956"/>
    <mergeCell ref="A4234:C4234"/>
    <mergeCell ref="A3833:C3833"/>
    <mergeCell ref="A3892:C3892"/>
    <mergeCell ref="A3925:C3925"/>
    <mergeCell ref="A3930:C3930"/>
    <mergeCell ref="A3946:C3946"/>
  </mergeCells>
  <pageMargins left="0.7" right="0.7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1D63-ABBE-4355-8CB7-D8562F25EB28}">
  <dimension ref="A1:AR16"/>
  <sheetViews>
    <sheetView workbookViewId="0">
      <pane xSplit="5" topLeftCell="K1" activePane="topRight" state="frozen"/>
      <selection activeCell="AD34" sqref="AD34"/>
      <selection pane="topRight" activeCell="N2" sqref="N2"/>
    </sheetView>
  </sheetViews>
  <sheetFormatPr baseColWidth="10" defaultColWidth="11.42578125" defaultRowHeight="15" x14ac:dyDescent="0.2"/>
  <cols>
    <col min="1" max="1" width="14.28515625" style="1" customWidth="1"/>
    <col min="2" max="2" width="7.5703125" style="1" customWidth="1"/>
    <col min="3" max="3" width="14.28515625" style="1" customWidth="1"/>
    <col min="4" max="4" width="7.42578125" customWidth="1"/>
    <col min="5" max="5" width="31.7109375" style="1" bestFit="1" customWidth="1"/>
    <col min="6" max="6" width="11.42578125" style="15"/>
    <col min="7" max="7" width="7" style="130" bestFit="1" customWidth="1"/>
    <col min="8" max="8" width="5.140625" bestFit="1" customWidth="1"/>
    <col min="9" max="9" width="10.28515625" bestFit="1" customWidth="1"/>
    <col min="10" max="10" width="9.7109375" style="58" bestFit="1" customWidth="1"/>
    <col min="13" max="13" width="12.42578125" customWidth="1"/>
    <col min="14" max="14" width="10.28515625" bestFit="1" customWidth="1"/>
    <col min="15" max="15" width="10.7109375" bestFit="1" customWidth="1"/>
    <col min="19" max="19" width="10.28515625" style="3" bestFit="1" customWidth="1"/>
    <col min="20" max="20" width="10.7109375" style="3" bestFit="1" customWidth="1"/>
    <col min="21" max="21" width="12.5703125" bestFit="1" customWidth="1"/>
    <col min="22" max="22" width="8.85546875" bestFit="1" customWidth="1"/>
    <col min="23" max="23" width="12" bestFit="1" customWidth="1"/>
    <col min="24" max="24" width="11.28515625" style="3" bestFit="1" customWidth="1"/>
    <col min="25" max="25" width="9.42578125" style="5" bestFit="1" customWidth="1"/>
    <col min="26" max="26" width="9.7109375" style="3" bestFit="1" customWidth="1"/>
    <col min="27" max="27" width="9.28515625" style="4" bestFit="1" customWidth="1"/>
    <col min="28" max="28" width="9.28515625" style="4" customWidth="1"/>
    <col min="31" max="31" width="13.7109375" customWidth="1"/>
  </cols>
  <sheetData>
    <row r="1" spans="1:44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128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8679</v>
      </c>
      <c r="Q1" s="12" t="s">
        <v>8680</v>
      </c>
      <c r="R1" s="12" t="s">
        <v>8681</v>
      </c>
      <c r="S1" s="12" t="s">
        <v>8682</v>
      </c>
      <c r="T1" s="12" t="s">
        <v>11761</v>
      </c>
      <c r="U1" s="12" t="s">
        <v>8684</v>
      </c>
      <c r="V1" s="12" t="s">
        <v>8685</v>
      </c>
      <c r="W1" s="12" t="s">
        <v>8687</v>
      </c>
      <c r="X1" s="10" t="s">
        <v>8688</v>
      </c>
      <c r="Y1" s="12" t="s">
        <v>8683</v>
      </c>
      <c r="Z1" s="10" t="s">
        <v>11465</v>
      </c>
      <c r="AA1" s="12" t="s">
        <v>12119</v>
      </c>
      <c r="AB1" s="12" t="s">
        <v>12118</v>
      </c>
      <c r="AC1" s="12" t="s">
        <v>11776</v>
      </c>
      <c r="AD1" s="12" t="s">
        <v>11808</v>
      </c>
      <c r="AE1" s="12" t="s">
        <v>11809</v>
      </c>
      <c r="AF1" s="12" t="s">
        <v>11814</v>
      </c>
      <c r="AG1" s="83" t="s">
        <v>11812</v>
      </c>
      <c r="AH1" s="12" t="s">
        <v>11815</v>
      </c>
      <c r="AI1" s="83" t="s">
        <v>11816</v>
      </c>
      <c r="AJ1" s="12" t="s">
        <v>11810</v>
      </c>
      <c r="AK1" s="12" t="s">
        <v>11823</v>
      </c>
      <c r="AL1" s="12" t="s">
        <v>11818</v>
      </c>
      <c r="AM1" s="12" t="s">
        <v>11819</v>
      </c>
      <c r="AN1" s="12" t="s">
        <v>11817</v>
      </c>
      <c r="AO1" s="12" t="s">
        <v>11811</v>
      </c>
      <c r="AP1" s="12" t="s">
        <v>11813</v>
      </c>
      <c r="AQ1" s="12" t="s">
        <v>11820</v>
      </c>
      <c r="AR1" s="12" t="s">
        <v>11821</v>
      </c>
    </row>
    <row r="2" spans="1:44" ht="15.75" x14ac:dyDescent="0.25">
      <c r="A2" s="1" t="s">
        <v>11285</v>
      </c>
      <c r="C2" t="str">
        <f t="shared" ref="C2:C15" si="0">CONCATENATE(LEFT(Q2,3),RIGHT(A2,8))</f>
        <v>BEB13004089</v>
      </c>
      <c r="D2" t="s">
        <v>8689</v>
      </c>
      <c r="E2" s="1" t="s">
        <v>11286</v>
      </c>
      <c r="F2" s="61">
        <v>615.38</v>
      </c>
      <c r="G2" s="129">
        <v>0</v>
      </c>
      <c r="H2" s="4" t="s">
        <v>8690</v>
      </c>
      <c r="I2">
        <v>9</v>
      </c>
      <c r="J2">
        <v>1</v>
      </c>
      <c r="K2">
        <v>0</v>
      </c>
      <c r="L2" s="17">
        <f>((ARTICULOS_DOBLECOLA[[#This Row],[P. Compra]]*(1+ARTICULOS_DOBLECOLA[[#This Row],[IVA]]))/ARTICULOS_DOBLECOLA[[#This Row],[UnidFact]])+ARTICULOS_DOBLECOLA[[#This Row],[CostoFlete]]</f>
        <v>615.38</v>
      </c>
      <c r="M2">
        <v>35</v>
      </c>
      <c r="N2" s="63">
        <f t="shared" ref="N2:N15" si="1">IF(L2&gt;=5,MROUND(L2/(1-M2/100),50),10)</f>
        <v>950</v>
      </c>
      <c r="O2" s="3">
        <f>MROUND((ARTICULOS_DOBLECOLA[[#This Row],[Precio]]/0.6),10)</f>
        <v>1580</v>
      </c>
      <c r="P2" t="s">
        <v>14</v>
      </c>
      <c r="Q2" t="s">
        <v>10</v>
      </c>
      <c r="R2" t="s">
        <v>62</v>
      </c>
      <c r="S2" t="s">
        <v>11287</v>
      </c>
      <c r="T2" t="s">
        <v>8692</v>
      </c>
      <c r="U2">
        <v>1</v>
      </c>
      <c r="V2" t="s">
        <v>8693</v>
      </c>
      <c r="W2">
        <v>9</v>
      </c>
      <c r="X2" s="3">
        <f>ARTICULOS_DOBLECOLA[[#This Row],[Bulto]]*2</f>
        <v>18</v>
      </c>
      <c r="Y2">
        <v>8</v>
      </c>
      <c r="Z2"/>
      <c r="AA2">
        <f>IF(ARTICULOS_DOBLECOLA[[#This Row],[Stock]]&lt;ARTICULOS_DOBLECOLA[[#This Row],[Minimo]],ARTICULOS_DOBLECOLA[[#This Row],[Maximo]]-ARTICULOS_DOBLECOLA[[#This Row],[Stock]],0)</f>
        <v>10</v>
      </c>
      <c r="AB2">
        <f>MROUND(ARTICULOS_DOBLECOLA[[#This Row],[Pedido Unidad]]/ARTICULOS_DOBLECOLA[[#This Row],[Bulto]],1)</f>
        <v>1</v>
      </c>
      <c r="AC2" s="80">
        <f>ARTICULOS_DOBLECOLA[[#This Row],[Costo]]*ARTICULOS_DOBLECOLA[[#This Row],[Bulto]]*ARTICULOS_DOBLECOLA[[#This Row],[Pedido Bultos]]</f>
        <v>5538.42</v>
      </c>
      <c r="AI2" s="2" t="str">
        <f>IF(AND(ARTICULOS_OSLE[[#This Row],[FechaVenc]]=0,ARTICULOS_OSLE[[#This Row],[DiasVenc]]=0),"",ARTICULOS_OSLE[[#This Row],[FechaVenc]]-ARTICULOS_OSLE[[#This Row],[DiasVenc]])</f>
        <v/>
      </c>
      <c r="AP2" t="s">
        <v>8689</v>
      </c>
    </row>
    <row r="3" spans="1:44" ht="15.75" x14ac:dyDescent="0.25">
      <c r="A3" s="1" t="s">
        <v>11288</v>
      </c>
      <c r="C3" t="str">
        <f t="shared" si="0"/>
        <v>BEB13000746</v>
      </c>
      <c r="D3" t="s">
        <v>8689</v>
      </c>
      <c r="E3" s="1" t="s">
        <v>11289</v>
      </c>
      <c r="F3" s="61">
        <v>1153.8399999999999</v>
      </c>
      <c r="G3" s="129">
        <v>0</v>
      </c>
      <c r="H3" s="4" t="s">
        <v>8690</v>
      </c>
      <c r="I3">
        <v>6</v>
      </c>
      <c r="J3">
        <v>1</v>
      </c>
      <c r="K3">
        <v>0</v>
      </c>
      <c r="L3" s="17">
        <f>((ARTICULOS_DOBLECOLA[[#This Row],[P. Compra]]*(1+ARTICULOS_DOBLECOLA[[#This Row],[IVA]]))/ARTICULOS_DOBLECOLA[[#This Row],[UnidFact]])+ARTICULOS_DOBLECOLA[[#This Row],[CostoFlete]]</f>
        <v>1153.8399999999999</v>
      </c>
      <c r="M3">
        <v>35</v>
      </c>
      <c r="N3" s="63">
        <f t="shared" si="1"/>
        <v>1800</v>
      </c>
      <c r="O3" s="3">
        <f>MROUND((ARTICULOS_DOBLECOLA[[#This Row],[Precio]]/0.6),10)</f>
        <v>3000</v>
      </c>
      <c r="P3" t="s">
        <v>14</v>
      </c>
      <c r="Q3" t="s">
        <v>10</v>
      </c>
      <c r="R3" t="s">
        <v>62</v>
      </c>
      <c r="S3" t="s">
        <v>11287</v>
      </c>
      <c r="T3" t="s">
        <v>8692</v>
      </c>
      <c r="U3">
        <v>1</v>
      </c>
      <c r="V3" t="s">
        <v>8693</v>
      </c>
      <c r="W3">
        <v>6</v>
      </c>
      <c r="X3" s="3">
        <f>ARTICULOS_DOBLECOLA[[#This Row],[Bulto]]*2</f>
        <v>12</v>
      </c>
      <c r="Y3">
        <v>30</v>
      </c>
      <c r="Z3"/>
      <c r="AA3">
        <f>IF(ARTICULOS_DOBLECOLA[[#This Row],[Stock]]&lt;ARTICULOS_DOBLECOLA[[#This Row],[Minimo]],ARTICULOS_DOBLECOLA[[#This Row],[Maximo]]-ARTICULOS_DOBLECOLA[[#This Row],[Stock]],0)</f>
        <v>0</v>
      </c>
      <c r="AB3">
        <f>MROUND(ARTICULOS_DOBLECOLA[[#This Row],[Pedido Unidad]]/ARTICULOS_DOBLECOLA[[#This Row],[Bulto]],1)</f>
        <v>0</v>
      </c>
      <c r="AC3" s="80">
        <f>ARTICULOS_DOBLECOLA[[#This Row],[Costo]]*ARTICULOS_DOBLECOLA[[#This Row],[Bulto]]*ARTICULOS_DOBLECOLA[[#This Row],[Pedido Bultos]]</f>
        <v>0</v>
      </c>
      <c r="AI3" s="2" t="str">
        <f>IF(AND(ARTICULOS_OSLE[[#This Row],[FechaVenc]]=0,ARTICULOS_OSLE[[#This Row],[DiasVenc]]=0),"",ARTICULOS_OSLE[[#This Row],[FechaVenc]]-ARTICULOS_OSLE[[#This Row],[DiasVenc]])</f>
        <v/>
      </c>
      <c r="AP3" t="s">
        <v>8689</v>
      </c>
    </row>
    <row r="4" spans="1:44" ht="15.75" x14ac:dyDescent="0.25">
      <c r="A4" s="1" t="s">
        <v>11290</v>
      </c>
      <c r="C4" t="str">
        <f t="shared" si="0"/>
        <v>BEB13000623</v>
      </c>
      <c r="D4" t="s">
        <v>8689</v>
      </c>
      <c r="E4" s="1" t="s">
        <v>11291</v>
      </c>
      <c r="F4" s="61">
        <v>464.28</v>
      </c>
      <c r="G4" s="129">
        <v>0</v>
      </c>
      <c r="H4" s="4" t="s">
        <v>8690</v>
      </c>
      <c r="I4">
        <v>6</v>
      </c>
      <c r="J4">
        <v>1</v>
      </c>
      <c r="K4">
        <v>0</v>
      </c>
      <c r="L4" s="17">
        <f>((ARTICULOS_DOBLECOLA[[#This Row],[P. Compra]]*(1+ARTICULOS_DOBLECOLA[[#This Row],[IVA]]))/ARTICULOS_DOBLECOLA[[#This Row],[UnidFact]])+ARTICULOS_DOBLECOLA[[#This Row],[CostoFlete]]</f>
        <v>464.28</v>
      </c>
      <c r="M4">
        <v>35</v>
      </c>
      <c r="N4" s="63">
        <f t="shared" si="1"/>
        <v>700</v>
      </c>
      <c r="O4" s="3">
        <f>MROUND((ARTICULOS_DOBLECOLA[[#This Row],[Precio]]/0.6),10)</f>
        <v>1170</v>
      </c>
      <c r="P4" t="s">
        <v>14</v>
      </c>
      <c r="Q4" t="s">
        <v>10</v>
      </c>
      <c r="R4" t="s">
        <v>62</v>
      </c>
      <c r="S4" t="s">
        <v>11287</v>
      </c>
      <c r="T4" t="s">
        <v>8692</v>
      </c>
      <c r="U4">
        <v>1</v>
      </c>
      <c r="V4" t="s">
        <v>8693</v>
      </c>
      <c r="W4">
        <v>12</v>
      </c>
      <c r="X4" s="3">
        <f>ARTICULOS_DOBLECOLA[[#This Row],[Bulto]]*4</f>
        <v>24</v>
      </c>
      <c r="Y4">
        <v>20</v>
      </c>
      <c r="Z4"/>
      <c r="AA4">
        <f>IF(ARTICULOS_DOBLECOLA[[#This Row],[Stock]]&lt;ARTICULOS_DOBLECOLA[[#This Row],[Minimo]],ARTICULOS_DOBLECOLA[[#This Row],[Maximo]]-ARTICULOS_DOBLECOLA[[#This Row],[Stock]],0)</f>
        <v>0</v>
      </c>
      <c r="AB4">
        <f>MROUND(ARTICULOS_DOBLECOLA[[#This Row],[Pedido Unidad]]/ARTICULOS_DOBLECOLA[[#This Row],[Bulto]],1)</f>
        <v>0</v>
      </c>
      <c r="AC4" s="80">
        <f>ARTICULOS_DOBLECOLA[[#This Row],[Costo]]*ARTICULOS_DOBLECOLA[[#This Row],[Bulto]]*ARTICULOS_DOBLECOLA[[#This Row],[Pedido Bultos]]</f>
        <v>0</v>
      </c>
      <c r="AI4" s="2" t="str">
        <f>IF(AND(ARTICULOS_OSLE[[#This Row],[FechaVenc]]=0,ARTICULOS_OSLE[[#This Row],[DiasVenc]]=0),"",ARTICULOS_OSLE[[#This Row],[FechaVenc]]-ARTICULOS_OSLE[[#This Row],[DiasVenc]])</f>
        <v/>
      </c>
      <c r="AP4" t="s">
        <v>8689</v>
      </c>
    </row>
    <row r="5" spans="1:44" ht="15.75" x14ac:dyDescent="0.25">
      <c r="A5" s="1" t="s">
        <v>11263</v>
      </c>
      <c r="C5" t="str">
        <f t="shared" si="0"/>
        <v>BEB13004096</v>
      </c>
      <c r="D5" t="s">
        <v>8689</v>
      </c>
      <c r="E5" s="24" t="s">
        <v>11264</v>
      </c>
      <c r="F5" s="61">
        <v>576.91999999999996</v>
      </c>
      <c r="G5" s="129">
        <v>0</v>
      </c>
      <c r="H5" s="4" t="s">
        <v>8690</v>
      </c>
      <c r="I5">
        <v>9</v>
      </c>
      <c r="J5">
        <v>1</v>
      </c>
      <c r="K5">
        <v>0</v>
      </c>
      <c r="L5" s="17">
        <f>((ARTICULOS_DOBLECOLA[[#This Row],[P. Compra]]*(1+ARTICULOS_DOBLECOLA[[#This Row],[IVA]]))/ARTICULOS_DOBLECOLA[[#This Row],[UnidFact]])+ARTICULOS_DOBLECOLA[[#This Row],[CostoFlete]]</f>
        <v>576.91999999999996</v>
      </c>
      <c r="M5">
        <v>35</v>
      </c>
      <c r="N5" s="63">
        <f t="shared" si="1"/>
        <v>900</v>
      </c>
      <c r="O5" s="3">
        <f>MROUND((ARTICULOS_DOBLECOLA[[#This Row],[Precio]]/0.6),10)</f>
        <v>1500</v>
      </c>
      <c r="P5" t="s">
        <v>14</v>
      </c>
      <c r="Q5" t="s">
        <v>10</v>
      </c>
      <c r="R5" t="s">
        <v>62</v>
      </c>
      <c r="S5" t="s">
        <v>14</v>
      </c>
      <c r="T5" t="s">
        <v>8692</v>
      </c>
      <c r="U5">
        <v>1</v>
      </c>
      <c r="V5" t="s">
        <v>8693</v>
      </c>
      <c r="W5">
        <v>9</v>
      </c>
      <c r="X5" s="3">
        <f>ARTICULOS_DOBLECOLA[[#This Row],[Bulto]]*2</f>
        <v>18</v>
      </c>
      <c r="Y5">
        <v>20</v>
      </c>
      <c r="Z5"/>
      <c r="AA5">
        <f>IF(ARTICULOS_DOBLECOLA[[#This Row],[Stock]]&lt;ARTICULOS_DOBLECOLA[[#This Row],[Minimo]],ARTICULOS_DOBLECOLA[[#This Row],[Maximo]]-ARTICULOS_DOBLECOLA[[#This Row],[Stock]],0)</f>
        <v>0</v>
      </c>
      <c r="AB5">
        <f>MROUND(ARTICULOS_DOBLECOLA[[#This Row],[Pedido Unidad]]/ARTICULOS_DOBLECOLA[[#This Row],[Bulto]],1)</f>
        <v>0</v>
      </c>
      <c r="AC5" s="80">
        <f>ARTICULOS_DOBLECOLA[[#This Row],[Costo]]*ARTICULOS_DOBLECOLA[[#This Row],[Bulto]]*ARTICULOS_DOBLECOLA[[#This Row],[Pedido Bultos]]</f>
        <v>0</v>
      </c>
      <c r="AG5" s="2"/>
      <c r="AI5" s="2" t="str">
        <f>IF(AND(ARTICULOS_OSLE[[#This Row],[FechaVenc]]=0,ARTICULOS_OSLE[[#This Row],[DiasVenc]]=0),"",ARTICULOS_OSLE[[#This Row],[FechaVenc]]-ARTICULOS_OSLE[[#This Row],[DiasVenc]])</f>
        <v/>
      </c>
      <c r="AP5" t="s">
        <v>8689</v>
      </c>
    </row>
    <row r="6" spans="1:44" ht="15.75" x14ac:dyDescent="0.25">
      <c r="A6" s="1" t="s">
        <v>11265</v>
      </c>
      <c r="C6" t="str">
        <f t="shared" si="0"/>
        <v>BEB13005239</v>
      </c>
      <c r="D6" t="s">
        <v>8689</v>
      </c>
      <c r="E6" s="1" t="s">
        <v>11266</v>
      </c>
      <c r="F6" s="61">
        <v>846.16</v>
      </c>
      <c r="G6" s="129">
        <v>0</v>
      </c>
      <c r="H6" s="4" t="s">
        <v>8690</v>
      </c>
      <c r="I6">
        <v>6</v>
      </c>
      <c r="J6">
        <v>1</v>
      </c>
      <c r="K6">
        <v>0</v>
      </c>
      <c r="L6" s="17">
        <f>((ARTICULOS_DOBLECOLA[[#This Row],[P. Compra]]*(1+ARTICULOS_DOBLECOLA[[#This Row],[IVA]]))/ARTICULOS_DOBLECOLA[[#This Row],[UnidFact]])+ARTICULOS_DOBLECOLA[[#This Row],[CostoFlete]]</f>
        <v>846.16</v>
      </c>
      <c r="M6">
        <v>35</v>
      </c>
      <c r="N6" s="63">
        <f t="shared" si="1"/>
        <v>1300</v>
      </c>
      <c r="O6" s="3">
        <f>MROUND((ARTICULOS_DOBLECOLA[[#This Row],[Precio]]/0.6),10)</f>
        <v>2170</v>
      </c>
      <c r="P6" t="s">
        <v>14</v>
      </c>
      <c r="Q6" t="s">
        <v>10</v>
      </c>
      <c r="R6" t="s">
        <v>62</v>
      </c>
      <c r="S6" t="s">
        <v>14</v>
      </c>
      <c r="T6" t="s">
        <v>8692</v>
      </c>
      <c r="U6">
        <v>1</v>
      </c>
      <c r="V6" t="s">
        <v>8693</v>
      </c>
      <c r="W6">
        <v>6</v>
      </c>
      <c r="X6" s="3">
        <f>ARTICULOS_DOBLECOLA[[#This Row],[Bulto]]*2</f>
        <v>12</v>
      </c>
      <c r="Y6">
        <v>13</v>
      </c>
      <c r="Z6"/>
      <c r="AA6">
        <f>IF(ARTICULOS_DOBLECOLA[[#This Row],[Stock]]&lt;ARTICULOS_DOBLECOLA[[#This Row],[Minimo]],ARTICULOS_DOBLECOLA[[#This Row],[Maximo]]-ARTICULOS_DOBLECOLA[[#This Row],[Stock]],0)</f>
        <v>0</v>
      </c>
      <c r="AB6">
        <f>MROUND(ARTICULOS_DOBLECOLA[[#This Row],[Pedido Unidad]]/ARTICULOS_DOBLECOLA[[#This Row],[Bulto]],1)</f>
        <v>0</v>
      </c>
      <c r="AC6" s="80">
        <f>ARTICULOS_DOBLECOLA[[#This Row],[Costo]]*ARTICULOS_DOBLECOLA[[#This Row],[Bulto]]*ARTICULOS_DOBLECOLA[[#This Row],[Pedido Bultos]]</f>
        <v>0</v>
      </c>
      <c r="AI6" s="2" t="str">
        <f>IF(AND(ARTICULOS_OSLE[[#This Row],[FechaVenc]]=0,ARTICULOS_OSLE[[#This Row],[DiasVenc]]=0),"",ARTICULOS_OSLE[[#This Row],[FechaVenc]]-ARTICULOS_OSLE[[#This Row],[DiasVenc]])</f>
        <v/>
      </c>
      <c r="AP6" t="s">
        <v>8689</v>
      </c>
    </row>
    <row r="7" spans="1:44" ht="15.75" x14ac:dyDescent="0.25">
      <c r="A7" s="1" t="s">
        <v>11267</v>
      </c>
      <c r="C7" t="str">
        <f t="shared" si="0"/>
        <v>BEB13005277</v>
      </c>
      <c r="D7" t="s">
        <v>8689</v>
      </c>
      <c r="E7" s="1" t="s">
        <v>11268</v>
      </c>
      <c r="F7" s="61">
        <f>F6</f>
        <v>846.16</v>
      </c>
      <c r="G7" s="129">
        <v>0</v>
      </c>
      <c r="H7" s="4" t="s">
        <v>8690</v>
      </c>
      <c r="I7">
        <v>6</v>
      </c>
      <c r="J7">
        <v>1</v>
      </c>
      <c r="K7">
        <v>0</v>
      </c>
      <c r="L7" s="17">
        <f>((ARTICULOS_DOBLECOLA[[#This Row],[P. Compra]]*(1+ARTICULOS_DOBLECOLA[[#This Row],[IVA]]))/ARTICULOS_DOBLECOLA[[#This Row],[UnidFact]])+ARTICULOS_DOBLECOLA[[#This Row],[CostoFlete]]</f>
        <v>846.16</v>
      </c>
      <c r="M7">
        <v>35</v>
      </c>
      <c r="N7" s="63">
        <f t="shared" si="1"/>
        <v>1300</v>
      </c>
      <c r="O7" s="3">
        <f>MROUND((ARTICULOS_DOBLECOLA[[#This Row],[Precio]]/0.6),10)</f>
        <v>2170</v>
      </c>
      <c r="P7" t="s">
        <v>14</v>
      </c>
      <c r="Q7" t="s">
        <v>10</v>
      </c>
      <c r="R7" t="s">
        <v>62</v>
      </c>
      <c r="S7" t="s">
        <v>14</v>
      </c>
      <c r="T7" t="s">
        <v>8692</v>
      </c>
      <c r="U7">
        <v>1</v>
      </c>
      <c r="V7" t="s">
        <v>8693</v>
      </c>
      <c r="W7">
        <v>6</v>
      </c>
      <c r="X7" s="23">
        <f>ARTICULOS_DOBLECOLA[[#This Row],[Bulto]]*2</f>
        <v>12</v>
      </c>
      <c r="Y7">
        <f>4+4</f>
        <v>8</v>
      </c>
      <c r="Z7"/>
      <c r="AA7">
        <f>IF(ARTICULOS_DOBLECOLA[[#This Row],[Stock]]&lt;ARTICULOS_DOBLECOLA[[#This Row],[Minimo]],ARTICULOS_DOBLECOLA[[#This Row],[Maximo]]-ARTICULOS_DOBLECOLA[[#This Row],[Stock]],0)</f>
        <v>0</v>
      </c>
      <c r="AB7">
        <f>MROUND(ARTICULOS_DOBLECOLA[[#This Row],[Pedido Unidad]]/ARTICULOS_DOBLECOLA[[#This Row],[Bulto]],1)</f>
        <v>0</v>
      </c>
      <c r="AC7" s="80">
        <f>ARTICULOS_DOBLECOLA[[#This Row],[Costo]]*ARTICULOS_DOBLECOLA[[#This Row],[Bulto]]*ARTICULOS_DOBLECOLA[[#This Row],[Pedido Bultos]]</f>
        <v>0</v>
      </c>
      <c r="AI7" s="2" t="str">
        <f>IF(AND(ARTICULOS_OSLE[[#This Row],[FechaVenc]]=0,ARTICULOS_OSLE[[#This Row],[DiasVenc]]=0),"",ARTICULOS_OSLE[[#This Row],[FechaVenc]]-ARTICULOS_OSLE[[#This Row],[DiasVenc]])</f>
        <v/>
      </c>
      <c r="AP7" t="s">
        <v>8689</v>
      </c>
    </row>
    <row r="8" spans="1:44" ht="15.75" x14ac:dyDescent="0.25">
      <c r="A8" s="1" t="s">
        <v>11269</v>
      </c>
      <c r="C8" t="str">
        <f t="shared" si="0"/>
        <v>BEB13001859</v>
      </c>
      <c r="D8" t="s">
        <v>8689</v>
      </c>
      <c r="E8" s="1" t="s">
        <v>11270</v>
      </c>
      <c r="F8" s="61">
        <f t="shared" ref="F8:F9" si="2">F7</f>
        <v>846.16</v>
      </c>
      <c r="G8" s="129">
        <v>0</v>
      </c>
      <c r="H8" s="4" t="s">
        <v>8690</v>
      </c>
      <c r="I8">
        <v>6</v>
      </c>
      <c r="J8">
        <v>1</v>
      </c>
      <c r="K8">
        <v>0</v>
      </c>
      <c r="L8" s="17">
        <f>((ARTICULOS_DOBLECOLA[[#This Row],[P. Compra]]*(1+ARTICULOS_DOBLECOLA[[#This Row],[IVA]]))/ARTICULOS_DOBLECOLA[[#This Row],[UnidFact]])+ARTICULOS_DOBLECOLA[[#This Row],[CostoFlete]]</f>
        <v>846.16</v>
      </c>
      <c r="M8">
        <v>35</v>
      </c>
      <c r="N8" s="63">
        <f t="shared" si="1"/>
        <v>1300</v>
      </c>
      <c r="O8" s="3">
        <f>MROUND((ARTICULOS_DOBLECOLA[[#This Row],[Precio]]/0.6),10)</f>
        <v>2170</v>
      </c>
      <c r="P8" t="s">
        <v>14</v>
      </c>
      <c r="Q8" t="s">
        <v>10</v>
      </c>
      <c r="R8" t="s">
        <v>62</v>
      </c>
      <c r="S8" t="s">
        <v>14</v>
      </c>
      <c r="T8" t="s">
        <v>8692</v>
      </c>
      <c r="U8">
        <v>1</v>
      </c>
      <c r="V8" t="s">
        <v>8693</v>
      </c>
      <c r="W8">
        <v>6</v>
      </c>
      <c r="X8" s="3">
        <f>ARTICULOS_DOBLECOLA[[#This Row],[Bulto]]*2</f>
        <v>12</v>
      </c>
      <c r="Y8">
        <v>8</v>
      </c>
      <c r="Z8"/>
      <c r="AA8">
        <f>IF(ARTICULOS_DOBLECOLA[[#This Row],[Stock]]&lt;ARTICULOS_DOBLECOLA[[#This Row],[Minimo]],ARTICULOS_DOBLECOLA[[#This Row],[Maximo]]-ARTICULOS_DOBLECOLA[[#This Row],[Stock]],0)</f>
        <v>0</v>
      </c>
      <c r="AB8">
        <f>MROUND(ARTICULOS_DOBLECOLA[[#This Row],[Pedido Unidad]]/ARTICULOS_DOBLECOLA[[#This Row],[Bulto]],1)</f>
        <v>0</v>
      </c>
      <c r="AC8" s="80">
        <f>ARTICULOS_DOBLECOLA[[#This Row],[Costo]]*ARTICULOS_DOBLECOLA[[#This Row],[Bulto]]*ARTICULOS_DOBLECOLA[[#This Row],[Pedido Bultos]]</f>
        <v>0</v>
      </c>
      <c r="AI8" s="2" t="str">
        <f>IF(AND(ARTICULOS_OSLE[[#This Row],[FechaVenc]]=0,ARTICULOS_OSLE[[#This Row],[DiasVenc]]=0),"",ARTICULOS_OSLE[[#This Row],[FechaVenc]]-ARTICULOS_OSLE[[#This Row],[DiasVenc]])</f>
        <v/>
      </c>
      <c r="AP8" t="s">
        <v>8689</v>
      </c>
    </row>
    <row r="9" spans="1:44" ht="15.75" x14ac:dyDescent="0.25">
      <c r="A9" s="1" t="s">
        <v>11271</v>
      </c>
      <c r="C9" t="str">
        <f t="shared" si="0"/>
        <v>BEB13005253</v>
      </c>
      <c r="D9" t="s">
        <v>8689</v>
      </c>
      <c r="E9" s="1" t="s">
        <v>11272</v>
      </c>
      <c r="F9" s="61">
        <f t="shared" si="2"/>
        <v>846.16</v>
      </c>
      <c r="G9" s="129">
        <v>0</v>
      </c>
      <c r="H9" s="4" t="s">
        <v>8690</v>
      </c>
      <c r="I9">
        <v>6</v>
      </c>
      <c r="J9">
        <v>1</v>
      </c>
      <c r="K9">
        <v>0</v>
      </c>
      <c r="L9" s="17">
        <f>((ARTICULOS_DOBLECOLA[[#This Row],[P. Compra]]*(1+ARTICULOS_DOBLECOLA[[#This Row],[IVA]]))/ARTICULOS_DOBLECOLA[[#This Row],[UnidFact]])+ARTICULOS_DOBLECOLA[[#This Row],[CostoFlete]]</f>
        <v>846.16</v>
      </c>
      <c r="M9">
        <v>35</v>
      </c>
      <c r="N9" s="63">
        <f t="shared" si="1"/>
        <v>1300</v>
      </c>
      <c r="O9" s="3">
        <f>MROUND((ARTICULOS_DOBLECOLA[[#This Row],[Precio]]/0.6),10)</f>
        <v>2170</v>
      </c>
      <c r="P9" t="s">
        <v>14</v>
      </c>
      <c r="Q9" t="s">
        <v>10</v>
      </c>
      <c r="R9" t="s">
        <v>62</v>
      </c>
      <c r="S9" t="s">
        <v>14</v>
      </c>
      <c r="T9" t="s">
        <v>8692</v>
      </c>
      <c r="U9">
        <v>1</v>
      </c>
      <c r="V9" t="s">
        <v>8693</v>
      </c>
      <c r="W9">
        <v>6</v>
      </c>
      <c r="X9" s="23">
        <f>ARTICULOS_DOBLECOLA[[#This Row],[Bulto]]*2</f>
        <v>12</v>
      </c>
      <c r="Y9">
        <v>7</v>
      </c>
      <c r="Z9"/>
      <c r="AA9">
        <f>IF(ARTICULOS_DOBLECOLA[[#This Row],[Stock]]&lt;ARTICULOS_DOBLECOLA[[#This Row],[Minimo]],ARTICULOS_DOBLECOLA[[#This Row],[Maximo]]-ARTICULOS_DOBLECOLA[[#This Row],[Stock]],0)</f>
        <v>0</v>
      </c>
      <c r="AB9">
        <f>MROUND(ARTICULOS_DOBLECOLA[[#This Row],[Pedido Unidad]]/ARTICULOS_DOBLECOLA[[#This Row],[Bulto]],1)</f>
        <v>0</v>
      </c>
      <c r="AC9" s="80">
        <f>ARTICULOS_DOBLECOLA[[#This Row],[Costo]]*ARTICULOS_DOBLECOLA[[#This Row],[Bulto]]*ARTICULOS_DOBLECOLA[[#This Row],[Pedido Bultos]]</f>
        <v>0</v>
      </c>
      <c r="AI9" s="2" t="str">
        <f>IF(AND(ARTICULOS_OSLE[[#This Row],[FechaVenc]]=0,ARTICULOS_OSLE[[#This Row],[DiasVenc]]=0),"",ARTICULOS_OSLE[[#This Row],[FechaVenc]]-ARTICULOS_OSLE[[#This Row],[DiasVenc]])</f>
        <v/>
      </c>
      <c r="AP9" t="s">
        <v>8689</v>
      </c>
    </row>
    <row r="10" spans="1:44" ht="15.75" x14ac:dyDescent="0.25">
      <c r="A10" s="1" t="s">
        <v>11273</v>
      </c>
      <c r="C10" t="str">
        <f t="shared" si="0"/>
        <v>BEB13000791</v>
      </c>
      <c r="D10" t="s">
        <v>8689</v>
      </c>
      <c r="E10" s="1" t="s">
        <v>11274</v>
      </c>
      <c r="F10" s="61">
        <v>1153.8399999999999</v>
      </c>
      <c r="G10" s="129">
        <v>0</v>
      </c>
      <c r="H10" s="4" t="s">
        <v>8690</v>
      </c>
      <c r="I10">
        <v>6</v>
      </c>
      <c r="J10">
        <v>1</v>
      </c>
      <c r="K10">
        <v>0</v>
      </c>
      <c r="L10" s="17">
        <f>((ARTICULOS_DOBLECOLA[[#This Row],[P. Compra]]*(1+ARTICULOS_DOBLECOLA[[#This Row],[IVA]]))/ARTICULOS_DOBLECOLA[[#This Row],[UnidFact]])+ARTICULOS_DOBLECOLA[[#This Row],[CostoFlete]]</f>
        <v>1153.8399999999999</v>
      </c>
      <c r="M10">
        <v>35</v>
      </c>
      <c r="N10" s="63">
        <f t="shared" si="1"/>
        <v>1800</v>
      </c>
      <c r="O10" s="3">
        <f>MROUND((ARTICULOS_DOBLECOLA[[#This Row],[Precio]]/0.6),10)</f>
        <v>3000</v>
      </c>
      <c r="P10" t="s">
        <v>14</v>
      </c>
      <c r="Q10" t="s">
        <v>10</v>
      </c>
      <c r="R10" t="s">
        <v>62</v>
      </c>
      <c r="S10" t="s">
        <v>14</v>
      </c>
      <c r="T10" t="s">
        <v>8692</v>
      </c>
      <c r="U10">
        <v>1</v>
      </c>
      <c r="V10" t="s">
        <v>8693</v>
      </c>
      <c r="W10">
        <v>6</v>
      </c>
      <c r="X10" s="3">
        <f>ARTICULOS_DOBLECOLA[[#This Row],[Bulto]]*2</f>
        <v>12</v>
      </c>
      <c r="Y10">
        <v>16</v>
      </c>
      <c r="Z10"/>
      <c r="AA10">
        <f>IF(ARTICULOS_DOBLECOLA[[#This Row],[Stock]]&lt;ARTICULOS_DOBLECOLA[[#This Row],[Minimo]],ARTICULOS_DOBLECOLA[[#This Row],[Maximo]]-ARTICULOS_DOBLECOLA[[#This Row],[Stock]],0)</f>
        <v>0</v>
      </c>
      <c r="AB10">
        <f>MROUND(ARTICULOS_DOBLECOLA[[#This Row],[Pedido Unidad]]/ARTICULOS_DOBLECOLA[[#This Row],[Bulto]],1)</f>
        <v>0</v>
      </c>
      <c r="AC10" s="80">
        <f>ARTICULOS_DOBLECOLA[[#This Row],[Costo]]*ARTICULOS_DOBLECOLA[[#This Row],[Bulto]]*ARTICULOS_DOBLECOLA[[#This Row],[Pedido Bultos]]</f>
        <v>0</v>
      </c>
      <c r="AI10" s="2" t="str">
        <f>IF(AND(ARTICULOS_OSLE[[#This Row],[FechaVenc]]=0,ARTICULOS_OSLE[[#This Row],[DiasVenc]]=0),"",ARTICULOS_OSLE[[#This Row],[FechaVenc]]-ARTICULOS_OSLE[[#This Row],[DiasVenc]])</f>
        <v/>
      </c>
      <c r="AP10" t="s">
        <v>8689</v>
      </c>
    </row>
    <row r="11" spans="1:44" ht="15.75" x14ac:dyDescent="0.25">
      <c r="A11" s="1" t="s">
        <v>11275</v>
      </c>
      <c r="C11" t="str">
        <f t="shared" si="0"/>
        <v>BEB13005321</v>
      </c>
      <c r="D11" t="s">
        <v>8689</v>
      </c>
      <c r="E11" s="1" t="s">
        <v>11276</v>
      </c>
      <c r="F11" s="61">
        <v>464.28</v>
      </c>
      <c r="G11" s="129">
        <v>0</v>
      </c>
      <c r="H11" s="4" t="s">
        <v>8690</v>
      </c>
      <c r="I11">
        <v>6</v>
      </c>
      <c r="J11">
        <v>1</v>
      </c>
      <c r="K11">
        <v>0</v>
      </c>
      <c r="L11" s="17">
        <f>((ARTICULOS_DOBLECOLA[[#This Row],[P. Compra]]*(1+ARTICULOS_DOBLECOLA[[#This Row],[IVA]]))/ARTICULOS_DOBLECOLA[[#This Row],[UnidFact]])+ARTICULOS_DOBLECOLA[[#This Row],[CostoFlete]]</f>
        <v>464.28</v>
      </c>
      <c r="M11">
        <v>35</v>
      </c>
      <c r="N11" s="63">
        <f t="shared" si="1"/>
        <v>700</v>
      </c>
      <c r="O11" s="3">
        <f>MROUND((ARTICULOS_DOBLECOLA[[#This Row],[Precio]]/0.6),10)</f>
        <v>1170</v>
      </c>
      <c r="P11" t="s">
        <v>14</v>
      </c>
      <c r="Q11" t="s">
        <v>10</v>
      </c>
      <c r="R11" t="s">
        <v>62</v>
      </c>
      <c r="S11" t="s">
        <v>14</v>
      </c>
      <c r="T11" t="s">
        <v>8692</v>
      </c>
      <c r="U11">
        <v>1</v>
      </c>
      <c r="V11" t="s">
        <v>8693</v>
      </c>
      <c r="W11">
        <v>12</v>
      </c>
      <c r="X11" s="3">
        <f>ARTICULOS_DOBLECOLA[[#This Row],[Bulto]]*4</f>
        <v>24</v>
      </c>
      <c r="Y11">
        <v>23</v>
      </c>
      <c r="Z11"/>
      <c r="AA11">
        <f>IF(ARTICULOS_DOBLECOLA[[#This Row],[Stock]]&lt;ARTICULOS_DOBLECOLA[[#This Row],[Minimo]],ARTICULOS_DOBLECOLA[[#This Row],[Maximo]]-ARTICULOS_DOBLECOLA[[#This Row],[Stock]],0)</f>
        <v>0</v>
      </c>
      <c r="AB11">
        <f>MROUND(ARTICULOS_DOBLECOLA[[#This Row],[Pedido Unidad]]/ARTICULOS_DOBLECOLA[[#This Row],[Bulto]],1)</f>
        <v>0</v>
      </c>
      <c r="AC11" s="80">
        <f>ARTICULOS_DOBLECOLA[[#This Row],[Costo]]*ARTICULOS_DOBLECOLA[[#This Row],[Bulto]]*ARTICULOS_DOBLECOLA[[#This Row],[Pedido Bultos]]</f>
        <v>0</v>
      </c>
      <c r="AI11" s="2" t="str">
        <f>IF(AND(ARTICULOS_OSLE[[#This Row],[FechaVenc]]=0,ARTICULOS_OSLE[[#This Row],[DiasVenc]]=0),"",ARTICULOS_OSLE[[#This Row],[FechaVenc]]-ARTICULOS_OSLE[[#This Row],[DiasVenc]])</f>
        <v/>
      </c>
      <c r="AP11" t="s">
        <v>8689</v>
      </c>
    </row>
    <row r="12" spans="1:44" ht="15.75" x14ac:dyDescent="0.25">
      <c r="A12" s="1" t="s">
        <v>11277</v>
      </c>
      <c r="C12" t="str">
        <f t="shared" si="0"/>
        <v>BEB13005307</v>
      </c>
      <c r="D12" t="s">
        <v>8689</v>
      </c>
      <c r="E12" s="1" t="s">
        <v>11278</v>
      </c>
      <c r="F12" s="61">
        <f>F11</f>
        <v>464.28</v>
      </c>
      <c r="G12" s="129">
        <v>0</v>
      </c>
      <c r="H12" s="4" t="s">
        <v>8690</v>
      </c>
      <c r="I12">
        <v>6</v>
      </c>
      <c r="J12">
        <v>1</v>
      </c>
      <c r="K12">
        <v>0</v>
      </c>
      <c r="L12" s="17">
        <f>((ARTICULOS_DOBLECOLA[[#This Row],[P. Compra]]*(1+ARTICULOS_DOBLECOLA[[#This Row],[IVA]]))/ARTICULOS_DOBLECOLA[[#This Row],[UnidFact]])+ARTICULOS_DOBLECOLA[[#This Row],[CostoFlete]]</f>
        <v>464.28</v>
      </c>
      <c r="M12">
        <v>35</v>
      </c>
      <c r="N12" s="63">
        <f t="shared" si="1"/>
        <v>700</v>
      </c>
      <c r="O12" s="3">
        <f>MROUND((ARTICULOS_DOBLECOLA[[#This Row],[Precio]]/0.6),10)</f>
        <v>1170</v>
      </c>
      <c r="P12" t="s">
        <v>14</v>
      </c>
      <c r="Q12" t="s">
        <v>10</v>
      </c>
      <c r="R12" t="s">
        <v>62</v>
      </c>
      <c r="S12" t="s">
        <v>14</v>
      </c>
      <c r="T12" t="s">
        <v>8692</v>
      </c>
      <c r="U12">
        <v>1</v>
      </c>
      <c r="V12" t="s">
        <v>8693</v>
      </c>
      <c r="W12">
        <v>12</v>
      </c>
      <c r="X12" s="3">
        <f>ARTICULOS_DOBLECOLA[[#This Row],[Bulto]]*4</f>
        <v>24</v>
      </c>
      <c r="Y12">
        <v>29</v>
      </c>
      <c r="Z12"/>
      <c r="AA12">
        <f>IF(ARTICULOS_DOBLECOLA[[#This Row],[Stock]]&lt;ARTICULOS_DOBLECOLA[[#This Row],[Minimo]],ARTICULOS_DOBLECOLA[[#This Row],[Maximo]]-ARTICULOS_DOBLECOLA[[#This Row],[Stock]],0)</f>
        <v>0</v>
      </c>
      <c r="AB12">
        <f>MROUND(ARTICULOS_DOBLECOLA[[#This Row],[Pedido Unidad]]/ARTICULOS_DOBLECOLA[[#This Row],[Bulto]],1)</f>
        <v>0</v>
      </c>
      <c r="AC12" s="80">
        <f>ARTICULOS_DOBLECOLA[[#This Row],[Costo]]*ARTICULOS_DOBLECOLA[[#This Row],[Bulto]]*ARTICULOS_DOBLECOLA[[#This Row],[Pedido Bultos]]</f>
        <v>0</v>
      </c>
      <c r="AI12" s="2" t="str">
        <f>IF(AND(ARTICULOS_OSLE[[#This Row],[FechaVenc]]=0,ARTICULOS_OSLE[[#This Row],[DiasVenc]]=0),"",ARTICULOS_OSLE[[#This Row],[FechaVenc]]-ARTICULOS_OSLE[[#This Row],[DiasVenc]])</f>
        <v/>
      </c>
      <c r="AP12" t="s">
        <v>8689</v>
      </c>
    </row>
    <row r="13" spans="1:44" ht="15.75" x14ac:dyDescent="0.25">
      <c r="A13" s="1" t="s">
        <v>11279</v>
      </c>
      <c r="C13" t="str">
        <f t="shared" si="0"/>
        <v>BEB13001477</v>
      </c>
      <c r="D13" t="s">
        <v>8689</v>
      </c>
      <c r="E13" s="24" t="s">
        <v>11280</v>
      </c>
      <c r="F13" s="61">
        <f t="shared" ref="F13:F15" si="3">F12</f>
        <v>464.28</v>
      </c>
      <c r="G13" s="129">
        <v>0</v>
      </c>
      <c r="H13" s="4" t="s">
        <v>8690</v>
      </c>
      <c r="I13">
        <v>6</v>
      </c>
      <c r="J13">
        <v>1</v>
      </c>
      <c r="K13">
        <v>0</v>
      </c>
      <c r="L13" s="17">
        <f>((ARTICULOS_DOBLECOLA[[#This Row],[P. Compra]]*(1+ARTICULOS_DOBLECOLA[[#This Row],[IVA]]))/ARTICULOS_DOBLECOLA[[#This Row],[UnidFact]])+ARTICULOS_DOBLECOLA[[#This Row],[CostoFlete]]</f>
        <v>464.28</v>
      </c>
      <c r="M13">
        <v>35</v>
      </c>
      <c r="N13" s="63">
        <f t="shared" si="1"/>
        <v>700</v>
      </c>
      <c r="O13" s="3">
        <f>MROUND((ARTICULOS_DOBLECOLA[[#This Row],[Precio]]/0.6),10)</f>
        <v>1170</v>
      </c>
      <c r="P13" t="s">
        <v>14</v>
      </c>
      <c r="Q13" t="s">
        <v>10</v>
      </c>
      <c r="R13" t="s">
        <v>62</v>
      </c>
      <c r="S13" t="s">
        <v>14</v>
      </c>
      <c r="T13" t="s">
        <v>8692</v>
      </c>
      <c r="U13">
        <v>1</v>
      </c>
      <c r="V13" t="s">
        <v>8693</v>
      </c>
      <c r="W13">
        <v>12</v>
      </c>
      <c r="X13" s="3">
        <f>ARTICULOS_DOBLECOLA[[#This Row],[Bulto]]*4</f>
        <v>24</v>
      </c>
      <c r="Y13">
        <v>23</v>
      </c>
      <c r="Z13"/>
      <c r="AA13">
        <f>IF(ARTICULOS_DOBLECOLA[[#This Row],[Stock]]&lt;ARTICULOS_DOBLECOLA[[#This Row],[Minimo]],ARTICULOS_DOBLECOLA[[#This Row],[Maximo]]-ARTICULOS_DOBLECOLA[[#This Row],[Stock]],0)</f>
        <v>0</v>
      </c>
      <c r="AB13">
        <f>MROUND(ARTICULOS_DOBLECOLA[[#This Row],[Pedido Unidad]]/ARTICULOS_DOBLECOLA[[#This Row],[Bulto]],1)</f>
        <v>0</v>
      </c>
      <c r="AC13" s="80">
        <f>ARTICULOS_DOBLECOLA[[#This Row],[Costo]]*ARTICULOS_DOBLECOLA[[#This Row],[Bulto]]*ARTICULOS_DOBLECOLA[[#This Row],[Pedido Bultos]]</f>
        <v>0</v>
      </c>
      <c r="AI13" s="2" t="str">
        <f>IF(AND(ARTICULOS_OSLE[[#This Row],[FechaVenc]]=0,ARTICULOS_OSLE[[#This Row],[DiasVenc]]=0),"",ARTICULOS_OSLE[[#This Row],[FechaVenc]]-ARTICULOS_OSLE[[#This Row],[DiasVenc]])</f>
        <v/>
      </c>
      <c r="AP13" t="s">
        <v>8689</v>
      </c>
    </row>
    <row r="14" spans="1:44" ht="15.75" x14ac:dyDescent="0.25">
      <c r="A14" s="1" t="s">
        <v>11281</v>
      </c>
      <c r="C14" t="str">
        <f t="shared" si="0"/>
        <v>BEB13005291</v>
      </c>
      <c r="D14" t="s">
        <v>8689</v>
      </c>
      <c r="E14" s="1" t="s">
        <v>11282</v>
      </c>
      <c r="F14" s="61">
        <f t="shared" si="3"/>
        <v>464.28</v>
      </c>
      <c r="G14" s="129">
        <v>0</v>
      </c>
      <c r="H14" s="4" t="s">
        <v>8690</v>
      </c>
      <c r="I14">
        <v>6</v>
      </c>
      <c r="J14">
        <v>1</v>
      </c>
      <c r="K14">
        <v>0</v>
      </c>
      <c r="L14" s="17">
        <f>((ARTICULOS_DOBLECOLA[[#This Row],[P. Compra]]*(1+ARTICULOS_DOBLECOLA[[#This Row],[IVA]]))/ARTICULOS_DOBLECOLA[[#This Row],[UnidFact]])+ARTICULOS_DOBLECOLA[[#This Row],[CostoFlete]]</f>
        <v>464.28</v>
      </c>
      <c r="M14">
        <v>35</v>
      </c>
      <c r="N14" s="63">
        <f t="shared" si="1"/>
        <v>700</v>
      </c>
      <c r="O14" s="3">
        <f>MROUND((ARTICULOS_DOBLECOLA[[#This Row],[Precio]]/0.6),10)</f>
        <v>1170</v>
      </c>
      <c r="P14" t="s">
        <v>14</v>
      </c>
      <c r="Q14" t="s">
        <v>10</v>
      </c>
      <c r="R14" t="s">
        <v>62</v>
      </c>
      <c r="S14" t="s">
        <v>14</v>
      </c>
      <c r="T14" t="s">
        <v>8692</v>
      </c>
      <c r="U14">
        <v>1</v>
      </c>
      <c r="V14" t="s">
        <v>8693</v>
      </c>
      <c r="W14">
        <v>12</v>
      </c>
      <c r="X14" s="3">
        <f>ARTICULOS_DOBLECOLA[[#This Row],[Bulto]]*4</f>
        <v>24</v>
      </c>
      <c r="Y14">
        <v>20</v>
      </c>
      <c r="Z14"/>
      <c r="AA14">
        <f>IF(ARTICULOS_DOBLECOLA[[#This Row],[Stock]]&lt;ARTICULOS_DOBLECOLA[[#This Row],[Minimo]],ARTICULOS_DOBLECOLA[[#This Row],[Maximo]]-ARTICULOS_DOBLECOLA[[#This Row],[Stock]],0)</f>
        <v>0</v>
      </c>
      <c r="AB14">
        <f>MROUND(ARTICULOS_DOBLECOLA[[#This Row],[Pedido Unidad]]/ARTICULOS_DOBLECOLA[[#This Row],[Bulto]],1)</f>
        <v>0</v>
      </c>
      <c r="AC14" s="80">
        <f>ARTICULOS_DOBLECOLA[[#This Row],[Costo]]*ARTICULOS_DOBLECOLA[[#This Row],[Bulto]]*ARTICULOS_DOBLECOLA[[#This Row],[Pedido Bultos]]</f>
        <v>0</v>
      </c>
      <c r="AI14" s="2" t="str">
        <f>IF(AND(ARTICULOS_OSLE[[#This Row],[FechaVenc]]=0,ARTICULOS_OSLE[[#This Row],[DiasVenc]]=0),"",ARTICULOS_OSLE[[#This Row],[FechaVenc]]-ARTICULOS_OSLE[[#This Row],[DiasVenc]])</f>
        <v/>
      </c>
      <c r="AP14" t="s">
        <v>8689</v>
      </c>
    </row>
    <row r="15" spans="1:44" ht="15.75" x14ac:dyDescent="0.25">
      <c r="A15" s="1" t="s">
        <v>11283</v>
      </c>
      <c r="C15" t="str">
        <f t="shared" si="0"/>
        <v>BEB13005468</v>
      </c>
      <c r="D15" t="s">
        <v>8689</v>
      </c>
      <c r="E15" s="1" t="s">
        <v>11284</v>
      </c>
      <c r="F15" s="61">
        <f t="shared" si="3"/>
        <v>464.28</v>
      </c>
      <c r="G15" s="129">
        <v>0</v>
      </c>
      <c r="H15" s="4" t="s">
        <v>8690</v>
      </c>
      <c r="I15">
        <v>6</v>
      </c>
      <c r="J15">
        <v>1</v>
      </c>
      <c r="K15">
        <v>0</v>
      </c>
      <c r="L15" s="17">
        <f>((ARTICULOS_DOBLECOLA[[#This Row],[P. Compra]]*(1+ARTICULOS_DOBLECOLA[[#This Row],[IVA]]))/ARTICULOS_DOBLECOLA[[#This Row],[UnidFact]])+ARTICULOS_DOBLECOLA[[#This Row],[CostoFlete]]</f>
        <v>464.28</v>
      </c>
      <c r="M15">
        <v>35</v>
      </c>
      <c r="N15" s="63">
        <f t="shared" si="1"/>
        <v>700</v>
      </c>
      <c r="O15" s="3">
        <f>MROUND((ARTICULOS_DOBLECOLA[[#This Row],[Precio]]/0.6),10)</f>
        <v>1170</v>
      </c>
      <c r="P15" t="s">
        <v>14</v>
      </c>
      <c r="Q15" t="s">
        <v>10</v>
      </c>
      <c r="R15" t="s">
        <v>62</v>
      </c>
      <c r="S15" t="s">
        <v>14</v>
      </c>
      <c r="T15" t="s">
        <v>8692</v>
      </c>
      <c r="U15">
        <v>1</v>
      </c>
      <c r="V15" t="s">
        <v>8693</v>
      </c>
      <c r="W15">
        <v>12</v>
      </c>
      <c r="X15" s="3">
        <f>ARTICULOS_DOBLECOLA[[#This Row],[Bulto]]*4</f>
        <v>24</v>
      </c>
      <c r="Y15">
        <v>28</v>
      </c>
      <c r="Z15"/>
      <c r="AA15">
        <f>IF(ARTICULOS_DOBLECOLA[[#This Row],[Stock]]&lt;ARTICULOS_DOBLECOLA[[#This Row],[Minimo]],ARTICULOS_DOBLECOLA[[#This Row],[Maximo]]-ARTICULOS_DOBLECOLA[[#This Row],[Stock]],0)</f>
        <v>0</v>
      </c>
      <c r="AB15">
        <f>MROUND(ARTICULOS_DOBLECOLA[[#This Row],[Pedido Unidad]]/ARTICULOS_DOBLECOLA[[#This Row],[Bulto]],1)</f>
        <v>0</v>
      </c>
      <c r="AC15" s="80">
        <f>ARTICULOS_DOBLECOLA[[#This Row],[Costo]]*ARTICULOS_DOBLECOLA[[#This Row],[Bulto]]*ARTICULOS_DOBLECOLA[[#This Row],[Pedido Bultos]]</f>
        <v>0</v>
      </c>
      <c r="AI15" s="2" t="str">
        <f>IF(AND(ARTICULOS_OSLE[[#This Row],[FechaVenc]]=0,ARTICULOS_OSLE[[#This Row],[DiasVenc]]=0),"",ARTICULOS_OSLE[[#This Row],[FechaVenc]]-ARTICULOS_OSLE[[#This Row],[DiasVenc]])</f>
        <v/>
      </c>
      <c r="AP15" t="s">
        <v>8689</v>
      </c>
    </row>
    <row r="16" spans="1:44" ht="15.75" x14ac:dyDescent="0.25">
      <c r="C16"/>
      <c r="F16" s="98"/>
      <c r="G16" s="131"/>
      <c r="H16" s="8"/>
      <c r="I16" s="8"/>
      <c r="L16" s="18"/>
      <c r="M16" s="8"/>
      <c r="N16" s="108"/>
      <c r="O16" s="8"/>
      <c r="S16" s="7"/>
      <c r="T16" s="7"/>
      <c r="V16" s="7"/>
      <c r="W16" s="7"/>
      <c r="X16" s="7"/>
      <c r="Y16" s="9"/>
      <c r="Z16" s="7"/>
      <c r="AA16" s="40"/>
      <c r="AB16" s="105"/>
      <c r="AC16" s="80">
        <f>SUBTOTAL(109,ARTICULOS_DOBLECOLA[Total Pedido])</f>
        <v>5538.42</v>
      </c>
      <c r="AI16" s="2"/>
    </row>
  </sheetData>
  <conditionalFormatting sqref="A1">
    <cfRule type="duplicateValues" dxfId="162" priority="4"/>
  </conditionalFormatting>
  <conditionalFormatting sqref="A2:C1048576">
    <cfRule type="duplicateValues" dxfId="161" priority="484"/>
    <cfRule type="duplicateValues" dxfId="160" priority="485"/>
  </conditionalFormatting>
  <conditionalFormatting sqref="C1">
    <cfRule type="duplicateValues" dxfId="159" priority="3"/>
  </conditionalFormatting>
  <conditionalFormatting sqref="L1:L15">
    <cfRule type="cellIs" dxfId="158" priority="1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E65BD92-3570-4770-8468-D61B2CD8FF67}">
          <x14:formula1>
            <xm:f>LISTAS!$A:$A</xm:f>
          </x14:formula1>
          <xm:sqref>P1:P15</xm:sqref>
        </x14:dataValidation>
        <x14:dataValidation type="list" allowBlank="1" showInputMessage="1" showErrorMessage="1" xr:uid="{E9EF8F7E-5A8D-4743-8AA6-39BEB2526C4F}">
          <x14:formula1>
            <xm:f>LISTAS!$E:$E</xm:f>
          </x14:formula1>
          <xm:sqref>R1:R15</xm:sqref>
        </x14:dataValidation>
        <x14:dataValidation type="list" allowBlank="1" showInputMessage="1" showErrorMessage="1" xr:uid="{EEF94966-3876-4BE7-A82D-2E388DA11B42}">
          <x14:formula1>
            <xm:f>LISTAS!$C:$C</xm:f>
          </x14:formula1>
          <xm:sqref>Q2:Q15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2BC1-2193-4ADE-B1A6-A4FCAF1E6822}">
  <dimension ref="A1:AQ169"/>
  <sheetViews>
    <sheetView topLeftCell="A39" workbookViewId="0">
      <pane xSplit="5" topLeftCell="F1" activePane="topRight" state="frozen"/>
      <selection activeCell="AD34" sqref="AD34"/>
      <selection pane="topRight" activeCell="F66" sqref="F66"/>
    </sheetView>
  </sheetViews>
  <sheetFormatPr baseColWidth="10" defaultColWidth="11.42578125" defaultRowHeight="15.75" x14ac:dyDescent="0.25"/>
  <cols>
    <col min="1" max="1" width="14.28515625" style="1" customWidth="1"/>
    <col min="2" max="2" width="3.140625" style="1" customWidth="1"/>
    <col min="3" max="3" width="4" style="1" customWidth="1"/>
    <col min="4" max="4" width="7.42578125" customWidth="1"/>
    <col min="5" max="5" width="38.5703125" style="1" customWidth="1"/>
    <col min="6" max="6" width="13.85546875" style="69" bestFit="1" customWidth="1"/>
    <col min="7" max="7" width="8.85546875" bestFit="1" customWidth="1"/>
    <col min="8" max="8" width="5.140625" bestFit="1" customWidth="1"/>
    <col min="10" max="10" width="10.140625" bestFit="1" customWidth="1"/>
    <col min="11" max="11" width="10.7109375" bestFit="1" customWidth="1"/>
    <col min="12" max="12" width="10.140625" style="9" bestFit="1" customWidth="1"/>
    <col min="16" max="16" width="8.85546875" bestFit="1" customWidth="1"/>
    <col min="25" max="25" width="6.28515625" style="7" customWidth="1"/>
    <col min="26" max="26" width="10.7109375" style="7" bestFit="1" customWidth="1"/>
    <col min="27" max="27" width="6.28515625" customWidth="1"/>
    <col min="28" max="28" width="8.85546875" bestFit="1" customWidth="1"/>
    <col min="29" max="29" width="13.7109375" bestFit="1" customWidth="1"/>
    <col min="30" max="30" width="11.28515625" style="7" bestFit="1" customWidth="1"/>
    <col min="33" max="33" width="13.7109375" customWidth="1"/>
    <col min="34" max="34" width="9.28515625" style="7" customWidth="1"/>
    <col min="35" max="35" width="8.140625" customWidth="1"/>
    <col min="36" max="36" width="10" bestFit="1" customWidth="1"/>
    <col min="37" max="37" width="11.5703125" style="7" customWidth="1"/>
    <col min="38" max="38" width="20" customWidth="1"/>
    <col min="39" max="39" width="13.42578125" style="2" bestFit="1" customWidth="1"/>
    <col min="40" max="40" width="11.5703125" customWidth="1"/>
    <col min="41" max="41" width="16.7109375" customWidth="1"/>
    <col min="42" max="42" width="8.85546875" bestFit="1" customWidth="1"/>
    <col min="43" max="43" width="14.28515625" customWidth="1"/>
    <col min="44" max="45" width="13.7109375" customWidth="1"/>
    <col min="48" max="48" width="12.42578125" customWidth="1"/>
    <col min="49" max="49" width="19.42578125" bestFit="1" customWidth="1"/>
    <col min="50" max="50" width="21.42578125" bestFit="1" customWidth="1"/>
    <col min="51" max="51" width="10.7109375" customWidth="1"/>
    <col min="52" max="52" width="12.85546875" customWidth="1"/>
    <col min="53" max="53" width="15.42578125" bestFit="1" customWidth="1"/>
    <col min="247" max="247" width="15" bestFit="1" customWidth="1"/>
    <col min="248" max="248" width="68.28515625" bestFit="1" customWidth="1"/>
    <col min="249" max="249" width="9.140625" bestFit="1" customWidth="1"/>
    <col min="250" max="250" width="21.42578125" bestFit="1" customWidth="1"/>
    <col min="251" max="253" width="15.42578125" bestFit="1" customWidth="1"/>
    <col min="254" max="254" width="8.85546875" bestFit="1" customWidth="1"/>
    <col min="255" max="255" width="10" bestFit="1" customWidth="1"/>
    <col min="256" max="256" width="12.7109375" bestFit="1" customWidth="1"/>
    <col min="257" max="257" width="8.85546875" bestFit="1" customWidth="1"/>
    <col min="258" max="258" width="17.7109375" bestFit="1" customWidth="1"/>
    <col min="259" max="259" width="13" bestFit="1" customWidth="1"/>
    <col min="260" max="260" width="13.42578125" bestFit="1" customWidth="1"/>
    <col min="261" max="261" width="10.85546875" bestFit="1" customWidth="1"/>
    <col min="262" max="262" width="26.85546875" bestFit="1" customWidth="1"/>
    <col min="263" max="263" width="20.85546875" bestFit="1" customWidth="1"/>
    <col min="264" max="264" width="30.42578125" bestFit="1" customWidth="1"/>
    <col min="265" max="265" width="19.42578125" bestFit="1" customWidth="1"/>
    <col min="266" max="266" width="20.28515625" bestFit="1" customWidth="1"/>
    <col min="267" max="268" width="12" bestFit="1" customWidth="1"/>
    <col min="269" max="270" width="12.5703125" bestFit="1" customWidth="1"/>
    <col min="271" max="271" width="11.7109375" bestFit="1" customWidth="1"/>
    <col min="272" max="272" width="19" bestFit="1" customWidth="1"/>
    <col min="273" max="273" width="12.140625" bestFit="1" customWidth="1"/>
    <col min="503" max="503" width="15" bestFit="1" customWidth="1"/>
    <col min="504" max="504" width="68.28515625" bestFit="1" customWidth="1"/>
    <col min="505" max="505" width="9.140625" bestFit="1" customWidth="1"/>
    <col min="506" max="506" width="21.42578125" bestFit="1" customWidth="1"/>
    <col min="507" max="509" width="15.42578125" bestFit="1" customWidth="1"/>
    <col min="510" max="510" width="8.85546875" bestFit="1" customWidth="1"/>
    <col min="511" max="511" width="10" bestFit="1" customWidth="1"/>
    <col min="512" max="512" width="12.7109375" bestFit="1" customWidth="1"/>
    <col min="513" max="513" width="8.85546875" bestFit="1" customWidth="1"/>
    <col min="514" max="514" width="17.7109375" bestFit="1" customWidth="1"/>
    <col min="515" max="515" width="13" bestFit="1" customWidth="1"/>
    <col min="516" max="516" width="13.42578125" bestFit="1" customWidth="1"/>
    <col min="517" max="517" width="10.85546875" bestFit="1" customWidth="1"/>
    <col min="518" max="518" width="26.85546875" bestFit="1" customWidth="1"/>
    <col min="519" max="519" width="20.85546875" bestFit="1" customWidth="1"/>
    <col min="520" max="520" width="30.42578125" bestFit="1" customWidth="1"/>
    <col min="521" max="521" width="19.42578125" bestFit="1" customWidth="1"/>
    <col min="522" max="522" width="20.28515625" bestFit="1" customWidth="1"/>
    <col min="523" max="524" width="12" bestFit="1" customWidth="1"/>
    <col min="525" max="526" width="12.5703125" bestFit="1" customWidth="1"/>
    <col min="527" max="527" width="11.7109375" bestFit="1" customWidth="1"/>
    <col min="528" max="528" width="19" bestFit="1" customWidth="1"/>
    <col min="529" max="529" width="12.140625" bestFit="1" customWidth="1"/>
    <col min="759" max="759" width="15" bestFit="1" customWidth="1"/>
    <col min="760" max="760" width="68.28515625" bestFit="1" customWidth="1"/>
    <col min="761" max="761" width="9.140625" bestFit="1" customWidth="1"/>
    <col min="762" max="762" width="21.42578125" bestFit="1" customWidth="1"/>
    <col min="763" max="765" width="15.42578125" bestFit="1" customWidth="1"/>
    <col min="766" max="766" width="8.85546875" bestFit="1" customWidth="1"/>
    <col min="767" max="767" width="10" bestFit="1" customWidth="1"/>
    <col min="768" max="768" width="12.7109375" bestFit="1" customWidth="1"/>
    <col min="769" max="769" width="8.85546875" bestFit="1" customWidth="1"/>
    <col min="770" max="770" width="17.7109375" bestFit="1" customWidth="1"/>
    <col min="771" max="771" width="13" bestFit="1" customWidth="1"/>
    <col min="772" max="772" width="13.42578125" bestFit="1" customWidth="1"/>
    <col min="773" max="773" width="10.85546875" bestFit="1" customWidth="1"/>
    <col min="774" max="774" width="26.85546875" bestFit="1" customWidth="1"/>
    <col min="775" max="775" width="20.85546875" bestFit="1" customWidth="1"/>
    <col min="776" max="776" width="30.42578125" bestFit="1" customWidth="1"/>
    <col min="777" max="777" width="19.42578125" bestFit="1" customWidth="1"/>
    <col min="778" max="778" width="20.28515625" bestFit="1" customWidth="1"/>
    <col min="779" max="780" width="12" bestFit="1" customWidth="1"/>
    <col min="781" max="782" width="12.5703125" bestFit="1" customWidth="1"/>
    <col min="783" max="783" width="11.7109375" bestFit="1" customWidth="1"/>
    <col min="784" max="784" width="19" bestFit="1" customWidth="1"/>
    <col min="785" max="785" width="12.140625" bestFit="1" customWidth="1"/>
    <col min="1015" max="1015" width="15" bestFit="1" customWidth="1"/>
    <col min="1016" max="1016" width="68.28515625" bestFit="1" customWidth="1"/>
    <col min="1017" max="1017" width="9.140625" bestFit="1" customWidth="1"/>
    <col min="1018" max="1018" width="21.42578125" bestFit="1" customWidth="1"/>
    <col min="1019" max="1021" width="15.42578125" bestFit="1" customWidth="1"/>
    <col min="1022" max="1022" width="8.85546875" bestFit="1" customWidth="1"/>
    <col min="1023" max="1023" width="10" bestFit="1" customWidth="1"/>
    <col min="1024" max="1024" width="12.7109375" bestFit="1" customWidth="1"/>
    <col min="1025" max="1025" width="8.85546875" bestFit="1" customWidth="1"/>
    <col min="1026" max="1026" width="17.7109375" bestFit="1" customWidth="1"/>
    <col min="1027" max="1027" width="13" bestFit="1" customWidth="1"/>
    <col min="1028" max="1028" width="13.42578125" bestFit="1" customWidth="1"/>
    <col min="1029" max="1029" width="10.85546875" bestFit="1" customWidth="1"/>
    <col min="1030" max="1030" width="26.85546875" bestFit="1" customWidth="1"/>
    <col min="1031" max="1031" width="20.85546875" bestFit="1" customWidth="1"/>
    <col min="1032" max="1032" width="30.42578125" bestFit="1" customWidth="1"/>
    <col min="1033" max="1033" width="19.42578125" bestFit="1" customWidth="1"/>
    <col min="1034" max="1034" width="20.28515625" bestFit="1" customWidth="1"/>
    <col min="1035" max="1036" width="12" bestFit="1" customWidth="1"/>
    <col min="1037" max="1038" width="12.5703125" bestFit="1" customWidth="1"/>
    <col min="1039" max="1039" width="11.7109375" bestFit="1" customWidth="1"/>
    <col min="1040" max="1040" width="19" bestFit="1" customWidth="1"/>
    <col min="1041" max="1041" width="12.140625" bestFit="1" customWidth="1"/>
    <col min="1271" max="1271" width="15" bestFit="1" customWidth="1"/>
    <col min="1272" max="1272" width="68.28515625" bestFit="1" customWidth="1"/>
    <col min="1273" max="1273" width="9.140625" bestFit="1" customWidth="1"/>
    <col min="1274" max="1274" width="21.42578125" bestFit="1" customWidth="1"/>
    <col min="1275" max="1277" width="15.42578125" bestFit="1" customWidth="1"/>
    <col min="1278" max="1278" width="8.85546875" bestFit="1" customWidth="1"/>
    <col min="1279" max="1279" width="10" bestFit="1" customWidth="1"/>
    <col min="1280" max="1280" width="12.7109375" bestFit="1" customWidth="1"/>
    <col min="1281" max="1281" width="8.85546875" bestFit="1" customWidth="1"/>
    <col min="1282" max="1282" width="17.7109375" bestFit="1" customWidth="1"/>
    <col min="1283" max="1283" width="13" bestFit="1" customWidth="1"/>
    <col min="1284" max="1284" width="13.42578125" bestFit="1" customWidth="1"/>
    <col min="1285" max="1285" width="10.85546875" bestFit="1" customWidth="1"/>
    <col min="1286" max="1286" width="26.85546875" bestFit="1" customWidth="1"/>
    <col min="1287" max="1287" width="20.85546875" bestFit="1" customWidth="1"/>
    <col min="1288" max="1288" width="30.42578125" bestFit="1" customWidth="1"/>
    <col min="1289" max="1289" width="19.42578125" bestFit="1" customWidth="1"/>
    <col min="1290" max="1290" width="20.28515625" bestFit="1" customWidth="1"/>
    <col min="1291" max="1292" width="12" bestFit="1" customWidth="1"/>
    <col min="1293" max="1294" width="12.5703125" bestFit="1" customWidth="1"/>
    <col min="1295" max="1295" width="11.7109375" bestFit="1" customWidth="1"/>
    <col min="1296" max="1296" width="19" bestFit="1" customWidth="1"/>
    <col min="1297" max="1297" width="12.140625" bestFit="1" customWidth="1"/>
    <col min="1527" max="1527" width="15" bestFit="1" customWidth="1"/>
    <col min="1528" max="1528" width="68.28515625" bestFit="1" customWidth="1"/>
    <col min="1529" max="1529" width="9.140625" bestFit="1" customWidth="1"/>
    <col min="1530" max="1530" width="21.42578125" bestFit="1" customWidth="1"/>
    <col min="1531" max="1533" width="15.42578125" bestFit="1" customWidth="1"/>
    <col min="1534" max="1534" width="8.85546875" bestFit="1" customWidth="1"/>
    <col min="1535" max="1535" width="10" bestFit="1" customWidth="1"/>
    <col min="1536" max="1536" width="12.7109375" bestFit="1" customWidth="1"/>
    <col min="1537" max="1537" width="8.85546875" bestFit="1" customWidth="1"/>
    <col min="1538" max="1538" width="17.7109375" bestFit="1" customWidth="1"/>
    <col min="1539" max="1539" width="13" bestFit="1" customWidth="1"/>
    <col min="1540" max="1540" width="13.42578125" bestFit="1" customWidth="1"/>
    <col min="1541" max="1541" width="10.85546875" bestFit="1" customWidth="1"/>
    <col min="1542" max="1542" width="26.85546875" bestFit="1" customWidth="1"/>
    <col min="1543" max="1543" width="20.85546875" bestFit="1" customWidth="1"/>
    <col min="1544" max="1544" width="30.42578125" bestFit="1" customWidth="1"/>
    <col min="1545" max="1545" width="19.42578125" bestFit="1" customWidth="1"/>
    <col min="1546" max="1546" width="20.28515625" bestFit="1" customWidth="1"/>
    <col min="1547" max="1548" width="12" bestFit="1" customWidth="1"/>
    <col min="1549" max="1550" width="12.5703125" bestFit="1" customWidth="1"/>
    <col min="1551" max="1551" width="11.7109375" bestFit="1" customWidth="1"/>
    <col min="1552" max="1552" width="19" bestFit="1" customWidth="1"/>
    <col min="1553" max="1553" width="12.140625" bestFit="1" customWidth="1"/>
    <col min="1783" max="1783" width="15" bestFit="1" customWidth="1"/>
    <col min="1784" max="1784" width="68.28515625" bestFit="1" customWidth="1"/>
    <col min="1785" max="1785" width="9.140625" bestFit="1" customWidth="1"/>
    <col min="1786" max="1786" width="21.42578125" bestFit="1" customWidth="1"/>
    <col min="1787" max="1789" width="15.42578125" bestFit="1" customWidth="1"/>
    <col min="1790" max="1790" width="8.85546875" bestFit="1" customWidth="1"/>
    <col min="1791" max="1791" width="10" bestFit="1" customWidth="1"/>
    <col min="1792" max="1792" width="12.7109375" bestFit="1" customWidth="1"/>
    <col min="1793" max="1793" width="8.85546875" bestFit="1" customWidth="1"/>
    <col min="1794" max="1794" width="17.7109375" bestFit="1" customWidth="1"/>
    <col min="1795" max="1795" width="13" bestFit="1" customWidth="1"/>
    <col min="1796" max="1796" width="13.42578125" bestFit="1" customWidth="1"/>
    <col min="1797" max="1797" width="10.85546875" bestFit="1" customWidth="1"/>
    <col min="1798" max="1798" width="26.85546875" bestFit="1" customWidth="1"/>
    <col min="1799" max="1799" width="20.85546875" bestFit="1" customWidth="1"/>
    <col min="1800" max="1800" width="30.42578125" bestFit="1" customWidth="1"/>
    <col min="1801" max="1801" width="19.42578125" bestFit="1" customWidth="1"/>
    <col min="1802" max="1802" width="20.28515625" bestFit="1" customWidth="1"/>
    <col min="1803" max="1804" width="12" bestFit="1" customWidth="1"/>
    <col min="1805" max="1806" width="12.5703125" bestFit="1" customWidth="1"/>
    <col min="1807" max="1807" width="11.7109375" bestFit="1" customWidth="1"/>
    <col min="1808" max="1808" width="19" bestFit="1" customWidth="1"/>
    <col min="1809" max="1809" width="12.140625" bestFit="1" customWidth="1"/>
    <col min="2039" max="2039" width="15" bestFit="1" customWidth="1"/>
    <col min="2040" max="2040" width="68.28515625" bestFit="1" customWidth="1"/>
    <col min="2041" max="2041" width="9.140625" bestFit="1" customWidth="1"/>
    <col min="2042" max="2042" width="21.42578125" bestFit="1" customWidth="1"/>
    <col min="2043" max="2045" width="15.42578125" bestFit="1" customWidth="1"/>
    <col min="2046" max="2046" width="8.85546875" bestFit="1" customWidth="1"/>
    <col min="2047" max="2047" width="10" bestFit="1" customWidth="1"/>
    <col min="2048" max="2048" width="12.7109375" bestFit="1" customWidth="1"/>
    <col min="2049" max="2049" width="8.85546875" bestFit="1" customWidth="1"/>
    <col min="2050" max="2050" width="17.7109375" bestFit="1" customWidth="1"/>
    <col min="2051" max="2051" width="13" bestFit="1" customWidth="1"/>
    <col min="2052" max="2052" width="13.42578125" bestFit="1" customWidth="1"/>
    <col min="2053" max="2053" width="10.85546875" bestFit="1" customWidth="1"/>
    <col min="2054" max="2054" width="26.85546875" bestFit="1" customWidth="1"/>
    <col min="2055" max="2055" width="20.85546875" bestFit="1" customWidth="1"/>
    <col min="2056" max="2056" width="30.42578125" bestFit="1" customWidth="1"/>
    <col min="2057" max="2057" width="19.42578125" bestFit="1" customWidth="1"/>
    <col min="2058" max="2058" width="20.28515625" bestFit="1" customWidth="1"/>
    <col min="2059" max="2060" width="12" bestFit="1" customWidth="1"/>
    <col min="2061" max="2062" width="12.5703125" bestFit="1" customWidth="1"/>
    <col min="2063" max="2063" width="11.7109375" bestFit="1" customWidth="1"/>
    <col min="2064" max="2064" width="19" bestFit="1" customWidth="1"/>
    <col min="2065" max="2065" width="12.140625" bestFit="1" customWidth="1"/>
    <col min="2295" max="2295" width="15" bestFit="1" customWidth="1"/>
    <col min="2296" max="2296" width="68.28515625" bestFit="1" customWidth="1"/>
    <col min="2297" max="2297" width="9.140625" bestFit="1" customWidth="1"/>
    <col min="2298" max="2298" width="21.42578125" bestFit="1" customWidth="1"/>
    <col min="2299" max="2301" width="15.42578125" bestFit="1" customWidth="1"/>
    <col min="2302" max="2302" width="8.85546875" bestFit="1" customWidth="1"/>
    <col min="2303" max="2303" width="10" bestFit="1" customWidth="1"/>
    <col min="2304" max="2304" width="12.7109375" bestFit="1" customWidth="1"/>
    <col min="2305" max="2305" width="8.85546875" bestFit="1" customWidth="1"/>
    <col min="2306" max="2306" width="17.7109375" bestFit="1" customWidth="1"/>
    <col min="2307" max="2307" width="13" bestFit="1" customWidth="1"/>
    <col min="2308" max="2308" width="13.42578125" bestFit="1" customWidth="1"/>
    <col min="2309" max="2309" width="10.85546875" bestFit="1" customWidth="1"/>
    <col min="2310" max="2310" width="26.85546875" bestFit="1" customWidth="1"/>
    <col min="2311" max="2311" width="20.85546875" bestFit="1" customWidth="1"/>
    <col min="2312" max="2312" width="30.42578125" bestFit="1" customWidth="1"/>
    <col min="2313" max="2313" width="19.42578125" bestFit="1" customWidth="1"/>
    <col min="2314" max="2314" width="20.28515625" bestFit="1" customWidth="1"/>
    <col min="2315" max="2316" width="12" bestFit="1" customWidth="1"/>
    <col min="2317" max="2318" width="12.5703125" bestFit="1" customWidth="1"/>
    <col min="2319" max="2319" width="11.7109375" bestFit="1" customWidth="1"/>
    <col min="2320" max="2320" width="19" bestFit="1" customWidth="1"/>
    <col min="2321" max="2321" width="12.140625" bestFit="1" customWidth="1"/>
    <col min="2551" max="2551" width="15" bestFit="1" customWidth="1"/>
    <col min="2552" max="2552" width="68.28515625" bestFit="1" customWidth="1"/>
    <col min="2553" max="2553" width="9.140625" bestFit="1" customWidth="1"/>
    <col min="2554" max="2554" width="21.42578125" bestFit="1" customWidth="1"/>
    <col min="2555" max="2557" width="15.42578125" bestFit="1" customWidth="1"/>
    <col min="2558" max="2558" width="8.85546875" bestFit="1" customWidth="1"/>
    <col min="2559" max="2559" width="10" bestFit="1" customWidth="1"/>
    <col min="2560" max="2560" width="12.7109375" bestFit="1" customWidth="1"/>
    <col min="2561" max="2561" width="8.85546875" bestFit="1" customWidth="1"/>
    <col min="2562" max="2562" width="17.7109375" bestFit="1" customWidth="1"/>
    <col min="2563" max="2563" width="13" bestFit="1" customWidth="1"/>
    <col min="2564" max="2564" width="13.42578125" bestFit="1" customWidth="1"/>
    <col min="2565" max="2565" width="10.85546875" bestFit="1" customWidth="1"/>
    <col min="2566" max="2566" width="26.85546875" bestFit="1" customWidth="1"/>
    <col min="2567" max="2567" width="20.85546875" bestFit="1" customWidth="1"/>
    <col min="2568" max="2568" width="30.42578125" bestFit="1" customWidth="1"/>
    <col min="2569" max="2569" width="19.42578125" bestFit="1" customWidth="1"/>
    <col min="2570" max="2570" width="20.28515625" bestFit="1" customWidth="1"/>
    <col min="2571" max="2572" width="12" bestFit="1" customWidth="1"/>
    <col min="2573" max="2574" width="12.5703125" bestFit="1" customWidth="1"/>
    <col min="2575" max="2575" width="11.7109375" bestFit="1" customWidth="1"/>
    <col min="2576" max="2576" width="19" bestFit="1" customWidth="1"/>
    <col min="2577" max="2577" width="12.140625" bestFit="1" customWidth="1"/>
    <col min="2807" max="2807" width="15" bestFit="1" customWidth="1"/>
    <col min="2808" max="2808" width="68.28515625" bestFit="1" customWidth="1"/>
    <col min="2809" max="2809" width="9.140625" bestFit="1" customWidth="1"/>
    <col min="2810" max="2810" width="21.42578125" bestFit="1" customWidth="1"/>
    <col min="2811" max="2813" width="15.42578125" bestFit="1" customWidth="1"/>
    <col min="2814" max="2814" width="8.85546875" bestFit="1" customWidth="1"/>
    <col min="2815" max="2815" width="10" bestFit="1" customWidth="1"/>
    <col min="2816" max="2816" width="12.7109375" bestFit="1" customWidth="1"/>
    <col min="2817" max="2817" width="8.85546875" bestFit="1" customWidth="1"/>
    <col min="2818" max="2818" width="17.7109375" bestFit="1" customWidth="1"/>
    <col min="2819" max="2819" width="13" bestFit="1" customWidth="1"/>
    <col min="2820" max="2820" width="13.42578125" bestFit="1" customWidth="1"/>
    <col min="2821" max="2821" width="10.85546875" bestFit="1" customWidth="1"/>
    <col min="2822" max="2822" width="26.85546875" bestFit="1" customWidth="1"/>
    <col min="2823" max="2823" width="20.85546875" bestFit="1" customWidth="1"/>
    <col min="2824" max="2824" width="30.42578125" bestFit="1" customWidth="1"/>
    <col min="2825" max="2825" width="19.42578125" bestFit="1" customWidth="1"/>
    <col min="2826" max="2826" width="20.28515625" bestFit="1" customWidth="1"/>
    <col min="2827" max="2828" width="12" bestFit="1" customWidth="1"/>
    <col min="2829" max="2830" width="12.5703125" bestFit="1" customWidth="1"/>
    <col min="2831" max="2831" width="11.7109375" bestFit="1" customWidth="1"/>
    <col min="2832" max="2832" width="19" bestFit="1" customWidth="1"/>
    <col min="2833" max="2833" width="12.140625" bestFit="1" customWidth="1"/>
    <col min="3063" max="3063" width="15" bestFit="1" customWidth="1"/>
    <col min="3064" max="3064" width="68.28515625" bestFit="1" customWidth="1"/>
    <col min="3065" max="3065" width="9.140625" bestFit="1" customWidth="1"/>
    <col min="3066" max="3066" width="21.42578125" bestFit="1" customWidth="1"/>
    <col min="3067" max="3069" width="15.42578125" bestFit="1" customWidth="1"/>
    <col min="3070" max="3070" width="8.85546875" bestFit="1" customWidth="1"/>
    <col min="3071" max="3071" width="10" bestFit="1" customWidth="1"/>
    <col min="3072" max="3072" width="12.7109375" bestFit="1" customWidth="1"/>
    <col min="3073" max="3073" width="8.85546875" bestFit="1" customWidth="1"/>
    <col min="3074" max="3074" width="17.7109375" bestFit="1" customWidth="1"/>
    <col min="3075" max="3075" width="13" bestFit="1" customWidth="1"/>
    <col min="3076" max="3076" width="13.42578125" bestFit="1" customWidth="1"/>
    <col min="3077" max="3077" width="10.85546875" bestFit="1" customWidth="1"/>
    <col min="3078" max="3078" width="26.85546875" bestFit="1" customWidth="1"/>
    <col min="3079" max="3079" width="20.85546875" bestFit="1" customWidth="1"/>
    <col min="3080" max="3080" width="30.42578125" bestFit="1" customWidth="1"/>
    <col min="3081" max="3081" width="19.42578125" bestFit="1" customWidth="1"/>
    <col min="3082" max="3082" width="20.28515625" bestFit="1" customWidth="1"/>
    <col min="3083" max="3084" width="12" bestFit="1" customWidth="1"/>
    <col min="3085" max="3086" width="12.5703125" bestFit="1" customWidth="1"/>
    <col min="3087" max="3087" width="11.7109375" bestFit="1" customWidth="1"/>
    <col min="3088" max="3088" width="19" bestFit="1" customWidth="1"/>
    <col min="3089" max="3089" width="12.140625" bestFit="1" customWidth="1"/>
    <col min="3319" max="3319" width="15" bestFit="1" customWidth="1"/>
    <col min="3320" max="3320" width="68.28515625" bestFit="1" customWidth="1"/>
    <col min="3321" max="3321" width="9.140625" bestFit="1" customWidth="1"/>
    <col min="3322" max="3322" width="21.42578125" bestFit="1" customWidth="1"/>
    <col min="3323" max="3325" width="15.42578125" bestFit="1" customWidth="1"/>
    <col min="3326" max="3326" width="8.85546875" bestFit="1" customWidth="1"/>
    <col min="3327" max="3327" width="10" bestFit="1" customWidth="1"/>
    <col min="3328" max="3328" width="12.7109375" bestFit="1" customWidth="1"/>
    <col min="3329" max="3329" width="8.85546875" bestFit="1" customWidth="1"/>
    <col min="3330" max="3330" width="17.7109375" bestFit="1" customWidth="1"/>
    <col min="3331" max="3331" width="13" bestFit="1" customWidth="1"/>
    <col min="3332" max="3332" width="13.42578125" bestFit="1" customWidth="1"/>
    <col min="3333" max="3333" width="10.85546875" bestFit="1" customWidth="1"/>
    <col min="3334" max="3334" width="26.85546875" bestFit="1" customWidth="1"/>
    <col min="3335" max="3335" width="20.85546875" bestFit="1" customWidth="1"/>
    <col min="3336" max="3336" width="30.42578125" bestFit="1" customWidth="1"/>
    <col min="3337" max="3337" width="19.42578125" bestFit="1" customWidth="1"/>
    <col min="3338" max="3338" width="20.28515625" bestFit="1" customWidth="1"/>
    <col min="3339" max="3340" width="12" bestFit="1" customWidth="1"/>
    <col min="3341" max="3342" width="12.5703125" bestFit="1" customWidth="1"/>
    <col min="3343" max="3343" width="11.7109375" bestFit="1" customWidth="1"/>
    <col min="3344" max="3344" width="19" bestFit="1" customWidth="1"/>
    <col min="3345" max="3345" width="12.140625" bestFit="1" customWidth="1"/>
    <col min="3575" max="3575" width="15" bestFit="1" customWidth="1"/>
    <col min="3576" max="3576" width="68.28515625" bestFit="1" customWidth="1"/>
    <col min="3577" max="3577" width="9.140625" bestFit="1" customWidth="1"/>
    <col min="3578" max="3578" width="21.42578125" bestFit="1" customWidth="1"/>
    <col min="3579" max="3581" width="15.42578125" bestFit="1" customWidth="1"/>
    <col min="3582" max="3582" width="8.85546875" bestFit="1" customWidth="1"/>
    <col min="3583" max="3583" width="10" bestFit="1" customWidth="1"/>
    <col min="3584" max="3584" width="12.7109375" bestFit="1" customWidth="1"/>
    <col min="3585" max="3585" width="8.85546875" bestFit="1" customWidth="1"/>
    <col min="3586" max="3586" width="17.7109375" bestFit="1" customWidth="1"/>
    <col min="3587" max="3587" width="13" bestFit="1" customWidth="1"/>
    <col min="3588" max="3588" width="13.42578125" bestFit="1" customWidth="1"/>
    <col min="3589" max="3589" width="10.85546875" bestFit="1" customWidth="1"/>
    <col min="3590" max="3590" width="26.85546875" bestFit="1" customWidth="1"/>
    <col min="3591" max="3591" width="20.85546875" bestFit="1" customWidth="1"/>
    <col min="3592" max="3592" width="30.42578125" bestFit="1" customWidth="1"/>
    <col min="3593" max="3593" width="19.42578125" bestFit="1" customWidth="1"/>
    <col min="3594" max="3594" width="20.28515625" bestFit="1" customWidth="1"/>
    <col min="3595" max="3596" width="12" bestFit="1" customWidth="1"/>
    <col min="3597" max="3598" width="12.5703125" bestFit="1" customWidth="1"/>
    <col min="3599" max="3599" width="11.7109375" bestFit="1" customWidth="1"/>
    <col min="3600" max="3600" width="19" bestFit="1" customWidth="1"/>
    <col min="3601" max="3601" width="12.140625" bestFit="1" customWidth="1"/>
    <col min="3831" max="3831" width="15" bestFit="1" customWidth="1"/>
    <col min="3832" max="3832" width="68.28515625" bestFit="1" customWidth="1"/>
    <col min="3833" max="3833" width="9.140625" bestFit="1" customWidth="1"/>
    <col min="3834" max="3834" width="21.42578125" bestFit="1" customWidth="1"/>
    <col min="3835" max="3837" width="15.42578125" bestFit="1" customWidth="1"/>
    <col min="3838" max="3838" width="8.85546875" bestFit="1" customWidth="1"/>
    <col min="3839" max="3839" width="10" bestFit="1" customWidth="1"/>
    <col min="3840" max="3840" width="12.7109375" bestFit="1" customWidth="1"/>
    <col min="3841" max="3841" width="8.85546875" bestFit="1" customWidth="1"/>
    <col min="3842" max="3842" width="17.7109375" bestFit="1" customWidth="1"/>
    <col min="3843" max="3843" width="13" bestFit="1" customWidth="1"/>
    <col min="3844" max="3844" width="13.42578125" bestFit="1" customWidth="1"/>
    <col min="3845" max="3845" width="10.85546875" bestFit="1" customWidth="1"/>
    <col min="3846" max="3846" width="26.85546875" bestFit="1" customWidth="1"/>
    <col min="3847" max="3847" width="20.85546875" bestFit="1" customWidth="1"/>
    <col min="3848" max="3848" width="30.42578125" bestFit="1" customWidth="1"/>
    <col min="3849" max="3849" width="19.42578125" bestFit="1" customWidth="1"/>
    <col min="3850" max="3850" width="20.28515625" bestFit="1" customWidth="1"/>
    <col min="3851" max="3852" width="12" bestFit="1" customWidth="1"/>
    <col min="3853" max="3854" width="12.5703125" bestFit="1" customWidth="1"/>
    <col min="3855" max="3855" width="11.7109375" bestFit="1" customWidth="1"/>
    <col min="3856" max="3856" width="19" bestFit="1" customWidth="1"/>
    <col min="3857" max="3857" width="12.140625" bestFit="1" customWidth="1"/>
    <col min="4087" max="4087" width="15" bestFit="1" customWidth="1"/>
    <col min="4088" max="4088" width="68.28515625" bestFit="1" customWidth="1"/>
    <col min="4089" max="4089" width="9.140625" bestFit="1" customWidth="1"/>
    <col min="4090" max="4090" width="21.42578125" bestFit="1" customWidth="1"/>
    <col min="4091" max="4093" width="15.42578125" bestFit="1" customWidth="1"/>
    <col min="4094" max="4094" width="8.85546875" bestFit="1" customWidth="1"/>
    <col min="4095" max="4095" width="10" bestFit="1" customWidth="1"/>
    <col min="4096" max="4096" width="12.7109375" bestFit="1" customWidth="1"/>
    <col min="4097" max="4097" width="8.85546875" bestFit="1" customWidth="1"/>
    <col min="4098" max="4098" width="17.7109375" bestFit="1" customWidth="1"/>
    <col min="4099" max="4099" width="13" bestFit="1" customWidth="1"/>
    <col min="4100" max="4100" width="13.42578125" bestFit="1" customWidth="1"/>
    <col min="4101" max="4101" width="10.85546875" bestFit="1" customWidth="1"/>
    <col min="4102" max="4102" width="26.85546875" bestFit="1" customWidth="1"/>
    <col min="4103" max="4103" width="20.85546875" bestFit="1" customWidth="1"/>
    <col min="4104" max="4104" width="30.42578125" bestFit="1" customWidth="1"/>
    <col min="4105" max="4105" width="19.42578125" bestFit="1" customWidth="1"/>
    <col min="4106" max="4106" width="20.28515625" bestFit="1" customWidth="1"/>
    <col min="4107" max="4108" width="12" bestFit="1" customWidth="1"/>
    <col min="4109" max="4110" width="12.5703125" bestFit="1" customWidth="1"/>
    <col min="4111" max="4111" width="11.7109375" bestFit="1" customWidth="1"/>
    <col min="4112" max="4112" width="19" bestFit="1" customWidth="1"/>
    <col min="4113" max="4113" width="12.140625" bestFit="1" customWidth="1"/>
    <col min="4343" max="4343" width="15" bestFit="1" customWidth="1"/>
    <col min="4344" max="4344" width="68.28515625" bestFit="1" customWidth="1"/>
    <col min="4345" max="4345" width="9.140625" bestFit="1" customWidth="1"/>
    <col min="4346" max="4346" width="21.42578125" bestFit="1" customWidth="1"/>
    <col min="4347" max="4349" width="15.42578125" bestFit="1" customWidth="1"/>
    <col min="4350" max="4350" width="8.85546875" bestFit="1" customWidth="1"/>
    <col min="4351" max="4351" width="10" bestFit="1" customWidth="1"/>
    <col min="4352" max="4352" width="12.7109375" bestFit="1" customWidth="1"/>
    <col min="4353" max="4353" width="8.85546875" bestFit="1" customWidth="1"/>
    <col min="4354" max="4354" width="17.7109375" bestFit="1" customWidth="1"/>
    <col min="4355" max="4355" width="13" bestFit="1" customWidth="1"/>
    <col min="4356" max="4356" width="13.42578125" bestFit="1" customWidth="1"/>
    <col min="4357" max="4357" width="10.85546875" bestFit="1" customWidth="1"/>
    <col min="4358" max="4358" width="26.85546875" bestFit="1" customWidth="1"/>
    <col min="4359" max="4359" width="20.85546875" bestFit="1" customWidth="1"/>
    <col min="4360" max="4360" width="30.42578125" bestFit="1" customWidth="1"/>
    <col min="4361" max="4361" width="19.42578125" bestFit="1" customWidth="1"/>
    <col min="4362" max="4362" width="20.28515625" bestFit="1" customWidth="1"/>
    <col min="4363" max="4364" width="12" bestFit="1" customWidth="1"/>
    <col min="4365" max="4366" width="12.5703125" bestFit="1" customWidth="1"/>
    <col min="4367" max="4367" width="11.7109375" bestFit="1" customWidth="1"/>
    <col min="4368" max="4368" width="19" bestFit="1" customWidth="1"/>
    <col min="4369" max="4369" width="12.140625" bestFit="1" customWidth="1"/>
    <col min="4599" max="4599" width="15" bestFit="1" customWidth="1"/>
    <col min="4600" max="4600" width="68.28515625" bestFit="1" customWidth="1"/>
    <col min="4601" max="4601" width="9.140625" bestFit="1" customWidth="1"/>
    <col min="4602" max="4602" width="21.42578125" bestFit="1" customWidth="1"/>
    <col min="4603" max="4605" width="15.42578125" bestFit="1" customWidth="1"/>
    <col min="4606" max="4606" width="8.85546875" bestFit="1" customWidth="1"/>
    <col min="4607" max="4607" width="10" bestFit="1" customWidth="1"/>
    <col min="4608" max="4608" width="12.7109375" bestFit="1" customWidth="1"/>
    <col min="4609" max="4609" width="8.85546875" bestFit="1" customWidth="1"/>
    <col min="4610" max="4610" width="17.7109375" bestFit="1" customWidth="1"/>
    <col min="4611" max="4611" width="13" bestFit="1" customWidth="1"/>
    <col min="4612" max="4612" width="13.42578125" bestFit="1" customWidth="1"/>
    <col min="4613" max="4613" width="10.85546875" bestFit="1" customWidth="1"/>
    <col min="4614" max="4614" width="26.85546875" bestFit="1" customWidth="1"/>
    <col min="4615" max="4615" width="20.85546875" bestFit="1" customWidth="1"/>
    <col min="4616" max="4616" width="30.42578125" bestFit="1" customWidth="1"/>
    <col min="4617" max="4617" width="19.42578125" bestFit="1" customWidth="1"/>
    <col min="4618" max="4618" width="20.28515625" bestFit="1" customWidth="1"/>
    <col min="4619" max="4620" width="12" bestFit="1" customWidth="1"/>
    <col min="4621" max="4622" width="12.5703125" bestFit="1" customWidth="1"/>
    <col min="4623" max="4623" width="11.7109375" bestFit="1" customWidth="1"/>
    <col min="4624" max="4624" width="19" bestFit="1" customWidth="1"/>
    <col min="4625" max="4625" width="12.140625" bestFit="1" customWidth="1"/>
    <col min="4855" max="4855" width="15" bestFit="1" customWidth="1"/>
    <col min="4856" max="4856" width="68.28515625" bestFit="1" customWidth="1"/>
    <col min="4857" max="4857" width="9.140625" bestFit="1" customWidth="1"/>
    <col min="4858" max="4858" width="21.42578125" bestFit="1" customWidth="1"/>
    <col min="4859" max="4861" width="15.42578125" bestFit="1" customWidth="1"/>
    <col min="4862" max="4862" width="8.85546875" bestFit="1" customWidth="1"/>
    <col min="4863" max="4863" width="10" bestFit="1" customWidth="1"/>
    <col min="4864" max="4864" width="12.7109375" bestFit="1" customWidth="1"/>
    <col min="4865" max="4865" width="8.85546875" bestFit="1" customWidth="1"/>
    <col min="4866" max="4866" width="17.7109375" bestFit="1" customWidth="1"/>
    <col min="4867" max="4867" width="13" bestFit="1" customWidth="1"/>
    <col min="4868" max="4868" width="13.42578125" bestFit="1" customWidth="1"/>
    <col min="4869" max="4869" width="10.85546875" bestFit="1" customWidth="1"/>
    <col min="4870" max="4870" width="26.85546875" bestFit="1" customWidth="1"/>
    <col min="4871" max="4871" width="20.85546875" bestFit="1" customWidth="1"/>
    <col min="4872" max="4872" width="30.42578125" bestFit="1" customWidth="1"/>
    <col min="4873" max="4873" width="19.42578125" bestFit="1" customWidth="1"/>
    <col min="4874" max="4874" width="20.28515625" bestFit="1" customWidth="1"/>
    <col min="4875" max="4876" width="12" bestFit="1" customWidth="1"/>
    <col min="4877" max="4878" width="12.5703125" bestFit="1" customWidth="1"/>
    <col min="4879" max="4879" width="11.7109375" bestFit="1" customWidth="1"/>
    <col min="4880" max="4880" width="19" bestFit="1" customWidth="1"/>
    <col min="4881" max="4881" width="12.140625" bestFit="1" customWidth="1"/>
    <col min="5111" max="5111" width="15" bestFit="1" customWidth="1"/>
    <col min="5112" max="5112" width="68.28515625" bestFit="1" customWidth="1"/>
    <col min="5113" max="5113" width="9.140625" bestFit="1" customWidth="1"/>
    <col min="5114" max="5114" width="21.42578125" bestFit="1" customWidth="1"/>
    <col min="5115" max="5117" width="15.42578125" bestFit="1" customWidth="1"/>
    <col min="5118" max="5118" width="8.85546875" bestFit="1" customWidth="1"/>
    <col min="5119" max="5119" width="10" bestFit="1" customWidth="1"/>
    <col min="5120" max="5120" width="12.7109375" bestFit="1" customWidth="1"/>
    <col min="5121" max="5121" width="8.85546875" bestFit="1" customWidth="1"/>
    <col min="5122" max="5122" width="17.7109375" bestFit="1" customWidth="1"/>
    <col min="5123" max="5123" width="13" bestFit="1" customWidth="1"/>
    <col min="5124" max="5124" width="13.42578125" bestFit="1" customWidth="1"/>
    <col min="5125" max="5125" width="10.85546875" bestFit="1" customWidth="1"/>
    <col min="5126" max="5126" width="26.85546875" bestFit="1" customWidth="1"/>
    <col min="5127" max="5127" width="20.85546875" bestFit="1" customWidth="1"/>
    <col min="5128" max="5128" width="30.42578125" bestFit="1" customWidth="1"/>
    <col min="5129" max="5129" width="19.42578125" bestFit="1" customWidth="1"/>
    <col min="5130" max="5130" width="20.28515625" bestFit="1" customWidth="1"/>
    <col min="5131" max="5132" width="12" bestFit="1" customWidth="1"/>
    <col min="5133" max="5134" width="12.5703125" bestFit="1" customWidth="1"/>
    <col min="5135" max="5135" width="11.7109375" bestFit="1" customWidth="1"/>
    <col min="5136" max="5136" width="19" bestFit="1" customWidth="1"/>
    <col min="5137" max="5137" width="12.140625" bestFit="1" customWidth="1"/>
    <col min="5367" max="5367" width="15" bestFit="1" customWidth="1"/>
    <col min="5368" max="5368" width="68.28515625" bestFit="1" customWidth="1"/>
    <col min="5369" max="5369" width="9.140625" bestFit="1" customWidth="1"/>
    <col min="5370" max="5370" width="21.42578125" bestFit="1" customWidth="1"/>
    <col min="5371" max="5373" width="15.42578125" bestFit="1" customWidth="1"/>
    <col min="5374" max="5374" width="8.85546875" bestFit="1" customWidth="1"/>
    <col min="5375" max="5375" width="10" bestFit="1" customWidth="1"/>
    <col min="5376" max="5376" width="12.7109375" bestFit="1" customWidth="1"/>
    <col min="5377" max="5377" width="8.85546875" bestFit="1" customWidth="1"/>
    <col min="5378" max="5378" width="17.7109375" bestFit="1" customWidth="1"/>
    <col min="5379" max="5379" width="13" bestFit="1" customWidth="1"/>
    <col min="5380" max="5380" width="13.42578125" bestFit="1" customWidth="1"/>
    <col min="5381" max="5381" width="10.85546875" bestFit="1" customWidth="1"/>
    <col min="5382" max="5382" width="26.85546875" bestFit="1" customWidth="1"/>
    <col min="5383" max="5383" width="20.85546875" bestFit="1" customWidth="1"/>
    <col min="5384" max="5384" width="30.42578125" bestFit="1" customWidth="1"/>
    <col min="5385" max="5385" width="19.42578125" bestFit="1" customWidth="1"/>
    <col min="5386" max="5386" width="20.28515625" bestFit="1" customWidth="1"/>
    <col min="5387" max="5388" width="12" bestFit="1" customWidth="1"/>
    <col min="5389" max="5390" width="12.5703125" bestFit="1" customWidth="1"/>
    <col min="5391" max="5391" width="11.7109375" bestFit="1" customWidth="1"/>
    <col min="5392" max="5392" width="19" bestFit="1" customWidth="1"/>
    <col min="5393" max="5393" width="12.140625" bestFit="1" customWidth="1"/>
    <col min="5623" max="5623" width="15" bestFit="1" customWidth="1"/>
    <col min="5624" max="5624" width="68.28515625" bestFit="1" customWidth="1"/>
    <col min="5625" max="5625" width="9.140625" bestFit="1" customWidth="1"/>
    <col min="5626" max="5626" width="21.42578125" bestFit="1" customWidth="1"/>
    <col min="5627" max="5629" width="15.42578125" bestFit="1" customWidth="1"/>
    <col min="5630" max="5630" width="8.85546875" bestFit="1" customWidth="1"/>
    <col min="5631" max="5631" width="10" bestFit="1" customWidth="1"/>
    <col min="5632" max="5632" width="12.7109375" bestFit="1" customWidth="1"/>
    <col min="5633" max="5633" width="8.85546875" bestFit="1" customWidth="1"/>
    <col min="5634" max="5634" width="17.7109375" bestFit="1" customWidth="1"/>
    <col min="5635" max="5635" width="13" bestFit="1" customWidth="1"/>
    <col min="5636" max="5636" width="13.42578125" bestFit="1" customWidth="1"/>
    <col min="5637" max="5637" width="10.85546875" bestFit="1" customWidth="1"/>
    <col min="5638" max="5638" width="26.85546875" bestFit="1" customWidth="1"/>
    <col min="5639" max="5639" width="20.85546875" bestFit="1" customWidth="1"/>
    <col min="5640" max="5640" width="30.42578125" bestFit="1" customWidth="1"/>
    <col min="5641" max="5641" width="19.42578125" bestFit="1" customWidth="1"/>
    <col min="5642" max="5642" width="20.28515625" bestFit="1" customWidth="1"/>
    <col min="5643" max="5644" width="12" bestFit="1" customWidth="1"/>
    <col min="5645" max="5646" width="12.5703125" bestFit="1" customWidth="1"/>
    <col min="5647" max="5647" width="11.7109375" bestFit="1" customWidth="1"/>
    <col min="5648" max="5648" width="19" bestFit="1" customWidth="1"/>
    <col min="5649" max="5649" width="12.140625" bestFit="1" customWidth="1"/>
    <col min="5879" max="5879" width="15" bestFit="1" customWidth="1"/>
    <col min="5880" max="5880" width="68.28515625" bestFit="1" customWidth="1"/>
    <col min="5881" max="5881" width="9.140625" bestFit="1" customWidth="1"/>
    <col min="5882" max="5882" width="21.42578125" bestFit="1" customWidth="1"/>
    <col min="5883" max="5885" width="15.42578125" bestFit="1" customWidth="1"/>
    <col min="5886" max="5886" width="8.85546875" bestFit="1" customWidth="1"/>
    <col min="5887" max="5887" width="10" bestFit="1" customWidth="1"/>
    <col min="5888" max="5888" width="12.7109375" bestFit="1" customWidth="1"/>
    <col min="5889" max="5889" width="8.85546875" bestFit="1" customWidth="1"/>
    <col min="5890" max="5890" width="17.7109375" bestFit="1" customWidth="1"/>
    <col min="5891" max="5891" width="13" bestFit="1" customWidth="1"/>
    <col min="5892" max="5892" width="13.42578125" bestFit="1" customWidth="1"/>
    <col min="5893" max="5893" width="10.85546875" bestFit="1" customWidth="1"/>
    <col min="5894" max="5894" width="26.85546875" bestFit="1" customWidth="1"/>
    <col min="5895" max="5895" width="20.85546875" bestFit="1" customWidth="1"/>
    <col min="5896" max="5896" width="30.42578125" bestFit="1" customWidth="1"/>
    <col min="5897" max="5897" width="19.42578125" bestFit="1" customWidth="1"/>
    <col min="5898" max="5898" width="20.28515625" bestFit="1" customWidth="1"/>
    <col min="5899" max="5900" width="12" bestFit="1" customWidth="1"/>
    <col min="5901" max="5902" width="12.5703125" bestFit="1" customWidth="1"/>
    <col min="5903" max="5903" width="11.7109375" bestFit="1" customWidth="1"/>
    <col min="5904" max="5904" width="19" bestFit="1" customWidth="1"/>
    <col min="5905" max="5905" width="12.140625" bestFit="1" customWidth="1"/>
    <col min="6135" max="6135" width="15" bestFit="1" customWidth="1"/>
    <col min="6136" max="6136" width="68.28515625" bestFit="1" customWidth="1"/>
    <col min="6137" max="6137" width="9.140625" bestFit="1" customWidth="1"/>
    <col min="6138" max="6138" width="21.42578125" bestFit="1" customWidth="1"/>
    <col min="6139" max="6141" width="15.42578125" bestFit="1" customWidth="1"/>
    <col min="6142" max="6142" width="8.85546875" bestFit="1" customWidth="1"/>
    <col min="6143" max="6143" width="10" bestFit="1" customWidth="1"/>
    <col min="6144" max="6144" width="12.7109375" bestFit="1" customWidth="1"/>
    <col min="6145" max="6145" width="8.85546875" bestFit="1" customWidth="1"/>
    <col min="6146" max="6146" width="17.7109375" bestFit="1" customWidth="1"/>
    <col min="6147" max="6147" width="13" bestFit="1" customWidth="1"/>
    <col min="6148" max="6148" width="13.42578125" bestFit="1" customWidth="1"/>
    <col min="6149" max="6149" width="10.85546875" bestFit="1" customWidth="1"/>
    <col min="6150" max="6150" width="26.85546875" bestFit="1" customWidth="1"/>
    <col min="6151" max="6151" width="20.85546875" bestFit="1" customWidth="1"/>
    <col min="6152" max="6152" width="30.42578125" bestFit="1" customWidth="1"/>
    <col min="6153" max="6153" width="19.42578125" bestFit="1" customWidth="1"/>
    <col min="6154" max="6154" width="20.28515625" bestFit="1" customWidth="1"/>
    <col min="6155" max="6156" width="12" bestFit="1" customWidth="1"/>
    <col min="6157" max="6158" width="12.5703125" bestFit="1" customWidth="1"/>
    <col min="6159" max="6159" width="11.7109375" bestFit="1" customWidth="1"/>
    <col min="6160" max="6160" width="19" bestFit="1" customWidth="1"/>
    <col min="6161" max="6161" width="12.140625" bestFit="1" customWidth="1"/>
    <col min="6391" max="6391" width="15" bestFit="1" customWidth="1"/>
    <col min="6392" max="6392" width="68.28515625" bestFit="1" customWidth="1"/>
    <col min="6393" max="6393" width="9.140625" bestFit="1" customWidth="1"/>
    <col min="6394" max="6394" width="21.42578125" bestFit="1" customWidth="1"/>
    <col min="6395" max="6397" width="15.42578125" bestFit="1" customWidth="1"/>
    <col min="6398" max="6398" width="8.85546875" bestFit="1" customWidth="1"/>
    <col min="6399" max="6399" width="10" bestFit="1" customWidth="1"/>
    <col min="6400" max="6400" width="12.7109375" bestFit="1" customWidth="1"/>
    <col min="6401" max="6401" width="8.85546875" bestFit="1" customWidth="1"/>
    <col min="6402" max="6402" width="17.7109375" bestFit="1" customWidth="1"/>
    <col min="6403" max="6403" width="13" bestFit="1" customWidth="1"/>
    <col min="6404" max="6404" width="13.42578125" bestFit="1" customWidth="1"/>
    <col min="6405" max="6405" width="10.85546875" bestFit="1" customWidth="1"/>
    <col min="6406" max="6406" width="26.85546875" bestFit="1" customWidth="1"/>
    <col min="6407" max="6407" width="20.85546875" bestFit="1" customWidth="1"/>
    <col min="6408" max="6408" width="30.42578125" bestFit="1" customWidth="1"/>
    <col min="6409" max="6409" width="19.42578125" bestFit="1" customWidth="1"/>
    <col min="6410" max="6410" width="20.28515625" bestFit="1" customWidth="1"/>
    <col min="6411" max="6412" width="12" bestFit="1" customWidth="1"/>
    <col min="6413" max="6414" width="12.5703125" bestFit="1" customWidth="1"/>
    <col min="6415" max="6415" width="11.7109375" bestFit="1" customWidth="1"/>
    <col min="6416" max="6416" width="19" bestFit="1" customWidth="1"/>
    <col min="6417" max="6417" width="12.140625" bestFit="1" customWidth="1"/>
    <col min="6647" max="6647" width="15" bestFit="1" customWidth="1"/>
    <col min="6648" max="6648" width="68.28515625" bestFit="1" customWidth="1"/>
    <col min="6649" max="6649" width="9.140625" bestFit="1" customWidth="1"/>
    <col min="6650" max="6650" width="21.42578125" bestFit="1" customWidth="1"/>
    <col min="6651" max="6653" width="15.42578125" bestFit="1" customWidth="1"/>
    <col min="6654" max="6654" width="8.85546875" bestFit="1" customWidth="1"/>
    <col min="6655" max="6655" width="10" bestFit="1" customWidth="1"/>
    <col min="6656" max="6656" width="12.7109375" bestFit="1" customWidth="1"/>
    <col min="6657" max="6657" width="8.85546875" bestFit="1" customWidth="1"/>
    <col min="6658" max="6658" width="17.7109375" bestFit="1" customWidth="1"/>
    <col min="6659" max="6659" width="13" bestFit="1" customWidth="1"/>
    <col min="6660" max="6660" width="13.42578125" bestFit="1" customWidth="1"/>
    <col min="6661" max="6661" width="10.85546875" bestFit="1" customWidth="1"/>
    <col min="6662" max="6662" width="26.85546875" bestFit="1" customWidth="1"/>
    <col min="6663" max="6663" width="20.85546875" bestFit="1" customWidth="1"/>
    <col min="6664" max="6664" width="30.42578125" bestFit="1" customWidth="1"/>
    <col min="6665" max="6665" width="19.42578125" bestFit="1" customWidth="1"/>
    <col min="6666" max="6666" width="20.28515625" bestFit="1" customWidth="1"/>
    <col min="6667" max="6668" width="12" bestFit="1" customWidth="1"/>
    <col min="6669" max="6670" width="12.5703125" bestFit="1" customWidth="1"/>
    <col min="6671" max="6671" width="11.7109375" bestFit="1" customWidth="1"/>
    <col min="6672" max="6672" width="19" bestFit="1" customWidth="1"/>
    <col min="6673" max="6673" width="12.140625" bestFit="1" customWidth="1"/>
    <col min="6903" max="6903" width="15" bestFit="1" customWidth="1"/>
    <col min="6904" max="6904" width="68.28515625" bestFit="1" customWidth="1"/>
    <col min="6905" max="6905" width="9.140625" bestFit="1" customWidth="1"/>
    <col min="6906" max="6906" width="21.42578125" bestFit="1" customWidth="1"/>
    <col min="6907" max="6909" width="15.42578125" bestFit="1" customWidth="1"/>
    <col min="6910" max="6910" width="8.85546875" bestFit="1" customWidth="1"/>
    <col min="6911" max="6911" width="10" bestFit="1" customWidth="1"/>
    <col min="6912" max="6912" width="12.7109375" bestFit="1" customWidth="1"/>
    <col min="6913" max="6913" width="8.85546875" bestFit="1" customWidth="1"/>
    <col min="6914" max="6914" width="17.7109375" bestFit="1" customWidth="1"/>
    <col min="6915" max="6915" width="13" bestFit="1" customWidth="1"/>
    <col min="6916" max="6916" width="13.42578125" bestFit="1" customWidth="1"/>
    <col min="6917" max="6917" width="10.85546875" bestFit="1" customWidth="1"/>
    <col min="6918" max="6918" width="26.85546875" bestFit="1" customWidth="1"/>
    <col min="6919" max="6919" width="20.85546875" bestFit="1" customWidth="1"/>
    <col min="6920" max="6920" width="30.42578125" bestFit="1" customWidth="1"/>
    <col min="6921" max="6921" width="19.42578125" bestFit="1" customWidth="1"/>
    <col min="6922" max="6922" width="20.28515625" bestFit="1" customWidth="1"/>
    <col min="6923" max="6924" width="12" bestFit="1" customWidth="1"/>
    <col min="6925" max="6926" width="12.5703125" bestFit="1" customWidth="1"/>
    <col min="6927" max="6927" width="11.7109375" bestFit="1" customWidth="1"/>
    <col min="6928" max="6928" width="19" bestFit="1" customWidth="1"/>
    <col min="6929" max="6929" width="12.140625" bestFit="1" customWidth="1"/>
    <col min="7159" max="7159" width="15" bestFit="1" customWidth="1"/>
    <col min="7160" max="7160" width="68.28515625" bestFit="1" customWidth="1"/>
    <col min="7161" max="7161" width="9.140625" bestFit="1" customWidth="1"/>
    <col min="7162" max="7162" width="21.42578125" bestFit="1" customWidth="1"/>
    <col min="7163" max="7165" width="15.42578125" bestFit="1" customWidth="1"/>
    <col min="7166" max="7166" width="8.85546875" bestFit="1" customWidth="1"/>
    <col min="7167" max="7167" width="10" bestFit="1" customWidth="1"/>
    <col min="7168" max="7168" width="12.7109375" bestFit="1" customWidth="1"/>
    <col min="7169" max="7169" width="8.85546875" bestFit="1" customWidth="1"/>
    <col min="7170" max="7170" width="17.7109375" bestFit="1" customWidth="1"/>
    <col min="7171" max="7171" width="13" bestFit="1" customWidth="1"/>
    <col min="7172" max="7172" width="13.42578125" bestFit="1" customWidth="1"/>
    <col min="7173" max="7173" width="10.85546875" bestFit="1" customWidth="1"/>
    <col min="7174" max="7174" width="26.85546875" bestFit="1" customWidth="1"/>
    <col min="7175" max="7175" width="20.85546875" bestFit="1" customWidth="1"/>
    <col min="7176" max="7176" width="30.42578125" bestFit="1" customWidth="1"/>
    <col min="7177" max="7177" width="19.42578125" bestFit="1" customWidth="1"/>
    <col min="7178" max="7178" width="20.28515625" bestFit="1" customWidth="1"/>
    <col min="7179" max="7180" width="12" bestFit="1" customWidth="1"/>
    <col min="7181" max="7182" width="12.5703125" bestFit="1" customWidth="1"/>
    <col min="7183" max="7183" width="11.7109375" bestFit="1" customWidth="1"/>
    <col min="7184" max="7184" width="19" bestFit="1" customWidth="1"/>
    <col min="7185" max="7185" width="12.140625" bestFit="1" customWidth="1"/>
    <col min="7415" max="7415" width="15" bestFit="1" customWidth="1"/>
    <col min="7416" max="7416" width="68.28515625" bestFit="1" customWidth="1"/>
    <col min="7417" max="7417" width="9.140625" bestFit="1" customWidth="1"/>
    <col min="7418" max="7418" width="21.42578125" bestFit="1" customWidth="1"/>
    <col min="7419" max="7421" width="15.42578125" bestFit="1" customWidth="1"/>
    <col min="7422" max="7422" width="8.85546875" bestFit="1" customWidth="1"/>
    <col min="7423" max="7423" width="10" bestFit="1" customWidth="1"/>
    <col min="7424" max="7424" width="12.7109375" bestFit="1" customWidth="1"/>
    <col min="7425" max="7425" width="8.85546875" bestFit="1" customWidth="1"/>
    <col min="7426" max="7426" width="17.7109375" bestFit="1" customWidth="1"/>
    <col min="7427" max="7427" width="13" bestFit="1" customWidth="1"/>
    <col min="7428" max="7428" width="13.42578125" bestFit="1" customWidth="1"/>
    <col min="7429" max="7429" width="10.85546875" bestFit="1" customWidth="1"/>
    <col min="7430" max="7430" width="26.85546875" bestFit="1" customWidth="1"/>
    <col min="7431" max="7431" width="20.85546875" bestFit="1" customWidth="1"/>
    <col min="7432" max="7432" width="30.42578125" bestFit="1" customWidth="1"/>
    <col min="7433" max="7433" width="19.42578125" bestFit="1" customWidth="1"/>
    <col min="7434" max="7434" width="20.28515625" bestFit="1" customWidth="1"/>
    <col min="7435" max="7436" width="12" bestFit="1" customWidth="1"/>
    <col min="7437" max="7438" width="12.5703125" bestFit="1" customWidth="1"/>
    <col min="7439" max="7439" width="11.7109375" bestFit="1" customWidth="1"/>
    <col min="7440" max="7440" width="19" bestFit="1" customWidth="1"/>
    <col min="7441" max="7441" width="12.140625" bestFit="1" customWidth="1"/>
    <col min="7671" max="7671" width="15" bestFit="1" customWidth="1"/>
    <col min="7672" max="7672" width="68.28515625" bestFit="1" customWidth="1"/>
    <col min="7673" max="7673" width="9.140625" bestFit="1" customWidth="1"/>
    <col min="7674" max="7674" width="21.42578125" bestFit="1" customWidth="1"/>
    <col min="7675" max="7677" width="15.42578125" bestFit="1" customWidth="1"/>
    <col min="7678" max="7678" width="8.85546875" bestFit="1" customWidth="1"/>
    <col min="7679" max="7679" width="10" bestFit="1" customWidth="1"/>
    <col min="7680" max="7680" width="12.7109375" bestFit="1" customWidth="1"/>
    <col min="7681" max="7681" width="8.85546875" bestFit="1" customWidth="1"/>
    <col min="7682" max="7682" width="17.7109375" bestFit="1" customWidth="1"/>
    <col min="7683" max="7683" width="13" bestFit="1" customWidth="1"/>
    <col min="7684" max="7684" width="13.42578125" bestFit="1" customWidth="1"/>
    <col min="7685" max="7685" width="10.85546875" bestFit="1" customWidth="1"/>
    <col min="7686" max="7686" width="26.85546875" bestFit="1" customWidth="1"/>
    <col min="7687" max="7687" width="20.85546875" bestFit="1" customWidth="1"/>
    <col min="7688" max="7688" width="30.42578125" bestFit="1" customWidth="1"/>
    <col min="7689" max="7689" width="19.42578125" bestFit="1" customWidth="1"/>
    <col min="7690" max="7690" width="20.28515625" bestFit="1" customWidth="1"/>
    <col min="7691" max="7692" width="12" bestFit="1" customWidth="1"/>
    <col min="7693" max="7694" width="12.5703125" bestFit="1" customWidth="1"/>
    <col min="7695" max="7695" width="11.7109375" bestFit="1" customWidth="1"/>
    <col min="7696" max="7696" width="19" bestFit="1" customWidth="1"/>
    <col min="7697" max="7697" width="12.140625" bestFit="1" customWidth="1"/>
    <col min="7927" max="7927" width="15" bestFit="1" customWidth="1"/>
    <col min="7928" max="7928" width="68.28515625" bestFit="1" customWidth="1"/>
    <col min="7929" max="7929" width="9.140625" bestFit="1" customWidth="1"/>
    <col min="7930" max="7930" width="21.42578125" bestFit="1" customWidth="1"/>
    <col min="7931" max="7933" width="15.42578125" bestFit="1" customWidth="1"/>
    <col min="7934" max="7934" width="8.85546875" bestFit="1" customWidth="1"/>
    <col min="7935" max="7935" width="10" bestFit="1" customWidth="1"/>
    <col min="7936" max="7936" width="12.7109375" bestFit="1" customWidth="1"/>
    <col min="7937" max="7937" width="8.85546875" bestFit="1" customWidth="1"/>
    <col min="7938" max="7938" width="17.7109375" bestFit="1" customWidth="1"/>
    <col min="7939" max="7939" width="13" bestFit="1" customWidth="1"/>
    <col min="7940" max="7940" width="13.42578125" bestFit="1" customWidth="1"/>
    <col min="7941" max="7941" width="10.85546875" bestFit="1" customWidth="1"/>
    <col min="7942" max="7942" width="26.85546875" bestFit="1" customWidth="1"/>
    <col min="7943" max="7943" width="20.85546875" bestFit="1" customWidth="1"/>
    <col min="7944" max="7944" width="30.42578125" bestFit="1" customWidth="1"/>
    <col min="7945" max="7945" width="19.42578125" bestFit="1" customWidth="1"/>
    <col min="7946" max="7946" width="20.28515625" bestFit="1" customWidth="1"/>
    <col min="7947" max="7948" width="12" bestFit="1" customWidth="1"/>
    <col min="7949" max="7950" width="12.5703125" bestFit="1" customWidth="1"/>
    <col min="7951" max="7951" width="11.7109375" bestFit="1" customWidth="1"/>
    <col min="7952" max="7952" width="19" bestFit="1" customWidth="1"/>
    <col min="7953" max="7953" width="12.140625" bestFit="1" customWidth="1"/>
    <col min="8183" max="8183" width="15" bestFit="1" customWidth="1"/>
    <col min="8184" max="8184" width="68.28515625" bestFit="1" customWidth="1"/>
    <col min="8185" max="8185" width="9.140625" bestFit="1" customWidth="1"/>
    <col min="8186" max="8186" width="21.42578125" bestFit="1" customWidth="1"/>
    <col min="8187" max="8189" width="15.42578125" bestFit="1" customWidth="1"/>
    <col min="8190" max="8190" width="8.85546875" bestFit="1" customWidth="1"/>
    <col min="8191" max="8191" width="10" bestFit="1" customWidth="1"/>
    <col min="8192" max="8192" width="12.7109375" bestFit="1" customWidth="1"/>
    <col min="8193" max="8193" width="8.85546875" bestFit="1" customWidth="1"/>
    <col min="8194" max="8194" width="17.7109375" bestFit="1" customWidth="1"/>
    <col min="8195" max="8195" width="13" bestFit="1" customWidth="1"/>
    <col min="8196" max="8196" width="13.42578125" bestFit="1" customWidth="1"/>
    <col min="8197" max="8197" width="10.85546875" bestFit="1" customWidth="1"/>
    <col min="8198" max="8198" width="26.85546875" bestFit="1" customWidth="1"/>
    <col min="8199" max="8199" width="20.85546875" bestFit="1" customWidth="1"/>
    <col min="8200" max="8200" width="30.42578125" bestFit="1" customWidth="1"/>
    <col min="8201" max="8201" width="19.42578125" bestFit="1" customWidth="1"/>
    <col min="8202" max="8202" width="20.28515625" bestFit="1" customWidth="1"/>
    <col min="8203" max="8204" width="12" bestFit="1" customWidth="1"/>
    <col min="8205" max="8206" width="12.5703125" bestFit="1" customWidth="1"/>
    <col min="8207" max="8207" width="11.7109375" bestFit="1" customWidth="1"/>
    <col min="8208" max="8208" width="19" bestFit="1" customWidth="1"/>
    <col min="8209" max="8209" width="12.140625" bestFit="1" customWidth="1"/>
    <col min="8439" max="8439" width="15" bestFit="1" customWidth="1"/>
    <col min="8440" max="8440" width="68.28515625" bestFit="1" customWidth="1"/>
    <col min="8441" max="8441" width="9.140625" bestFit="1" customWidth="1"/>
    <col min="8442" max="8442" width="21.42578125" bestFit="1" customWidth="1"/>
    <col min="8443" max="8445" width="15.42578125" bestFit="1" customWidth="1"/>
    <col min="8446" max="8446" width="8.85546875" bestFit="1" customWidth="1"/>
    <col min="8447" max="8447" width="10" bestFit="1" customWidth="1"/>
    <col min="8448" max="8448" width="12.7109375" bestFit="1" customWidth="1"/>
    <col min="8449" max="8449" width="8.85546875" bestFit="1" customWidth="1"/>
    <col min="8450" max="8450" width="17.7109375" bestFit="1" customWidth="1"/>
    <col min="8451" max="8451" width="13" bestFit="1" customWidth="1"/>
    <col min="8452" max="8452" width="13.42578125" bestFit="1" customWidth="1"/>
    <col min="8453" max="8453" width="10.85546875" bestFit="1" customWidth="1"/>
    <col min="8454" max="8454" width="26.85546875" bestFit="1" customWidth="1"/>
    <col min="8455" max="8455" width="20.85546875" bestFit="1" customWidth="1"/>
    <col min="8456" max="8456" width="30.42578125" bestFit="1" customWidth="1"/>
    <col min="8457" max="8457" width="19.42578125" bestFit="1" customWidth="1"/>
    <col min="8458" max="8458" width="20.28515625" bestFit="1" customWidth="1"/>
    <col min="8459" max="8460" width="12" bestFit="1" customWidth="1"/>
    <col min="8461" max="8462" width="12.5703125" bestFit="1" customWidth="1"/>
    <col min="8463" max="8463" width="11.7109375" bestFit="1" customWidth="1"/>
    <col min="8464" max="8464" width="19" bestFit="1" customWidth="1"/>
    <col min="8465" max="8465" width="12.140625" bestFit="1" customWidth="1"/>
    <col min="8695" max="8695" width="15" bestFit="1" customWidth="1"/>
    <col min="8696" max="8696" width="68.28515625" bestFit="1" customWidth="1"/>
    <col min="8697" max="8697" width="9.140625" bestFit="1" customWidth="1"/>
    <col min="8698" max="8698" width="21.42578125" bestFit="1" customWidth="1"/>
    <col min="8699" max="8701" width="15.42578125" bestFit="1" customWidth="1"/>
    <col min="8702" max="8702" width="8.85546875" bestFit="1" customWidth="1"/>
    <col min="8703" max="8703" width="10" bestFit="1" customWidth="1"/>
    <col min="8704" max="8704" width="12.7109375" bestFit="1" customWidth="1"/>
    <col min="8705" max="8705" width="8.85546875" bestFit="1" customWidth="1"/>
    <col min="8706" max="8706" width="17.7109375" bestFit="1" customWidth="1"/>
    <col min="8707" max="8707" width="13" bestFit="1" customWidth="1"/>
    <col min="8708" max="8708" width="13.42578125" bestFit="1" customWidth="1"/>
    <col min="8709" max="8709" width="10.85546875" bestFit="1" customWidth="1"/>
    <col min="8710" max="8710" width="26.85546875" bestFit="1" customWidth="1"/>
    <col min="8711" max="8711" width="20.85546875" bestFit="1" customWidth="1"/>
    <col min="8712" max="8712" width="30.42578125" bestFit="1" customWidth="1"/>
    <col min="8713" max="8713" width="19.42578125" bestFit="1" customWidth="1"/>
    <col min="8714" max="8714" width="20.28515625" bestFit="1" customWidth="1"/>
    <col min="8715" max="8716" width="12" bestFit="1" customWidth="1"/>
    <col min="8717" max="8718" width="12.5703125" bestFit="1" customWidth="1"/>
    <col min="8719" max="8719" width="11.7109375" bestFit="1" customWidth="1"/>
    <col min="8720" max="8720" width="19" bestFit="1" customWidth="1"/>
    <col min="8721" max="8721" width="12.140625" bestFit="1" customWidth="1"/>
    <col min="8951" max="8951" width="15" bestFit="1" customWidth="1"/>
    <col min="8952" max="8952" width="68.28515625" bestFit="1" customWidth="1"/>
    <col min="8953" max="8953" width="9.140625" bestFit="1" customWidth="1"/>
    <col min="8954" max="8954" width="21.42578125" bestFit="1" customWidth="1"/>
    <col min="8955" max="8957" width="15.42578125" bestFit="1" customWidth="1"/>
    <col min="8958" max="8958" width="8.85546875" bestFit="1" customWidth="1"/>
    <col min="8959" max="8959" width="10" bestFit="1" customWidth="1"/>
    <col min="8960" max="8960" width="12.7109375" bestFit="1" customWidth="1"/>
    <col min="8961" max="8961" width="8.85546875" bestFit="1" customWidth="1"/>
    <col min="8962" max="8962" width="17.7109375" bestFit="1" customWidth="1"/>
    <col min="8963" max="8963" width="13" bestFit="1" customWidth="1"/>
    <col min="8964" max="8964" width="13.42578125" bestFit="1" customWidth="1"/>
    <col min="8965" max="8965" width="10.85546875" bestFit="1" customWidth="1"/>
    <col min="8966" max="8966" width="26.85546875" bestFit="1" customWidth="1"/>
    <col min="8967" max="8967" width="20.85546875" bestFit="1" customWidth="1"/>
    <col min="8968" max="8968" width="30.42578125" bestFit="1" customWidth="1"/>
    <col min="8969" max="8969" width="19.42578125" bestFit="1" customWidth="1"/>
    <col min="8970" max="8970" width="20.28515625" bestFit="1" customWidth="1"/>
    <col min="8971" max="8972" width="12" bestFit="1" customWidth="1"/>
    <col min="8973" max="8974" width="12.5703125" bestFit="1" customWidth="1"/>
    <col min="8975" max="8975" width="11.7109375" bestFit="1" customWidth="1"/>
    <col min="8976" max="8976" width="19" bestFit="1" customWidth="1"/>
    <col min="8977" max="8977" width="12.140625" bestFit="1" customWidth="1"/>
    <col min="9207" max="9207" width="15" bestFit="1" customWidth="1"/>
    <col min="9208" max="9208" width="68.28515625" bestFit="1" customWidth="1"/>
    <col min="9209" max="9209" width="9.140625" bestFit="1" customWidth="1"/>
    <col min="9210" max="9210" width="21.42578125" bestFit="1" customWidth="1"/>
    <col min="9211" max="9213" width="15.42578125" bestFit="1" customWidth="1"/>
    <col min="9214" max="9214" width="8.85546875" bestFit="1" customWidth="1"/>
    <col min="9215" max="9215" width="10" bestFit="1" customWidth="1"/>
    <col min="9216" max="9216" width="12.7109375" bestFit="1" customWidth="1"/>
    <col min="9217" max="9217" width="8.85546875" bestFit="1" customWidth="1"/>
    <col min="9218" max="9218" width="17.7109375" bestFit="1" customWidth="1"/>
    <col min="9219" max="9219" width="13" bestFit="1" customWidth="1"/>
    <col min="9220" max="9220" width="13.42578125" bestFit="1" customWidth="1"/>
    <col min="9221" max="9221" width="10.85546875" bestFit="1" customWidth="1"/>
    <col min="9222" max="9222" width="26.85546875" bestFit="1" customWidth="1"/>
    <col min="9223" max="9223" width="20.85546875" bestFit="1" customWidth="1"/>
    <col min="9224" max="9224" width="30.42578125" bestFit="1" customWidth="1"/>
    <col min="9225" max="9225" width="19.42578125" bestFit="1" customWidth="1"/>
    <col min="9226" max="9226" width="20.28515625" bestFit="1" customWidth="1"/>
    <col min="9227" max="9228" width="12" bestFit="1" customWidth="1"/>
    <col min="9229" max="9230" width="12.5703125" bestFit="1" customWidth="1"/>
    <col min="9231" max="9231" width="11.7109375" bestFit="1" customWidth="1"/>
    <col min="9232" max="9232" width="19" bestFit="1" customWidth="1"/>
    <col min="9233" max="9233" width="12.140625" bestFit="1" customWidth="1"/>
    <col min="9463" max="9463" width="15" bestFit="1" customWidth="1"/>
    <col min="9464" max="9464" width="68.28515625" bestFit="1" customWidth="1"/>
    <col min="9465" max="9465" width="9.140625" bestFit="1" customWidth="1"/>
    <col min="9466" max="9466" width="21.42578125" bestFit="1" customWidth="1"/>
    <col min="9467" max="9469" width="15.42578125" bestFit="1" customWidth="1"/>
    <col min="9470" max="9470" width="8.85546875" bestFit="1" customWidth="1"/>
    <col min="9471" max="9471" width="10" bestFit="1" customWidth="1"/>
    <col min="9472" max="9472" width="12.7109375" bestFit="1" customWidth="1"/>
    <col min="9473" max="9473" width="8.85546875" bestFit="1" customWidth="1"/>
    <col min="9474" max="9474" width="17.7109375" bestFit="1" customWidth="1"/>
    <col min="9475" max="9475" width="13" bestFit="1" customWidth="1"/>
    <col min="9476" max="9476" width="13.42578125" bestFit="1" customWidth="1"/>
    <col min="9477" max="9477" width="10.85546875" bestFit="1" customWidth="1"/>
    <col min="9478" max="9478" width="26.85546875" bestFit="1" customWidth="1"/>
    <col min="9479" max="9479" width="20.85546875" bestFit="1" customWidth="1"/>
    <col min="9480" max="9480" width="30.42578125" bestFit="1" customWidth="1"/>
    <col min="9481" max="9481" width="19.42578125" bestFit="1" customWidth="1"/>
    <col min="9482" max="9482" width="20.28515625" bestFit="1" customWidth="1"/>
    <col min="9483" max="9484" width="12" bestFit="1" customWidth="1"/>
    <col min="9485" max="9486" width="12.5703125" bestFit="1" customWidth="1"/>
    <col min="9487" max="9487" width="11.7109375" bestFit="1" customWidth="1"/>
    <col min="9488" max="9488" width="19" bestFit="1" customWidth="1"/>
    <col min="9489" max="9489" width="12.140625" bestFit="1" customWidth="1"/>
    <col min="9719" max="9719" width="15" bestFit="1" customWidth="1"/>
    <col min="9720" max="9720" width="68.28515625" bestFit="1" customWidth="1"/>
    <col min="9721" max="9721" width="9.140625" bestFit="1" customWidth="1"/>
    <col min="9722" max="9722" width="21.42578125" bestFit="1" customWidth="1"/>
    <col min="9723" max="9725" width="15.42578125" bestFit="1" customWidth="1"/>
    <col min="9726" max="9726" width="8.85546875" bestFit="1" customWidth="1"/>
    <col min="9727" max="9727" width="10" bestFit="1" customWidth="1"/>
    <col min="9728" max="9728" width="12.7109375" bestFit="1" customWidth="1"/>
    <col min="9729" max="9729" width="8.85546875" bestFit="1" customWidth="1"/>
    <col min="9730" max="9730" width="17.7109375" bestFit="1" customWidth="1"/>
    <col min="9731" max="9731" width="13" bestFit="1" customWidth="1"/>
    <col min="9732" max="9732" width="13.42578125" bestFit="1" customWidth="1"/>
    <col min="9733" max="9733" width="10.85546875" bestFit="1" customWidth="1"/>
    <col min="9734" max="9734" width="26.85546875" bestFit="1" customWidth="1"/>
    <col min="9735" max="9735" width="20.85546875" bestFit="1" customWidth="1"/>
    <col min="9736" max="9736" width="30.42578125" bestFit="1" customWidth="1"/>
    <col min="9737" max="9737" width="19.42578125" bestFit="1" customWidth="1"/>
    <col min="9738" max="9738" width="20.28515625" bestFit="1" customWidth="1"/>
    <col min="9739" max="9740" width="12" bestFit="1" customWidth="1"/>
    <col min="9741" max="9742" width="12.5703125" bestFit="1" customWidth="1"/>
    <col min="9743" max="9743" width="11.7109375" bestFit="1" customWidth="1"/>
    <col min="9744" max="9744" width="19" bestFit="1" customWidth="1"/>
    <col min="9745" max="9745" width="12.140625" bestFit="1" customWidth="1"/>
    <col min="9975" max="9975" width="15" bestFit="1" customWidth="1"/>
    <col min="9976" max="9976" width="68.28515625" bestFit="1" customWidth="1"/>
    <col min="9977" max="9977" width="9.140625" bestFit="1" customWidth="1"/>
    <col min="9978" max="9978" width="21.42578125" bestFit="1" customWidth="1"/>
    <col min="9979" max="9981" width="15.42578125" bestFit="1" customWidth="1"/>
    <col min="9982" max="9982" width="8.85546875" bestFit="1" customWidth="1"/>
    <col min="9983" max="9983" width="10" bestFit="1" customWidth="1"/>
    <col min="9984" max="9984" width="12.7109375" bestFit="1" customWidth="1"/>
    <col min="9985" max="9985" width="8.85546875" bestFit="1" customWidth="1"/>
    <col min="9986" max="9986" width="17.7109375" bestFit="1" customWidth="1"/>
    <col min="9987" max="9987" width="13" bestFit="1" customWidth="1"/>
    <col min="9988" max="9988" width="13.42578125" bestFit="1" customWidth="1"/>
    <col min="9989" max="9989" width="10.85546875" bestFit="1" customWidth="1"/>
    <col min="9990" max="9990" width="26.85546875" bestFit="1" customWidth="1"/>
    <col min="9991" max="9991" width="20.85546875" bestFit="1" customWidth="1"/>
    <col min="9992" max="9992" width="30.42578125" bestFit="1" customWidth="1"/>
    <col min="9993" max="9993" width="19.42578125" bestFit="1" customWidth="1"/>
    <col min="9994" max="9994" width="20.28515625" bestFit="1" customWidth="1"/>
    <col min="9995" max="9996" width="12" bestFit="1" customWidth="1"/>
    <col min="9997" max="9998" width="12.5703125" bestFit="1" customWidth="1"/>
    <col min="9999" max="9999" width="11.7109375" bestFit="1" customWidth="1"/>
    <col min="10000" max="10000" width="19" bestFit="1" customWidth="1"/>
    <col min="10001" max="10001" width="12.140625" bestFit="1" customWidth="1"/>
    <col min="10231" max="10231" width="15" bestFit="1" customWidth="1"/>
    <col min="10232" max="10232" width="68.28515625" bestFit="1" customWidth="1"/>
    <col min="10233" max="10233" width="9.140625" bestFit="1" customWidth="1"/>
    <col min="10234" max="10234" width="21.42578125" bestFit="1" customWidth="1"/>
    <col min="10235" max="10237" width="15.42578125" bestFit="1" customWidth="1"/>
    <col min="10238" max="10238" width="8.85546875" bestFit="1" customWidth="1"/>
    <col min="10239" max="10239" width="10" bestFit="1" customWidth="1"/>
    <col min="10240" max="10240" width="12.7109375" bestFit="1" customWidth="1"/>
    <col min="10241" max="10241" width="8.85546875" bestFit="1" customWidth="1"/>
    <col min="10242" max="10242" width="17.7109375" bestFit="1" customWidth="1"/>
    <col min="10243" max="10243" width="13" bestFit="1" customWidth="1"/>
    <col min="10244" max="10244" width="13.42578125" bestFit="1" customWidth="1"/>
    <col min="10245" max="10245" width="10.85546875" bestFit="1" customWidth="1"/>
    <col min="10246" max="10246" width="26.85546875" bestFit="1" customWidth="1"/>
    <col min="10247" max="10247" width="20.85546875" bestFit="1" customWidth="1"/>
    <col min="10248" max="10248" width="30.42578125" bestFit="1" customWidth="1"/>
    <col min="10249" max="10249" width="19.42578125" bestFit="1" customWidth="1"/>
    <col min="10250" max="10250" width="20.28515625" bestFit="1" customWidth="1"/>
    <col min="10251" max="10252" width="12" bestFit="1" customWidth="1"/>
    <col min="10253" max="10254" width="12.5703125" bestFit="1" customWidth="1"/>
    <col min="10255" max="10255" width="11.7109375" bestFit="1" customWidth="1"/>
    <col min="10256" max="10256" width="19" bestFit="1" customWidth="1"/>
    <col min="10257" max="10257" width="12.140625" bestFit="1" customWidth="1"/>
    <col min="10487" max="10487" width="15" bestFit="1" customWidth="1"/>
    <col min="10488" max="10488" width="68.28515625" bestFit="1" customWidth="1"/>
    <col min="10489" max="10489" width="9.140625" bestFit="1" customWidth="1"/>
    <col min="10490" max="10490" width="21.42578125" bestFit="1" customWidth="1"/>
    <col min="10491" max="10493" width="15.42578125" bestFit="1" customWidth="1"/>
    <col min="10494" max="10494" width="8.85546875" bestFit="1" customWidth="1"/>
    <col min="10495" max="10495" width="10" bestFit="1" customWidth="1"/>
    <col min="10496" max="10496" width="12.7109375" bestFit="1" customWidth="1"/>
    <col min="10497" max="10497" width="8.85546875" bestFit="1" customWidth="1"/>
    <col min="10498" max="10498" width="17.7109375" bestFit="1" customWidth="1"/>
    <col min="10499" max="10499" width="13" bestFit="1" customWidth="1"/>
    <col min="10500" max="10500" width="13.42578125" bestFit="1" customWidth="1"/>
    <col min="10501" max="10501" width="10.85546875" bestFit="1" customWidth="1"/>
    <col min="10502" max="10502" width="26.85546875" bestFit="1" customWidth="1"/>
    <col min="10503" max="10503" width="20.85546875" bestFit="1" customWidth="1"/>
    <col min="10504" max="10504" width="30.42578125" bestFit="1" customWidth="1"/>
    <col min="10505" max="10505" width="19.42578125" bestFit="1" customWidth="1"/>
    <col min="10506" max="10506" width="20.28515625" bestFit="1" customWidth="1"/>
    <col min="10507" max="10508" width="12" bestFit="1" customWidth="1"/>
    <col min="10509" max="10510" width="12.5703125" bestFit="1" customWidth="1"/>
    <col min="10511" max="10511" width="11.7109375" bestFit="1" customWidth="1"/>
    <col min="10512" max="10512" width="19" bestFit="1" customWidth="1"/>
    <col min="10513" max="10513" width="12.140625" bestFit="1" customWidth="1"/>
    <col min="10743" max="10743" width="15" bestFit="1" customWidth="1"/>
    <col min="10744" max="10744" width="68.28515625" bestFit="1" customWidth="1"/>
    <col min="10745" max="10745" width="9.140625" bestFit="1" customWidth="1"/>
    <col min="10746" max="10746" width="21.42578125" bestFit="1" customWidth="1"/>
    <col min="10747" max="10749" width="15.42578125" bestFit="1" customWidth="1"/>
    <col min="10750" max="10750" width="8.85546875" bestFit="1" customWidth="1"/>
    <col min="10751" max="10751" width="10" bestFit="1" customWidth="1"/>
    <col min="10752" max="10752" width="12.7109375" bestFit="1" customWidth="1"/>
    <col min="10753" max="10753" width="8.85546875" bestFit="1" customWidth="1"/>
    <col min="10754" max="10754" width="17.7109375" bestFit="1" customWidth="1"/>
    <col min="10755" max="10755" width="13" bestFit="1" customWidth="1"/>
    <col min="10756" max="10756" width="13.42578125" bestFit="1" customWidth="1"/>
    <col min="10757" max="10757" width="10.85546875" bestFit="1" customWidth="1"/>
    <col min="10758" max="10758" width="26.85546875" bestFit="1" customWidth="1"/>
    <col min="10759" max="10759" width="20.85546875" bestFit="1" customWidth="1"/>
    <col min="10760" max="10760" width="30.42578125" bestFit="1" customWidth="1"/>
    <col min="10761" max="10761" width="19.42578125" bestFit="1" customWidth="1"/>
    <col min="10762" max="10762" width="20.28515625" bestFit="1" customWidth="1"/>
    <col min="10763" max="10764" width="12" bestFit="1" customWidth="1"/>
    <col min="10765" max="10766" width="12.5703125" bestFit="1" customWidth="1"/>
    <col min="10767" max="10767" width="11.7109375" bestFit="1" customWidth="1"/>
    <col min="10768" max="10768" width="19" bestFit="1" customWidth="1"/>
    <col min="10769" max="10769" width="12.140625" bestFit="1" customWidth="1"/>
    <col min="10999" max="10999" width="15" bestFit="1" customWidth="1"/>
    <col min="11000" max="11000" width="68.28515625" bestFit="1" customWidth="1"/>
    <col min="11001" max="11001" width="9.140625" bestFit="1" customWidth="1"/>
    <col min="11002" max="11002" width="21.42578125" bestFit="1" customWidth="1"/>
    <col min="11003" max="11005" width="15.42578125" bestFit="1" customWidth="1"/>
    <col min="11006" max="11006" width="8.85546875" bestFit="1" customWidth="1"/>
    <col min="11007" max="11007" width="10" bestFit="1" customWidth="1"/>
    <col min="11008" max="11008" width="12.7109375" bestFit="1" customWidth="1"/>
    <col min="11009" max="11009" width="8.85546875" bestFit="1" customWidth="1"/>
    <col min="11010" max="11010" width="17.7109375" bestFit="1" customWidth="1"/>
    <col min="11011" max="11011" width="13" bestFit="1" customWidth="1"/>
    <col min="11012" max="11012" width="13.42578125" bestFit="1" customWidth="1"/>
    <col min="11013" max="11013" width="10.85546875" bestFit="1" customWidth="1"/>
    <col min="11014" max="11014" width="26.85546875" bestFit="1" customWidth="1"/>
    <col min="11015" max="11015" width="20.85546875" bestFit="1" customWidth="1"/>
    <col min="11016" max="11016" width="30.42578125" bestFit="1" customWidth="1"/>
    <col min="11017" max="11017" width="19.42578125" bestFit="1" customWidth="1"/>
    <col min="11018" max="11018" width="20.28515625" bestFit="1" customWidth="1"/>
    <col min="11019" max="11020" width="12" bestFit="1" customWidth="1"/>
    <col min="11021" max="11022" width="12.5703125" bestFit="1" customWidth="1"/>
    <col min="11023" max="11023" width="11.7109375" bestFit="1" customWidth="1"/>
    <col min="11024" max="11024" width="19" bestFit="1" customWidth="1"/>
    <col min="11025" max="11025" width="12.140625" bestFit="1" customWidth="1"/>
    <col min="11255" max="11255" width="15" bestFit="1" customWidth="1"/>
    <col min="11256" max="11256" width="68.28515625" bestFit="1" customWidth="1"/>
    <col min="11257" max="11257" width="9.140625" bestFit="1" customWidth="1"/>
    <col min="11258" max="11258" width="21.42578125" bestFit="1" customWidth="1"/>
    <col min="11259" max="11261" width="15.42578125" bestFit="1" customWidth="1"/>
    <col min="11262" max="11262" width="8.85546875" bestFit="1" customWidth="1"/>
    <col min="11263" max="11263" width="10" bestFit="1" customWidth="1"/>
    <col min="11264" max="11264" width="12.7109375" bestFit="1" customWidth="1"/>
    <col min="11265" max="11265" width="8.85546875" bestFit="1" customWidth="1"/>
    <col min="11266" max="11266" width="17.7109375" bestFit="1" customWidth="1"/>
    <col min="11267" max="11267" width="13" bestFit="1" customWidth="1"/>
    <col min="11268" max="11268" width="13.42578125" bestFit="1" customWidth="1"/>
    <col min="11269" max="11269" width="10.85546875" bestFit="1" customWidth="1"/>
    <col min="11270" max="11270" width="26.85546875" bestFit="1" customWidth="1"/>
    <col min="11271" max="11271" width="20.85546875" bestFit="1" customWidth="1"/>
    <col min="11272" max="11272" width="30.42578125" bestFit="1" customWidth="1"/>
    <col min="11273" max="11273" width="19.42578125" bestFit="1" customWidth="1"/>
    <col min="11274" max="11274" width="20.28515625" bestFit="1" customWidth="1"/>
    <col min="11275" max="11276" width="12" bestFit="1" customWidth="1"/>
    <col min="11277" max="11278" width="12.5703125" bestFit="1" customWidth="1"/>
    <col min="11279" max="11279" width="11.7109375" bestFit="1" customWidth="1"/>
    <col min="11280" max="11280" width="19" bestFit="1" customWidth="1"/>
    <col min="11281" max="11281" width="12.140625" bestFit="1" customWidth="1"/>
    <col min="11511" max="11511" width="15" bestFit="1" customWidth="1"/>
    <col min="11512" max="11512" width="68.28515625" bestFit="1" customWidth="1"/>
    <col min="11513" max="11513" width="9.140625" bestFit="1" customWidth="1"/>
    <col min="11514" max="11514" width="21.42578125" bestFit="1" customWidth="1"/>
    <col min="11515" max="11517" width="15.42578125" bestFit="1" customWidth="1"/>
    <col min="11518" max="11518" width="8.85546875" bestFit="1" customWidth="1"/>
    <col min="11519" max="11519" width="10" bestFit="1" customWidth="1"/>
    <col min="11520" max="11520" width="12.7109375" bestFit="1" customWidth="1"/>
    <col min="11521" max="11521" width="8.85546875" bestFit="1" customWidth="1"/>
    <col min="11522" max="11522" width="17.7109375" bestFit="1" customWidth="1"/>
    <col min="11523" max="11523" width="13" bestFit="1" customWidth="1"/>
    <col min="11524" max="11524" width="13.42578125" bestFit="1" customWidth="1"/>
    <col min="11525" max="11525" width="10.85546875" bestFit="1" customWidth="1"/>
    <col min="11526" max="11526" width="26.85546875" bestFit="1" customWidth="1"/>
    <col min="11527" max="11527" width="20.85546875" bestFit="1" customWidth="1"/>
    <col min="11528" max="11528" width="30.42578125" bestFit="1" customWidth="1"/>
    <col min="11529" max="11529" width="19.42578125" bestFit="1" customWidth="1"/>
    <col min="11530" max="11530" width="20.28515625" bestFit="1" customWidth="1"/>
    <col min="11531" max="11532" width="12" bestFit="1" customWidth="1"/>
    <col min="11533" max="11534" width="12.5703125" bestFit="1" customWidth="1"/>
    <col min="11535" max="11535" width="11.7109375" bestFit="1" customWidth="1"/>
    <col min="11536" max="11536" width="19" bestFit="1" customWidth="1"/>
    <col min="11537" max="11537" width="12.140625" bestFit="1" customWidth="1"/>
    <col min="11767" max="11767" width="15" bestFit="1" customWidth="1"/>
    <col min="11768" max="11768" width="68.28515625" bestFit="1" customWidth="1"/>
    <col min="11769" max="11769" width="9.140625" bestFit="1" customWidth="1"/>
    <col min="11770" max="11770" width="21.42578125" bestFit="1" customWidth="1"/>
    <col min="11771" max="11773" width="15.42578125" bestFit="1" customWidth="1"/>
    <col min="11774" max="11774" width="8.85546875" bestFit="1" customWidth="1"/>
    <col min="11775" max="11775" width="10" bestFit="1" customWidth="1"/>
    <col min="11776" max="11776" width="12.7109375" bestFit="1" customWidth="1"/>
    <col min="11777" max="11777" width="8.85546875" bestFit="1" customWidth="1"/>
    <col min="11778" max="11778" width="17.7109375" bestFit="1" customWidth="1"/>
    <col min="11779" max="11779" width="13" bestFit="1" customWidth="1"/>
    <col min="11780" max="11780" width="13.42578125" bestFit="1" customWidth="1"/>
    <col min="11781" max="11781" width="10.85546875" bestFit="1" customWidth="1"/>
    <col min="11782" max="11782" width="26.85546875" bestFit="1" customWidth="1"/>
    <col min="11783" max="11783" width="20.85546875" bestFit="1" customWidth="1"/>
    <col min="11784" max="11784" width="30.42578125" bestFit="1" customWidth="1"/>
    <col min="11785" max="11785" width="19.42578125" bestFit="1" customWidth="1"/>
    <col min="11786" max="11786" width="20.28515625" bestFit="1" customWidth="1"/>
    <col min="11787" max="11788" width="12" bestFit="1" customWidth="1"/>
    <col min="11789" max="11790" width="12.5703125" bestFit="1" customWidth="1"/>
    <col min="11791" max="11791" width="11.7109375" bestFit="1" customWidth="1"/>
    <col min="11792" max="11792" width="19" bestFit="1" customWidth="1"/>
    <col min="11793" max="11793" width="12.140625" bestFit="1" customWidth="1"/>
    <col min="12023" max="12023" width="15" bestFit="1" customWidth="1"/>
    <col min="12024" max="12024" width="68.28515625" bestFit="1" customWidth="1"/>
    <col min="12025" max="12025" width="9.140625" bestFit="1" customWidth="1"/>
    <col min="12026" max="12026" width="21.42578125" bestFit="1" customWidth="1"/>
    <col min="12027" max="12029" width="15.42578125" bestFit="1" customWidth="1"/>
    <col min="12030" max="12030" width="8.85546875" bestFit="1" customWidth="1"/>
    <col min="12031" max="12031" width="10" bestFit="1" customWidth="1"/>
    <col min="12032" max="12032" width="12.7109375" bestFit="1" customWidth="1"/>
    <col min="12033" max="12033" width="8.85546875" bestFit="1" customWidth="1"/>
    <col min="12034" max="12034" width="17.7109375" bestFit="1" customWidth="1"/>
    <col min="12035" max="12035" width="13" bestFit="1" customWidth="1"/>
    <col min="12036" max="12036" width="13.42578125" bestFit="1" customWidth="1"/>
    <col min="12037" max="12037" width="10.85546875" bestFit="1" customWidth="1"/>
    <col min="12038" max="12038" width="26.85546875" bestFit="1" customWidth="1"/>
    <col min="12039" max="12039" width="20.85546875" bestFit="1" customWidth="1"/>
    <col min="12040" max="12040" width="30.42578125" bestFit="1" customWidth="1"/>
    <col min="12041" max="12041" width="19.42578125" bestFit="1" customWidth="1"/>
    <col min="12042" max="12042" width="20.28515625" bestFit="1" customWidth="1"/>
    <col min="12043" max="12044" width="12" bestFit="1" customWidth="1"/>
    <col min="12045" max="12046" width="12.5703125" bestFit="1" customWidth="1"/>
    <col min="12047" max="12047" width="11.7109375" bestFit="1" customWidth="1"/>
    <col min="12048" max="12048" width="19" bestFit="1" customWidth="1"/>
    <col min="12049" max="12049" width="12.140625" bestFit="1" customWidth="1"/>
    <col min="12279" max="12279" width="15" bestFit="1" customWidth="1"/>
    <col min="12280" max="12280" width="68.28515625" bestFit="1" customWidth="1"/>
    <col min="12281" max="12281" width="9.140625" bestFit="1" customWidth="1"/>
    <col min="12282" max="12282" width="21.42578125" bestFit="1" customWidth="1"/>
    <col min="12283" max="12285" width="15.42578125" bestFit="1" customWidth="1"/>
    <col min="12286" max="12286" width="8.85546875" bestFit="1" customWidth="1"/>
    <col min="12287" max="12287" width="10" bestFit="1" customWidth="1"/>
    <col min="12288" max="12288" width="12.7109375" bestFit="1" customWidth="1"/>
    <col min="12289" max="12289" width="8.85546875" bestFit="1" customWidth="1"/>
    <col min="12290" max="12290" width="17.7109375" bestFit="1" customWidth="1"/>
    <col min="12291" max="12291" width="13" bestFit="1" customWidth="1"/>
    <col min="12292" max="12292" width="13.42578125" bestFit="1" customWidth="1"/>
    <col min="12293" max="12293" width="10.85546875" bestFit="1" customWidth="1"/>
    <col min="12294" max="12294" width="26.85546875" bestFit="1" customWidth="1"/>
    <col min="12295" max="12295" width="20.85546875" bestFit="1" customWidth="1"/>
    <col min="12296" max="12296" width="30.42578125" bestFit="1" customWidth="1"/>
    <col min="12297" max="12297" width="19.42578125" bestFit="1" customWidth="1"/>
    <col min="12298" max="12298" width="20.28515625" bestFit="1" customWidth="1"/>
    <col min="12299" max="12300" width="12" bestFit="1" customWidth="1"/>
    <col min="12301" max="12302" width="12.5703125" bestFit="1" customWidth="1"/>
    <col min="12303" max="12303" width="11.7109375" bestFit="1" customWidth="1"/>
    <col min="12304" max="12304" width="19" bestFit="1" customWidth="1"/>
    <col min="12305" max="12305" width="12.140625" bestFit="1" customWidth="1"/>
    <col min="12535" max="12535" width="15" bestFit="1" customWidth="1"/>
    <col min="12536" max="12536" width="68.28515625" bestFit="1" customWidth="1"/>
    <col min="12537" max="12537" width="9.140625" bestFit="1" customWidth="1"/>
    <col min="12538" max="12538" width="21.42578125" bestFit="1" customWidth="1"/>
    <col min="12539" max="12541" width="15.42578125" bestFit="1" customWidth="1"/>
    <col min="12542" max="12542" width="8.85546875" bestFit="1" customWidth="1"/>
    <col min="12543" max="12543" width="10" bestFit="1" customWidth="1"/>
    <col min="12544" max="12544" width="12.7109375" bestFit="1" customWidth="1"/>
    <col min="12545" max="12545" width="8.85546875" bestFit="1" customWidth="1"/>
    <col min="12546" max="12546" width="17.7109375" bestFit="1" customWidth="1"/>
    <col min="12547" max="12547" width="13" bestFit="1" customWidth="1"/>
    <col min="12548" max="12548" width="13.42578125" bestFit="1" customWidth="1"/>
    <col min="12549" max="12549" width="10.85546875" bestFit="1" customWidth="1"/>
    <col min="12550" max="12550" width="26.85546875" bestFit="1" customWidth="1"/>
    <col min="12551" max="12551" width="20.85546875" bestFit="1" customWidth="1"/>
    <col min="12552" max="12552" width="30.42578125" bestFit="1" customWidth="1"/>
    <col min="12553" max="12553" width="19.42578125" bestFit="1" customWidth="1"/>
    <col min="12554" max="12554" width="20.28515625" bestFit="1" customWidth="1"/>
    <col min="12555" max="12556" width="12" bestFit="1" customWidth="1"/>
    <col min="12557" max="12558" width="12.5703125" bestFit="1" customWidth="1"/>
    <col min="12559" max="12559" width="11.7109375" bestFit="1" customWidth="1"/>
    <col min="12560" max="12560" width="19" bestFit="1" customWidth="1"/>
    <col min="12561" max="12561" width="12.140625" bestFit="1" customWidth="1"/>
    <col min="12791" max="12791" width="15" bestFit="1" customWidth="1"/>
    <col min="12792" max="12792" width="68.28515625" bestFit="1" customWidth="1"/>
    <col min="12793" max="12793" width="9.140625" bestFit="1" customWidth="1"/>
    <col min="12794" max="12794" width="21.42578125" bestFit="1" customWidth="1"/>
    <col min="12795" max="12797" width="15.42578125" bestFit="1" customWidth="1"/>
    <col min="12798" max="12798" width="8.85546875" bestFit="1" customWidth="1"/>
    <col min="12799" max="12799" width="10" bestFit="1" customWidth="1"/>
    <col min="12800" max="12800" width="12.7109375" bestFit="1" customWidth="1"/>
    <col min="12801" max="12801" width="8.85546875" bestFit="1" customWidth="1"/>
    <col min="12802" max="12802" width="17.7109375" bestFit="1" customWidth="1"/>
    <col min="12803" max="12803" width="13" bestFit="1" customWidth="1"/>
    <col min="12804" max="12804" width="13.42578125" bestFit="1" customWidth="1"/>
    <col min="12805" max="12805" width="10.85546875" bestFit="1" customWidth="1"/>
    <col min="12806" max="12806" width="26.85546875" bestFit="1" customWidth="1"/>
    <col min="12807" max="12807" width="20.85546875" bestFit="1" customWidth="1"/>
    <col min="12808" max="12808" width="30.42578125" bestFit="1" customWidth="1"/>
    <col min="12809" max="12809" width="19.42578125" bestFit="1" customWidth="1"/>
    <col min="12810" max="12810" width="20.28515625" bestFit="1" customWidth="1"/>
    <col min="12811" max="12812" width="12" bestFit="1" customWidth="1"/>
    <col min="12813" max="12814" width="12.5703125" bestFit="1" customWidth="1"/>
    <col min="12815" max="12815" width="11.7109375" bestFit="1" customWidth="1"/>
    <col min="12816" max="12816" width="19" bestFit="1" customWidth="1"/>
    <col min="12817" max="12817" width="12.140625" bestFit="1" customWidth="1"/>
    <col min="13047" max="13047" width="15" bestFit="1" customWidth="1"/>
    <col min="13048" max="13048" width="68.28515625" bestFit="1" customWidth="1"/>
    <col min="13049" max="13049" width="9.140625" bestFit="1" customWidth="1"/>
    <col min="13050" max="13050" width="21.42578125" bestFit="1" customWidth="1"/>
    <col min="13051" max="13053" width="15.42578125" bestFit="1" customWidth="1"/>
    <col min="13054" max="13054" width="8.85546875" bestFit="1" customWidth="1"/>
    <col min="13055" max="13055" width="10" bestFit="1" customWidth="1"/>
    <col min="13056" max="13056" width="12.7109375" bestFit="1" customWidth="1"/>
    <col min="13057" max="13057" width="8.85546875" bestFit="1" customWidth="1"/>
    <col min="13058" max="13058" width="17.7109375" bestFit="1" customWidth="1"/>
    <col min="13059" max="13059" width="13" bestFit="1" customWidth="1"/>
    <col min="13060" max="13060" width="13.42578125" bestFit="1" customWidth="1"/>
    <col min="13061" max="13061" width="10.85546875" bestFit="1" customWidth="1"/>
    <col min="13062" max="13062" width="26.85546875" bestFit="1" customWidth="1"/>
    <col min="13063" max="13063" width="20.85546875" bestFit="1" customWidth="1"/>
    <col min="13064" max="13064" width="30.42578125" bestFit="1" customWidth="1"/>
    <col min="13065" max="13065" width="19.42578125" bestFit="1" customWidth="1"/>
    <col min="13066" max="13066" width="20.28515625" bestFit="1" customWidth="1"/>
    <col min="13067" max="13068" width="12" bestFit="1" customWidth="1"/>
    <col min="13069" max="13070" width="12.5703125" bestFit="1" customWidth="1"/>
    <col min="13071" max="13071" width="11.7109375" bestFit="1" customWidth="1"/>
    <col min="13072" max="13072" width="19" bestFit="1" customWidth="1"/>
    <col min="13073" max="13073" width="12.140625" bestFit="1" customWidth="1"/>
    <col min="13303" max="13303" width="15" bestFit="1" customWidth="1"/>
    <col min="13304" max="13304" width="68.28515625" bestFit="1" customWidth="1"/>
    <col min="13305" max="13305" width="9.140625" bestFit="1" customWidth="1"/>
    <col min="13306" max="13306" width="21.42578125" bestFit="1" customWidth="1"/>
    <col min="13307" max="13309" width="15.42578125" bestFit="1" customWidth="1"/>
    <col min="13310" max="13310" width="8.85546875" bestFit="1" customWidth="1"/>
    <col min="13311" max="13311" width="10" bestFit="1" customWidth="1"/>
    <col min="13312" max="13312" width="12.7109375" bestFit="1" customWidth="1"/>
    <col min="13313" max="13313" width="8.85546875" bestFit="1" customWidth="1"/>
    <col min="13314" max="13314" width="17.7109375" bestFit="1" customWidth="1"/>
    <col min="13315" max="13315" width="13" bestFit="1" customWidth="1"/>
    <col min="13316" max="13316" width="13.42578125" bestFit="1" customWidth="1"/>
    <col min="13317" max="13317" width="10.85546875" bestFit="1" customWidth="1"/>
    <col min="13318" max="13318" width="26.85546875" bestFit="1" customWidth="1"/>
    <col min="13319" max="13319" width="20.85546875" bestFit="1" customWidth="1"/>
    <col min="13320" max="13320" width="30.42578125" bestFit="1" customWidth="1"/>
    <col min="13321" max="13321" width="19.42578125" bestFit="1" customWidth="1"/>
    <col min="13322" max="13322" width="20.28515625" bestFit="1" customWidth="1"/>
    <col min="13323" max="13324" width="12" bestFit="1" customWidth="1"/>
    <col min="13325" max="13326" width="12.5703125" bestFit="1" customWidth="1"/>
    <col min="13327" max="13327" width="11.7109375" bestFit="1" customWidth="1"/>
    <col min="13328" max="13328" width="19" bestFit="1" customWidth="1"/>
    <col min="13329" max="13329" width="12.140625" bestFit="1" customWidth="1"/>
    <col min="13559" max="13559" width="15" bestFit="1" customWidth="1"/>
    <col min="13560" max="13560" width="68.28515625" bestFit="1" customWidth="1"/>
    <col min="13561" max="13561" width="9.140625" bestFit="1" customWidth="1"/>
    <col min="13562" max="13562" width="21.42578125" bestFit="1" customWidth="1"/>
    <col min="13563" max="13565" width="15.42578125" bestFit="1" customWidth="1"/>
    <col min="13566" max="13566" width="8.85546875" bestFit="1" customWidth="1"/>
    <col min="13567" max="13567" width="10" bestFit="1" customWidth="1"/>
    <col min="13568" max="13568" width="12.7109375" bestFit="1" customWidth="1"/>
    <col min="13569" max="13569" width="8.85546875" bestFit="1" customWidth="1"/>
    <col min="13570" max="13570" width="17.7109375" bestFit="1" customWidth="1"/>
    <col min="13571" max="13571" width="13" bestFit="1" customWidth="1"/>
    <col min="13572" max="13572" width="13.42578125" bestFit="1" customWidth="1"/>
    <col min="13573" max="13573" width="10.85546875" bestFit="1" customWidth="1"/>
    <col min="13574" max="13574" width="26.85546875" bestFit="1" customWidth="1"/>
    <col min="13575" max="13575" width="20.85546875" bestFit="1" customWidth="1"/>
    <col min="13576" max="13576" width="30.42578125" bestFit="1" customWidth="1"/>
    <col min="13577" max="13577" width="19.42578125" bestFit="1" customWidth="1"/>
    <col min="13578" max="13578" width="20.28515625" bestFit="1" customWidth="1"/>
    <col min="13579" max="13580" width="12" bestFit="1" customWidth="1"/>
    <col min="13581" max="13582" width="12.5703125" bestFit="1" customWidth="1"/>
    <col min="13583" max="13583" width="11.7109375" bestFit="1" customWidth="1"/>
    <col min="13584" max="13584" width="19" bestFit="1" customWidth="1"/>
    <col min="13585" max="13585" width="12.140625" bestFit="1" customWidth="1"/>
    <col min="13815" max="13815" width="15" bestFit="1" customWidth="1"/>
    <col min="13816" max="13816" width="68.28515625" bestFit="1" customWidth="1"/>
    <col min="13817" max="13817" width="9.140625" bestFit="1" customWidth="1"/>
    <col min="13818" max="13818" width="21.42578125" bestFit="1" customWidth="1"/>
    <col min="13819" max="13821" width="15.42578125" bestFit="1" customWidth="1"/>
    <col min="13822" max="13822" width="8.85546875" bestFit="1" customWidth="1"/>
    <col min="13823" max="13823" width="10" bestFit="1" customWidth="1"/>
    <col min="13824" max="13824" width="12.7109375" bestFit="1" customWidth="1"/>
    <col min="13825" max="13825" width="8.85546875" bestFit="1" customWidth="1"/>
    <col min="13826" max="13826" width="17.7109375" bestFit="1" customWidth="1"/>
    <col min="13827" max="13827" width="13" bestFit="1" customWidth="1"/>
    <col min="13828" max="13828" width="13.42578125" bestFit="1" customWidth="1"/>
    <col min="13829" max="13829" width="10.85546875" bestFit="1" customWidth="1"/>
    <col min="13830" max="13830" width="26.85546875" bestFit="1" customWidth="1"/>
    <col min="13831" max="13831" width="20.85546875" bestFit="1" customWidth="1"/>
    <col min="13832" max="13832" width="30.42578125" bestFit="1" customWidth="1"/>
    <col min="13833" max="13833" width="19.42578125" bestFit="1" customWidth="1"/>
    <col min="13834" max="13834" width="20.28515625" bestFit="1" customWidth="1"/>
    <col min="13835" max="13836" width="12" bestFit="1" customWidth="1"/>
    <col min="13837" max="13838" width="12.5703125" bestFit="1" customWidth="1"/>
    <col min="13839" max="13839" width="11.7109375" bestFit="1" customWidth="1"/>
    <col min="13840" max="13840" width="19" bestFit="1" customWidth="1"/>
    <col min="13841" max="13841" width="12.140625" bestFit="1" customWidth="1"/>
    <col min="14071" max="14071" width="15" bestFit="1" customWidth="1"/>
    <col min="14072" max="14072" width="68.28515625" bestFit="1" customWidth="1"/>
    <col min="14073" max="14073" width="9.140625" bestFit="1" customWidth="1"/>
    <col min="14074" max="14074" width="21.42578125" bestFit="1" customWidth="1"/>
    <col min="14075" max="14077" width="15.42578125" bestFit="1" customWidth="1"/>
    <col min="14078" max="14078" width="8.85546875" bestFit="1" customWidth="1"/>
    <col min="14079" max="14079" width="10" bestFit="1" customWidth="1"/>
    <col min="14080" max="14080" width="12.7109375" bestFit="1" customWidth="1"/>
    <col min="14081" max="14081" width="8.85546875" bestFit="1" customWidth="1"/>
    <col min="14082" max="14082" width="17.7109375" bestFit="1" customWidth="1"/>
    <col min="14083" max="14083" width="13" bestFit="1" customWidth="1"/>
    <col min="14084" max="14084" width="13.42578125" bestFit="1" customWidth="1"/>
    <col min="14085" max="14085" width="10.85546875" bestFit="1" customWidth="1"/>
    <col min="14086" max="14086" width="26.85546875" bestFit="1" customWidth="1"/>
    <col min="14087" max="14087" width="20.85546875" bestFit="1" customWidth="1"/>
    <col min="14088" max="14088" width="30.42578125" bestFit="1" customWidth="1"/>
    <col min="14089" max="14089" width="19.42578125" bestFit="1" customWidth="1"/>
    <col min="14090" max="14090" width="20.28515625" bestFit="1" customWidth="1"/>
    <col min="14091" max="14092" width="12" bestFit="1" customWidth="1"/>
    <col min="14093" max="14094" width="12.5703125" bestFit="1" customWidth="1"/>
    <col min="14095" max="14095" width="11.7109375" bestFit="1" customWidth="1"/>
    <col min="14096" max="14096" width="19" bestFit="1" customWidth="1"/>
    <col min="14097" max="14097" width="12.140625" bestFit="1" customWidth="1"/>
    <col min="14327" max="14327" width="15" bestFit="1" customWidth="1"/>
    <col min="14328" max="14328" width="68.28515625" bestFit="1" customWidth="1"/>
    <col min="14329" max="14329" width="9.140625" bestFit="1" customWidth="1"/>
    <col min="14330" max="14330" width="21.42578125" bestFit="1" customWidth="1"/>
    <col min="14331" max="14333" width="15.42578125" bestFit="1" customWidth="1"/>
    <col min="14334" max="14334" width="8.85546875" bestFit="1" customWidth="1"/>
    <col min="14335" max="14335" width="10" bestFit="1" customWidth="1"/>
    <col min="14336" max="14336" width="12.7109375" bestFit="1" customWidth="1"/>
    <col min="14337" max="14337" width="8.85546875" bestFit="1" customWidth="1"/>
    <col min="14338" max="14338" width="17.7109375" bestFit="1" customWidth="1"/>
    <col min="14339" max="14339" width="13" bestFit="1" customWidth="1"/>
    <col min="14340" max="14340" width="13.42578125" bestFit="1" customWidth="1"/>
    <col min="14341" max="14341" width="10.85546875" bestFit="1" customWidth="1"/>
    <col min="14342" max="14342" width="26.85546875" bestFit="1" customWidth="1"/>
    <col min="14343" max="14343" width="20.85546875" bestFit="1" customWidth="1"/>
    <col min="14344" max="14344" width="30.42578125" bestFit="1" customWidth="1"/>
    <col min="14345" max="14345" width="19.42578125" bestFit="1" customWidth="1"/>
    <col min="14346" max="14346" width="20.28515625" bestFit="1" customWidth="1"/>
    <col min="14347" max="14348" width="12" bestFit="1" customWidth="1"/>
    <col min="14349" max="14350" width="12.5703125" bestFit="1" customWidth="1"/>
    <col min="14351" max="14351" width="11.7109375" bestFit="1" customWidth="1"/>
    <col min="14352" max="14352" width="19" bestFit="1" customWidth="1"/>
    <col min="14353" max="14353" width="12.140625" bestFit="1" customWidth="1"/>
    <col min="14583" max="14583" width="15" bestFit="1" customWidth="1"/>
    <col min="14584" max="14584" width="68.28515625" bestFit="1" customWidth="1"/>
    <col min="14585" max="14585" width="9.140625" bestFit="1" customWidth="1"/>
    <col min="14586" max="14586" width="21.42578125" bestFit="1" customWidth="1"/>
    <col min="14587" max="14589" width="15.42578125" bestFit="1" customWidth="1"/>
    <col min="14590" max="14590" width="8.85546875" bestFit="1" customWidth="1"/>
    <col min="14591" max="14591" width="10" bestFit="1" customWidth="1"/>
    <col min="14592" max="14592" width="12.7109375" bestFit="1" customWidth="1"/>
    <col min="14593" max="14593" width="8.85546875" bestFit="1" customWidth="1"/>
    <col min="14594" max="14594" width="17.7109375" bestFit="1" customWidth="1"/>
    <col min="14595" max="14595" width="13" bestFit="1" customWidth="1"/>
    <col min="14596" max="14596" width="13.42578125" bestFit="1" customWidth="1"/>
    <col min="14597" max="14597" width="10.85546875" bestFit="1" customWidth="1"/>
    <col min="14598" max="14598" width="26.85546875" bestFit="1" customWidth="1"/>
    <col min="14599" max="14599" width="20.85546875" bestFit="1" customWidth="1"/>
    <col min="14600" max="14600" width="30.42578125" bestFit="1" customWidth="1"/>
    <col min="14601" max="14601" width="19.42578125" bestFit="1" customWidth="1"/>
    <col min="14602" max="14602" width="20.28515625" bestFit="1" customWidth="1"/>
    <col min="14603" max="14604" width="12" bestFit="1" customWidth="1"/>
    <col min="14605" max="14606" width="12.5703125" bestFit="1" customWidth="1"/>
    <col min="14607" max="14607" width="11.7109375" bestFit="1" customWidth="1"/>
    <col min="14608" max="14608" width="19" bestFit="1" customWidth="1"/>
    <col min="14609" max="14609" width="12.140625" bestFit="1" customWidth="1"/>
    <col min="14839" max="14839" width="15" bestFit="1" customWidth="1"/>
    <col min="14840" max="14840" width="68.28515625" bestFit="1" customWidth="1"/>
    <col min="14841" max="14841" width="9.140625" bestFit="1" customWidth="1"/>
    <col min="14842" max="14842" width="21.42578125" bestFit="1" customWidth="1"/>
    <col min="14843" max="14845" width="15.42578125" bestFit="1" customWidth="1"/>
    <col min="14846" max="14846" width="8.85546875" bestFit="1" customWidth="1"/>
    <col min="14847" max="14847" width="10" bestFit="1" customWidth="1"/>
    <col min="14848" max="14848" width="12.7109375" bestFit="1" customWidth="1"/>
    <col min="14849" max="14849" width="8.85546875" bestFit="1" customWidth="1"/>
    <col min="14850" max="14850" width="17.7109375" bestFit="1" customWidth="1"/>
    <col min="14851" max="14851" width="13" bestFit="1" customWidth="1"/>
    <col min="14852" max="14852" width="13.42578125" bestFit="1" customWidth="1"/>
    <col min="14853" max="14853" width="10.85546875" bestFit="1" customWidth="1"/>
    <col min="14854" max="14854" width="26.85546875" bestFit="1" customWidth="1"/>
    <col min="14855" max="14855" width="20.85546875" bestFit="1" customWidth="1"/>
    <col min="14856" max="14856" width="30.42578125" bestFit="1" customWidth="1"/>
    <col min="14857" max="14857" width="19.42578125" bestFit="1" customWidth="1"/>
    <col min="14858" max="14858" width="20.28515625" bestFit="1" customWidth="1"/>
    <col min="14859" max="14860" width="12" bestFit="1" customWidth="1"/>
    <col min="14861" max="14862" width="12.5703125" bestFit="1" customWidth="1"/>
    <col min="14863" max="14863" width="11.7109375" bestFit="1" customWidth="1"/>
    <col min="14864" max="14864" width="19" bestFit="1" customWidth="1"/>
    <col min="14865" max="14865" width="12.140625" bestFit="1" customWidth="1"/>
    <col min="15095" max="15095" width="15" bestFit="1" customWidth="1"/>
    <col min="15096" max="15096" width="68.28515625" bestFit="1" customWidth="1"/>
    <col min="15097" max="15097" width="9.140625" bestFit="1" customWidth="1"/>
    <col min="15098" max="15098" width="21.42578125" bestFit="1" customWidth="1"/>
    <col min="15099" max="15101" width="15.42578125" bestFit="1" customWidth="1"/>
    <col min="15102" max="15102" width="8.85546875" bestFit="1" customWidth="1"/>
    <col min="15103" max="15103" width="10" bestFit="1" customWidth="1"/>
    <col min="15104" max="15104" width="12.7109375" bestFit="1" customWidth="1"/>
    <col min="15105" max="15105" width="8.85546875" bestFit="1" customWidth="1"/>
    <col min="15106" max="15106" width="17.7109375" bestFit="1" customWidth="1"/>
    <col min="15107" max="15107" width="13" bestFit="1" customWidth="1"/>
    <col min="15108" max="15108" width="13.42578125" bestFit="1" customWidth="1"/>
    <col min="15109" max="15109" width="10.85546875" bestFit="1" customWidth="1"/>
    <col min="15110" max="15110" width="26.85546875" bestFit="1" customWidth="1"/>
    <col min="15111" max="15111" width="20.85546875" bestFit="1" customWidth="1"/>
    <col min="15112" max="15112" width="30.42578125" bestFit="1" customWidth="1"/>
    <col min="15113" max="15113" width="19.42578125" bestFit="1" customWidth="1"/>
    <col min="15114" max="15114" width="20.28515625" bestFit="1" customWidth="1"/>
    <col min="15115" max="15116" width="12" bestFit="1" customWidth="1"/>
    <col min="15117" max="15118" width="12.5703125" bestFit="1" customWidth="1"/>
    <col min="15119" max="15119" width="11.7109375" bestFit="1" customWidth="1"/>
    <col min="15120" max="15120" width="19" bestFit="1" customWidth="1"/>
    <col min="15121" max="15121" width="12.140625" bestFit="1" customWidth="1"/>
    <col min="15351" max="15351" width="15" bestFit="1" customWidth="1"/>
    <col min="15352" max="15352" width="68.28515625" bestFit="1" customWidth="1"/>
    <col min="15353" max="15353" width="9.140625" bestFit="1" customWidth="1"/>
    <col min="15354" max="15354" width="21.42578125" bestFit="1" customWidth="1"/>
    <col min="15355" max="15357" width="15.42578125" bestFit="1" customWidth="1"/>
    <col min="15358" max="15358" width="8.85546875" bestFit="1" customWidth="1"/>
    <col min="15359" max="15359" width="10" bestFit="1" customWidth="1"/>
    <col min="15360" max="15360" width="12.7109375" bestFit="1" customWidth="1"/>
    <col min="15361" max="15361" width="8.85546875" bestFit="1" customWidth="1"/>
    <col min="15362" max="15362" width="17.7109375" bestFit="1" customWidth="1"/>
    <col min="15363" max="15363" width="13" bestFit="1" customWidth="1"/>
    <col min="15364" max="15364" width="13.42578125" bestFit="1" customWidth="1"/>
    <col min="15365" max="15365" width="10.85546875" bestFit="1" customWidth="1"/>
    <col min="15366" max="15366" width="26.85546875" bestFit="1" customWidth="1"/>
    <col min="15367" max="15367" width="20.85546875" bestFit="1" customWidth="1"/>
    <col min="15368" max="15368" width="30.42578125" bestFit="1" customWidth="1"/>
    <col min="15369" max="15369" width="19.42578125" bestFit="1" customWidth="1"/>
    <col min="15370" max="15370" width="20.28515625" bestFit="1" customWidth="1"/>
    <col min="15371" max="15372" width="12" bestFit="1" customWidth="1"/>
    <col min="15373" max="15374" width="12.5703125" bestFit="1" customWidth="1"/>
    <col min="15375" max="15375" width="11.7109375" bestFit="1" customWidth="1"/>
    <col min="15376" max="15376" width="19" bestFit="1" customWidth="1"/>
    <col min="15377" max="15377" width="12.140625" bestFit="1" customWidth="1"/>
    <col min="15607" max="15607" width="15" bestFit="1" customWidth="1"/>
    <col min="15608" max="15608" width="68.28515625" bestFit="1" customWidth="1"/>
    <col min="15609" max="15609" width="9.140625" bestFit="1" customWidth="1"/>
    <col min="15610" max="15610" width="21.42578125" bestFit="1" customWidth="1"/>
    <col min="15611" max="15613" width="15.42578125" bestFit="1" customWidth="1"/>
    <col min="15614" max="15614" width="8.85546875" bestFit="1" customWidth="1"/>
    <col min="15615" max="15615" width="10" bestFit="1" customWidth="1"/>
    <col min="15616" max="15616" width="12.7109375" bestFit="1" customWidth="1"/>
    <col min="15617" max="15617" width="8.85546875" bestFit="1" customWidth="1"/>
    <col min="15618" max="15618" width="17.7109375" bestFit="1" customWidth="1"/>
    <col min="15619" max="15619" width="13" bestFit="1" customWidth="1"/>
    <col min="15620" max="15620" width="13.42578125" bestFit="1" customWidth="1"/>
    <col min="15621" max="15621" width="10.85546875" bestFit="1" customWidth="1"/>
    <col min="15622" max="15622" width="26.85546875" bestFit="1" customWidth="1"/>
    <col min="15623" max="15623" width="20.85546875" bestFit="1" customWidth="1"/>
    <col min="15624" max="15624" width="30.42578125" bestFit="1" customWidth="1"/>
    <col min="15625" max="15625" width="19.42578125" bestFit="1" customWidth="1"/>
    <col min="15626" max="15626" width="20.28515625" bestFit="1" customWidth="1"/>
    <col min="15627" max="15628" width="12" bestFit="1" customWidth="1"/>
    <col min="15629" max="15630" width="12.5703125" bestFit="1" customWidth="1"/>
    <col min="15631" max="15631" width="11.7109375" bestFit="1" customWidth="1"/>
    <col min="15632" max="15632" width="19" bestFit="1" customWidth="1"/>
    <col min="15633" max="15633" width="12.140625" bestFit="1" customWidth="1"/>
    <col min="15863" max="15863" width="15" bestFit="1" customWidth="1"/>
    <col min="15864" max="15864" width="68.28515625" bestFit="1" customWidth="1"/>
    <col min="15865" max="15865" width="9.140625" bestFit="1" customWidth="1"/>
    <col min="15866" max="15866" width="21.42578125" bestFit="1" customWidth="1"/>
    <col min="15867" max="15869" width="15.42578125" bestFit="1" customWidth="1"/>
    <col min="15870" max="15870" width="8.85546875" bestFit="1" customWidth="1"/>
    <col min="15871" max="15871" width="10" bestFit="1" customWidth="1"/>
    <col min="15872" max="15872" width="12.7109375" bestFit="1" customWidth="1"/>
    <col min="15873" max="15873" width="8.85546875" bestFit="1" customWidth="1"/>
    <col min="15874" max="15874" width="17.7109375" bestFit="1" customWidth="1"/>
    <col min="15875" max="15875" width="13" bestFit="1" customWidth="1"/>
    <col min="15876" max="15876" width="13.42578125" bestFit="1" customWidth="1"/>
    <col min="15877" max="15877" width="10.85546875" bestFit="1" customWidth="1"/>
    <col min="15878" max="15878" width="26.85546875" bestFit="1" customWidth="1"/>
    <col min="15879" max="15879" width="20.85546875" bestFit="1" customWidth="1"/>
    <col min="15880" max="15880" width="30.42578125" bestFit="1" customWidth="1"/>
    <col min="15881" max="15881" width="19.42578125" bestFit="1" customWidth="1"/>
    <col min="15882" max="15882" width="20.28515625" bestFit="1" customWidth="1"/>
    <col min="15883" max="15884" width="12" bestFit="1" customWidth="1"/>
    <col min="15885" max="15886" width="12.5703125" bestFit="1" customWidth="1"/>
    <col min="15887" max="15887" width="11.7109375" bestFit="1" customWidth="1"/>
    <col min="15888" max="15888" width="19" bestFit="1" customWidth="1"/>
    <col min="15889" max="15889" width="12.140625" bestFit="1" customWidth="1"/>
    <col min="16119" max="16119" width="15" bestFit="1" customWidth="1"/>
    <col min="16120" max="16120" width="68.28515625" bestFit="1" customWidth="1"/>
    <col min="16121" max="16121" width="9.140625" bestFit="1" customWidth="1"/>
    <col min="16122" max="16122" width="21.42578125" bestFit="1" customWidth="1"/>
    <col min="16123" max="16125" width="15.42578125" bestFit="1" customWidth="1"/>
    <col min="16126" max="16126" width="8.85546875" bestFit="1" customWidth="1"/>
    <col min="16127" max="16127" width="10" bestFit="1" customWidth="1"/>
    <col min="16128" max="16128" width="12.7109375" bestFit="1" customWidth="1"/>
    <col min="16129" max="16129" width="8.85546875" bestFit="1" customWidth="1"/>
    <col min="16130" max="16130" width="17.7109375" bestFit="1" customWidth="1"/>
    <col min="16131" max="16131" width="13" bestFit="1" customWidth="1"/>
    <col min="16132" max="16132" width="13.42578125" bestFit="1" customWidth="1"/>
    <col min="16133" max="16133" width="10.85546875" bestFit="1" customWidth="1"/>
    <col min="16134" max="16134" width="26.85546875" bestFit="1" customWidth="1"/>
    <col min="16135" max="16135" width="20.85546875" bestFit="1" customWidth="1"/>
    <col min="16136" max="16136" width="30.42578125" bestFit="1" customWidth="1"/>
    <col min="16137" max="16137" width="19.42578125" bestFit="1" customWidth="1"/>
    <col min="16138" max="16138" width="20.28515625" bestFit="1" customWidth="1"/>
    <col min="16139" max="16140" width="12" bestFit="1" customWidth="1"/>
    <col min="16141" max="16142" width="12.5703125" bestFit="1" customWidth="1"/>
    <col min="16143" max="16143" width="11.7109375" bestFit="1" customWidth="1"/>
    <col min="16144" max="16144" width="19" bestFit="1" customWidth="1"/>
    <col min="16145" max="16145" width="12.140625" bestFit="1" customWidth="1"/>
  </cols>
  <sheetData>
    <row r="1" spans="1:43" s="12" customFormat="1" ht="18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x14ac:dyDescent="0.25">
      <c r="A2" s="24" t="s">
        <v>11017</v>
      </c>
      <c r="C2" t="str">
        <f t="shared" ref="C2:C36" si="0">CONCATENATE(LEFT(T2,3),RIGHT(A2,8))</f>
        <v>BEB95643767</v>
      </c>
      <c r="D2" t="s">
        <v>8689</v>
      </c>
      <c r="E2" s="24" t="s">
        <v>11018</v>
      </c>
      <c r="F2" s="61">
        <v>3217.5</v>
      </c>
      <c r="G2" s="7">
        <v>21</v>
      </c>
      <c r="H2" s="8" t="s">
        <v>8690</v>
      </c>
      <c r="I2">
        <v>6</v>
      </c>
      <c r="J2">
        <f>ARTICULOS_YAMANIL[[#This Row],[Bulto]]</f>
        <v>6</v>
      </c>
      <c r="K2">
        <f t="shared" ref="K2:K36" si="1">500*1%</f>
        <v>5</v>
      </c>
      <c r="L2" s="57">
        <f>((ARTICULOS_YAMANIL[[#This Row],[P. Compra]]*(1+ARTICULOS_YAMANIL[[#This Row],[IVA]]%))/ARTICULOS_YAMANIL[[#This Row],[UnidFact]])+ARTICULOS_YAMANIL[[#This Row],[CostoFlete]]</f>
        <v>653.86249999999995</v>
      </c>
      <c r="M2">
        <v>35</v>
      </c>
      <c r="N2" s="32">
        <f t="shared" ref="N2:N35" si="2">IF(L2&gt;=5,MROUND(L2/(1-M2/100),50),10)</f>
        <v>1000</v>
      </c>
      <c r="O2" s="21">
        <f>MROUND((ARTICULOS_YAMANIL[[#This Row],[Precio]]/0.6),50)</f>
        <v>1650</v>
      </c>
      <c r="P2" t="s">
        <v>8693</v>
      </c>
      <c r="Q2">
        <v>12</v>
      </c>
      <c r="R2" s="3">
        <f>ARTICULOS_YAMANIL[[#This Row],[Bulto]]*5</f>
        <v>30</v>
      </c>
      <c r="S2" t="s">
        <v>66</v>
      </c>
      <c r="T2" t="s">
        <v>10</v>
      </c>
      <c r="U2" t="s">
        <v>76</v>
      </c>
      <c r="V2" s="30" t="s">
        <v>11019</v>
      </c>
      <c r="W2" t="s">
        <v>8692</v>
      </c>
      <c r="X2">
        <v>1</v>
      </c>
      <c r="Y2">
        <v>15</v>
      </c>
      <c r="Z2"/>
      <c r="AB2" s="80">
        <f>ARTICULOS_YAMANIL[[#This Row],[Costo]]*ARTICULOS_YAMANIL[[#This Row],[Pedido]]</f>
        <v>0</v>
      </c>
      <c r="AD2"/>
      <c r="AH2" s="2" t="str">
        <f>IF(AND(ARTICULOS_YAMANIL[[#This Row],[FechaVenc]]=0,ARTICULOS_YAMANIL[[#This Row],[DiasVenc]]=0),"",ARTICULOS_YAMANIL[[#This Row],[FechaVenc]]-ARTICULOS_YAMANIL[[#This Row],[DiasVenc]])</f>
        <v/>
      </c>
      <c r="AK2"/>
      <c r="AM2"/>
      <c r="AO2" s="30" t="s">
        <v>8689</v>
      </c>
    </row>
    <row r="3" spans="1:43" x14ac:dyDescent="0.25">
      <c r="A3" s="1" t="s">
        <v>11061</v>
      </c>
      <c r="C3" t="str">
        <f t="shared" si="0"/>
        <v>BEB95640452</v>
      </c>
      <c r="D3" t="s">
        <v>8689</v>
      </c>
      <c r="E3" s="1" t="s">
        <v>11062</v>
      </c>
      <c r="F3" s="61">
        <v>3730</v>
      </c>
      <c r="G3" s="7">
        <v>21</v>
      </c>
      <c r="H3" s="8" t="s">
        <v>8690</v>
      </c>
      <c r="I3">
        <v>6</v>
      </c>
      <c r="J3">
        <f>ARTICULOS_YAMANIL[[#This Row],[Bulto]]</f>
        <v>6</v>
      </c>
      <c r="K3">
        <f t="shared" si="1"/>
        <v>5</v>
      </c>
      <c r="L3" s="57">
        <f>((ARTICULOS_YAMANIL[[#This Row],[P. Compra]]*(1+ARTICULOS_YAMANIL[[#This Row],[IVA]]%))/ARTICULOS_YAMANIL[[#This Row],[UnidFact]])+ARTICULOS_YAMANIL[[#This Row],[CostoFlete]]</f>
        <v>757.2166666666667</v>
      </c>
      <c r="M3">
        <v>35</v>
      </c>
      <c r="N3" s="32">
        <f t="shared" si="2"/>
        <v>1150</v>
      </c>
      <c r="O3" s="47">
        <f>MROUND((ARTICULOS_YAMANIL[[#This Row],[Precio]]/0.6),50)</f>
        <v>1900</v>
      </c>
      <c r="P3" t="s">
        <v>8693</v>
      </c>
      <c r="Q3">
        <v>12</v>
      </c>
      <c r="R3" s="23">
        <f>ARTICULOS_YAMANIL[[#This Row],[Bulto]]*5</f>
        <v>30</v>
      </c>
      <c r="S3" t="s">
        <v>66</v>
      </c>
      <c r="T3" t="s">
        <v>10</v>
      </c>
      <c r="U3" t="s">
        <v>5</v>
      </c>
      <c r="V3" s="30" t="s">
        <v>11063</v>
      </c>
      <c r="W3" t="s">
        <v>8692</v>
      </c>
      <c r="X3">
        <v>1</v>
      </c>
      <c r="Y3">
        <v>35</v>
      </c>
      <c r="Z3"/>
      <c r="AB3" s="80">
        <f>ARTICULOS_YAMANIL[[#This Row],[Costo]]*ARTICULOS_YAMANIL[[#This Row],[Pedido]]</f>
        <v>0</v>
      </c>
      <c r="AD3"/>
      <c r="AH3" s="2" t="str">
        <f>IF(AND(ARTICULOS_YAMANIL[[#This Row],[FechaVenc]]=0,ARTICULOS_YAMANIL[[#This Row],[DiasVenc]]=0),"",ARTICULOS_YAMANIL[[#This Row],[FechaVenc]]-ARTICULOS_YAMANIL[[#This Row],[DiasVenc]])</f>
        <v/>
      </c>
      <c r="AK3"/>
      <c r="AM3"/>
      <c r="AO3" s="30" t="s">
        <v>8689</v>
      </c>
    </row>
    <row r="4" spans="1:43" x14ac:dyDescent="0.25">
      <c r="A4" s="1" t="s">
        <v>11064</v>
      </c>
      <c r="C4" t="str">
        <f t="shared" si="0"/>
        <v>BEB95640445</v>
      </c>
      <c r="D4" t="s">
        <v>8689</v>
      </c>
      <c r="E4" s="1" t="s">
        <v>11065</v>
      </c>
      <c r="F4" s="61">
        <f>F3</f>
        <v>3730</v>
      </c>
      <c r="G4" s="7">
        <v>21</v>
      </c>
      <c r="H4" s="8" t="s">
        <v>8690</v>
      </c>
      <c r="I4">
        <v>6</v>
      </c>
      <c r="J4">
        <f>ARTICULOS_YAMANIL[[#This Row],[Bulto]]</f>
        <v>6</v>
      </c>
      <c r="K4">
        <f t="shared" si="1"/>
        <v>5</v>
      </c>
      <c r="L4" s="57">
        <f>((ARTICULOS_YAMANIL[[#This Row],[P. Compra]]*(1+ARTICULOS_YAMANIL[[#This Row],[IVA]]%))/ARTICULOS_YAMANIL[[#This Row],[UnidFact]])+ARTICULOS_YAMANIL[[#This Row],[CostoFlete]]</f>
        <v>757.2166666666667</v>
      </c>
      <c r="M4">
        <v>35</v>
      </c>
      <c r="N4" s="32">
        <f t="shared" si="2"/>
        <v>1150</v>
      </c>
      <c r="O4" s="47">
        <f>MROUND((ARTICULOS_YAMANIL[[#This Row],[Precio]]/0.6),50)</f>
        <v>1900</v>
      </c>
      <c r="P4" t="s">
        <v>8693</v>
      </c>
      <c r="Q4">
        <v>12</v>
      </c>
      <c r="R4" s="23">
        <f>ARTICULOS_YAMANIL[[#This Row],[Bulto]]*5</f>
        <v>30</v>
      </c>
      <c r="S4" t="s">
        <v>66</v>
      </c>
      <c r="T4" t="s">
        <v>10</v>
      </c>
      <c r="U4" t="s">
        <v>5</v>
      </c>
      <c r="V4" s="30" t="s">
        <v>11063</v>
      </c>
      <c r="W4" t="s">
        <v>8692</v>
      </c>
      <c r="X4">
        <v>1</v>
      </c>
      <c r="Y4">
        <v>33</v>
      </c>
      <c r="Z4"/>
      <c r="AB4" s="80">
        <f>ARTICULOS_YAMANIL[[#This Row],[Costo]]*ARTICULOS_YAMANIL[[#This Row],[Pedido]]</f>
        <v>0</v>
      </c>
      <c r="AD4"/>
      <c r="AH4" s="2" t="str">
        <f>IF(AND(ARTICULOS_YAMANIL[[#This Row],[FechaVenc]]=0,ARTICULOS_YAMANIL[[#This Row],[DiasVenc]]=0),"",ARTICULOS_YAMANIL[[#This Row],[FechaVenc]]-ARTICULOS_YAMANIL[[#This Row],[DiasVenc]])</f>
        <v/>
      </c>
      <c r="AK4"/>
      <c r="AM4"/>
      <c r="AO4" s="30" t="s">
        <v>8689</v>
      </c>
    </row>
    <row r="5" spans="1:43" x14ac:dyDescent="0.25">
      <c r="A5" s="1" t="s">
        <v>12090</v>
      </c>
      <c r="C5" t="str">
        <f t="shared" si="0"/>
        <v>BEB95640469</v>
      </c>
      <c r="D5" t="s">
        <v>8689</v>
      </c>
      <c r="E5" s="1" t="s">
        <v>11066</v>
      </c>
      <c r="F5" s="61">
        <f t="shared" ref="F5:F6" si="3">F4</f>
        <v>3730</v>
      </c>
      <c r="G5" s="7">
        <v>21</v>
      </c>
      <c r="H5" s="8" t="s">
        <v>8690</v>
      </c>
      <c r="I5">
        <v>6</v>
      </c>
      <c r="J5">
        <f>ARTICULOS_YAMANIL[[#This Row],[Bulto]]</f>
        <v>6</v>
      </c>
      <c r="K5">
        <f t="shared" si="1"/>
        <v>5</v>
      </c>
      <c r="L5" s="57">
        <f>((ARTICULOS_YAMANIL[[#This Row],[P. Compra]]*(1+ARTICULOS_YAMANIL[[#This Row],[IVA]]%))/ARTICULOS_YAMANIL[[#This Row],[UnidFact]])+ARTICULOS_YAMANIL[[#This Row],[CostoFlete]]</f>
        <v>757.2166666666667</v>
      </c>
      <c r="M5">
        <v>35</v>
      </c>
      <c r="N5" s="32">
        <f t="shared" si="2"/>
        <v>1150</v>
      </c>
      <c r="O5" s="47">
        <f>MROUND((ARTICULOS_YAMANIL[[#This Row],[Precio]]/0.6),50)</f>
        <v>1900</v>
      </c>
      <c r="P5" t="s">
        <v>8693</v>
      </c>
      <c r="Q5">
        <v>12</v>
      </c>
      <c r="R5" s="23">
        <f>ARTICULOS_YAMANIL[[#This Row],[Bulto]]*5</f>
        <v>30</v>
      </c>
      <c r="S5" t="s">
        <v>66</v>
      </c>
      <c r="T5" t="s">
        <v>10</v>
      </c>
      <c r="U5" t="s">
        <v>5</v>
      </c>
      <c r="V5" s="30" t="s">
        <v>11063</v>
      </c>
      <c r="W5" t="s">
        <v>8692</v>
      </c>
      <c r="X5">
        <v>1</v>
      </c>
      <c r="Y5">
        <v>40</v>
      </c>
      <c r="Z5"/>
      <c r="AB5" s="80">
        <f>ARTICULOS_YAMANIL[[#This Row],[Costo]]*ARTICULOS_YAMANIL[[#This Row],[Pedido]]</f>
        <v>0</v>
      </c>
      <c r="AD5"/>
      <c r="AH5" s="2" t="str">
        <f>IF(AND(ARTICULOS_YAMANIL[[#This Row],[FechaVenc]]=0,ARTICULOS_YAMANIL[[#This Row],[DiasVenc]]=0),"",ARTICULOS_YAMANIL[[#This Row],[FechaVenc]]-ARTICULOS_YAMANIL[[#This Row],[DiasVenc]])</f>
        <v/>
      </c>
      <c r="AK5"/>
      <c r="AM5"/>
      <c r="AO5" s="30" t="s">
        <v>8689</v>
      </c>
    </row>
    <row r="6" spans="1:43" x14ac:dyDescent="0.25">
      <c r="A6" s="24" t="s">
        <v>11423</v>
      </c>
      <c r="C6" t="str">
        <f t="shared" ref="C6" si="4">CONCATENATE(LEFT(T6,3),RIGHT(A6,8))</f>
        <v>BEB95004032</v>
      </c>
      <c r="D6" t="s">
        <v>8689</v>
      </c>
      <c r="E6" s="24" t="s">
        <v>11847</v>
      </c>
      <c r="F6" s="61">
        <f t="shared" si="3"/>
        <v>3730</v>
      </c>
      <c r="G6" s="7">
        <v>21</v>
      </c>
      <c r="H6" s="8" t="s">
        <v>8690</v>
      </c>
      <c r="I6">
        <v>6</v>
      </c>
      <c r="J6">
        <f>ARTICULOS_YAMANIL[[#This Row],[Bulto]]</f>
        <v>6</v>
      </c>
      <c r="K6">
        <f t="shared" si="1"/>
        <v>5</v>
      </c>
      <c r="L6" s="57">
        <f>((ARTICULOS_YAMANIL[[#This Row],[P. Compra]]*(1+ARTICULOS_YAMANIL[[#This Row],[IVA]]%))/ARTICULOS_YAMANIL[[#This Row],[UnidFact]])+ARTICULOS_YAMANIL[[#This Row],[CostoFlete]]</f>
        <v>757.2166666666667</v>
      </c>
      <c r="M6">
        <v>35</v>
      </c>
      <c r="N6" s="32">
        <f t="shared" si="2"/>
        <v>1150</v>
      </c>
      <c r="O6" s="47">
        <f>MROUND((ARTICULOS_YAMANIL[[#This Row],[Precio]]/0.6),50)</f>
        <v>1900</v>
      </c>
      <c r="P6" t="s">
        <v>8693</v>
      </c>
      <c r="Q6">
        <v>12</v>
      </c>
      <c r="R6" s="23">
        <f>ARTICULOS_YAMANIL[[#This Row],[Bulto]]*5</f>
        <v>30</v>
      </c>
      <c r="S6" t="s">
        <v>66</v>
      </c>
      <c r="T6" t="s">
        <v>10</v>
      </c>
      <c r="U6" t="s">
        <v>5</v>
      </c>
      <c r="V6" s="30" t="s">
        <v>11063</v>
      </c>
      <c r="W6" t="s">
        <v>8692</v>
      </c>
      <c r="X6">
        <v>1</v>
      </c>
      <c r="Y6">
        <v>3</v>
      </c>
      <c r="Z6"/>
      <c r="AB6" s="80">
        <f>ARTICULOS_YAMANIL[[#This Row],[Costo]]*ARTICULOS_YAMANIL[[#This Row],[Pedido]]</f>
        <v>0</v>
      </c>
      <c r="AD6"/>
      <c r="AH6" s="2" t="str">
        <f>IF(AND(ARTICULOS_YAMANIL[[#This Row],[FechaVenc]]=0,ARTICULOS_YAMANIL[[#This Row],[DiasVenc]]=0),"",ARTICULOS_YAMANIL[[#This Row],[FechaVenc]]-ARTICULOS_YAMANIL[[#This Row],[DiasVenc]])</f>
        <v/>
      </c>
      <c r="AK6"/>
      <c r="AM6"/>
      <c r="AO6" s="30" t="s">
        <v>8689</v>
      </c>
    </row>
    <row r="7" spans="1:43" x14ac:dyDescent="0.25">
      <c r="A7" s="1" t="s">
        <v>11008</v>
      </c>
      <c r="C7" t="str">
        <f t="shared" si="0"/>
        <v>BEB95648427</v>
      </c>
      <c r="D7" t="s">
        <v>8689</v>
      </c>
      <c r="E7" s="1" t="s">
        <v>11009</v>
      </c>
      <c r="F7" s="61">
        <v>6272.5</v>
      </c>
      <c r="G7" s="7">
        <v>21</v>
      </c>
      <c r="H7" s="8" t="s">
        <v>8690</v>
      </c>
      <c r="I7">
        <v>6</v>
      </c>
      <c r="J7">
        <f>ARTICULOS_YAMANIL[[#This Row],[Bulto]]</f>
        <v>6</v>
      </c>
      <c r="K7">
        <f t="shared" si="1"/>
        <v>5</v>
      </c>
      <c r="L7" s="57">
        <f>((ARTICULOS_YAMANIL[[#This Row],[P. Compra]]*(1+ARTICULOS_YAMANIL[[#This Row],[IVA]]%))/ARTICULOS_YAMANIL[[#This Row],[UnidFact]])+ARTICULOS_YAMANIL[[#This Row],[CostoFlete]]</f>
        <v>1269.9541666666667</v>
      </c>
      <c r="M7">
        <v>35</v>
      </c>
      <c r="N7" s="32">
        <f t="shared" si="2"/>
        <v>1950</v>
      </c>
      <c r="O7" s="21">
        <f>MROUND((ARTICULOS_YAMANIL[[#This Row],[Precio]]/0.6),50)</f>
        <v>3250</v>
      </c>
      <c r="P7" t="s">
        <v>8693</v>
      </c>
      <c r="Q7">
        <v>12</v>
      </c>
      <c r="R7" s="3">
        <f>ARTICULOS_YAMANIL[[#This Row],[Bulto]]*5</f>
        <v>30</v>
      </c>
      <c r="S7" t="s">
        <v>66</v>
      </c>
      <c r="T7" t="s">
        <v>10</v>
      </c>
      <c r="U7" t="s">
        <v>76</v>
      </c>
      <c r="V7" s="30" t="s">
        <v>11010</v>
      </c>
      <c r="W7" t="s">
        <v>8692</v>
      </c>
      <c r="X7">
        <v>1</v>
      </c>
      <c r="Y7">
        <f>17+8</f>
        <v>25</v>
      </c>
      <c r="Z7"/>
      <c r="AB7" s="80">
        <f>ARTICULOS_YAMANIL[[#This Row],[Costo]]*ARTICULOS_YAMANIL[[#This Row],[Pedido]]</f>
        <v>0</v>
      </c>
      <c r="AD7"/>
      <c r="AH7" s="2" t="str">
        <f>IF(AND(ARTICULOS_YAMANIL[[#This Row],[FechaVenc]]=0,ARTICULOS_YAMANIL[[#This Row],[DiasVenc]]=0),"",ARTICULOS_YAMANIL[[#This Row],[FechaVenc]]-ARTICULOS_YAMANIL[[#This Row],[DiasVenc]])</f>
        <v/>
      </c>
      <c r="AK7"/>
      <c r="AM7"/>
      <c r="AO7" s="30" t="s">
        <v>8689</v>
      </c>
    </row>
    <row r="8" spans="1:43" x14ac:dyDescent="0.25">
      <c r="A8" s="1" t="s">
        <v>11011</v>
      </c>
      <c r="C8" t="str">
        <f t="shared" si="0"/>
        <v>BEB95648441</v>
      </c>
      <c r="D8" t="s">
        <v>8689</v>
      </c>
      <c r="E8" s="1" t="s">
        <v>11012</v>
      </c>
      <c r="F8" s="61">
        <f>F7</f>
        <v>6272.5</v>
      </c>
      <c r="G8" s="7">
        <v>21</v>
      </c>
      <c r="H8" s="8" t="s">
        <v>8690</v>
      </c>
      <c r="I8">
        <v>6</v>
      </c>
      <c r="J8">
        <f>ARTICULOS_YAMANIL[[#This Row],[Bulto]]</f>
        <v>6</v>
      </c>
      <c r="K8">
        <f t="shared" si="1"/>
        <v>5</v>
      </c>
      <c r="L8" s="57">
        <f>((ARTICULOS_YAMANIL[[#This Row],[P. Compra]]*(1+ARTICULOS_YAMANIL[[#This Row],[IVA]]%))/ARTICULOS_YAMANIL[[#This Row],[UnidFact]])+ARTICULOS_YAMANIL[[#This Row],[CostoFlete]]</f>
        <v>1269.9541666666667</v>
      </c>
      <c r="M8">
        <v>35</v>
      </c>
      <c r="N8" s="32">
        <f t="shared" si="2"/>
        <v>1950</v>
      </c>
      <c r="O8" s="21">
        <f>MROUND((ARTICULOS_YAMANIL[[#This Row],[Precio]]/0.6),50)</f>
        <v>3250</v>
      </c>
      <c r="P8" t="s">
        <v>8693</v>
      </c>
      <c r="Q8">
        <v>12</v>
      </c>
      <c r="R8" s="3">
        <f>ARTICULOS_YAMANIL[[#This Row],[Bulto]]*5</f>
        <v>30</v>
      </c>
      <c r="S8" t="s">
        <v>66</v>
      </c>
      <c r="T8" t="s">
        <v>10</v>
      </c>
      <c r="U8" t="s">
        <v>76</v>
      </c>
      <c r="V8" s="30" t="s">
        <v>11010</v>
      </c>
      <c r="W8" t="s">
        <v>8692</v>
      </c>
      <c r="X8">
        <v>1</v>
      </c>
      <c r="Y8">
        <f>9+5</f>
        <v>14</v>
      </c>
      <c r="Z8"/>
      <c r="AB8" s="80">
        <f>ARTICULOS_YAMANIL[[#This Row],[Costo]]*ARTICULOS_YAMANIL[[#This Row],[Pedido]]</f>
        <v>0</v>
      </c>
      <c r="AD8"/>
      <c r="AH8" s="2" t="str">
        <f>IF(AND(ARTICULOS_YAMANIL[[#This Row],[FechaVenc]]=0,ARTICULOS_YAMANIL[[#This Row],[DiasVenc]]=0),"",ARTICULOS_YAMANIL[[#This Row],[FechaVenc]]-ARTICULOS_YAMANIL[[#This Row],[DiasVenc]])</f>
        <v/>
      </c>
      <c r="AK8"/>
      <c r="AM8"/>
      <c r="AO8" s="30" t="s">
        <v>8689</v>
      </c>
    </row>
    <row r="9" spans="1:43" x14ac:dyDescent="0.25">
      <c r="A9" s="1" t="s">
        <v>12211</v>
      </c>
      <c r="C9" t="str">
        <f t="shared" ref="C9" si="5">CONCATENATE(LEFT(T9,3),RIGHT(A9,8))</f>
        <v>BEB95649578</v>
      </c>
      <c r="D9" t="s">
        <v>8689</v>
      </c>
      <c r="E9" s="1" t="s">
        <v>12212</v>
      </c>
      <c r="F9" s="61">
        <f>F8</f>
        <v>6272.5</v>
      </c>
      <c r="G9" s="7">
        <v>21</v>
      </c>
      <c r="H9" s="8" t="s">
        <v>8690</v>
      </c>
      <c r="I9">
        <v>6</v>
      </c>
      <c r="J9">
        <f>ARTICULOS_YAMANIL[[#This Row],[Bulto]]</f>
        <v>6</v>
      </c>
      <c r="K9">
        <f t="shared" si="1"/>
        <v>5</v>
      </c>
      <c r="L9" s="57">
        <f>((ARTICULOS_YAMANIL[[#This Row],[P. Compra]]*(1+ARTICULOS_YAMANIL[[#This Row],[IVA]]%))/ARTICULOS_YAMANIL[[#This Row],[UnidFact]])+ARTICULOS_YAMANIL[[#This Row],[CostoFlete]]</f>
        <v>1269.9541666666667</v>
      </c>
      <c r="M9">
        <v>35</v>
      </c>
      <c r="N9" s="32">
        <f t="shared" ref="N9" si="6">IF(L9&gt;=5,MROUND(L9/(1-M9/100),50),10)</f>
        <v>1950</v>
      </c>
      <c r="O9" s="21">
        <f>MROUND((ARTICULOS_YAMANIL[[#This Row],[Precio]]/0.6),50)</f>
        <v>3250</v>
      </c>
      <c r="P9" t="s">
        <v>8693</v>
      </c>
      <c r="Q9">
        <v>12</v>
      </c>
      <c r="R9" s="3">
        <f>ARTICULOS_YAMANIL[[#This Row],[Bulto]]*5</f>
        <v>30</v>
      </c>
      <c r="S9" t="s">
        <v>66</v>
      </c>
      <c r="T9" t="s">
        <v>10</v>
      </c>
      <c r="U9" t="s">
        <v>76</v>
      </c>
      <c r="V9" s="30" t="s">
        <v>11010</v>
      </c>
      <c r="W9" t="s">
        <v>8692</v>
      </c>
      <c r="X9">
        <v>1</v>
      </c>
      <c r="Y9">
        <f>9+5</f>
        <v>14</v>
      </c>
      <c r="Z9"/>
      <c r="AB9" s="80">
        <f>ARTICULOS_YAMANIL[[#This Row],[Costo]]*ARTICULOS_YAMANIL[[#This Row],[Pedido]]</f>
        <v>0</v>
      </c>
      <c r="AD9"/>
      <c r="AH9" s="2" t="str">
        <f>IF(AND(ARTICULOS_YAMANIL[[#This Row],[FechaVenc]]=0,ARTICULOS_YAMANIL[[#This Row],[DiasVenc]]=0),"",ARTICULOS_YAMANIL[[#This Row],[FechaVenc]]-ARTICULOS_YAMANIL[[#This Row],[DiasVenc]])</f>
        <v/>
      </c>
      <c r="AK9"/>
      <c r="AM9"/>
      <c r="AO9" s="30" t="s">
        <v>8689</v>
      </c>
    </row>
    <row r="10" spans="1:43" x14ac:dyDescent="0.25">
      <c r="A10" s="24" t="s">
        <v>11015</v>
      </c>
      <c r="C10" t="str">
        <f t="shared" si="0"/>
        <v>BEB95641541</v>
      </c>
      <c r="D10" t="s">
        <v>8689</v>
      </c>
      <c r="E10" s="24" t="s">
        <v>11016</v>
      </c>
      <c r="F10" s="61">
        <v>2527</v>
      </c>
      <c r="G10" s="7">
        <v>21</v>
      </c>
      <c r="H10" s="8" t="s">
        <v>8690</v>
      </c>
      <c r="I10">
        <v>6</v>
      </c>
      <c r="J10">
        <f>ARTICULOS_YAMANIL[[#This Row],[Bulto]]</f>
        <v>6</v>
      </c>
      <c r="K10">
        <f t="shared" si="1"/>
        <v>5</v>
      </c>
      <c r="L10" s="57">
        <f>((ARTICULOS_YAMANIL[[#This Row],[P. Compra]]*(1+ARTICULOS_YAMANIL[[#This Row],[IVA]]%))/ARTICULOS_YAMANIL[[#This Row],[UnidFact]])+ARTICULOS_YAMANIL[[#This Row],[CostoFlete]]</f>
        <v>514.61166666666668</v>
      </c>
      <c r="M10">
        <v>35</v>
      </c>
      <c r="N10" s="32">
        <f t="shared" si="2"/>
        <v>800</v>
      </c>
      <c r="O10" s="21">
        <f>MROUND((ARTICULOS_YAMANIL[[#This Row],[Precio]]/0.6),50)</f>
        <v>1350</v>
      </c>
      <c r="P10" t="s">
        <v>8693</v>
      </c>
      <c r="Q10">
        <v>12</v>
      </c>
      <c r="R10" s="3">
        <f>ARTICULOS_YAMANIL[[#This Row],[Bulto]]*5</f>
        <v>30</v>
      </c>
      <c r="S10" t="s">
        <v>66</v>
      </c>
      <c r="T10" t="s">
        <v>10</v>
      </c>
      <c r="U10" t="s">
        <v>76</v>
      </c>
      <c r="V10" s="30" t="s">
        <v>11010</v>
      </c>
      <c r="W10" t="s">
        <v>8692</v>
      </c>
      <c r="X10">
        <v>1</v>
      </c>
      <c r="Y10">
        <v>6</v>
      </c>
      <c r="Z10"/>
      <c r="AB10" s="80">
        <f>ARTICULOS_YAMANIL[[#This Row],[Costo]]*ARTICULOS_YAMANIL[[#This Row],[Pedido]]</f>
        <v>0</v>
      </c>
      <c r="AD10"/>
      <c r="AH10" s="2" t="str">
        <f>IF(AND(ARTICULOS_YAMANIL[[#This Row],[FechaVenc]]=0,ARTICULOS_YAMANIL[[#This Row],[DiasVenc]]=0),"",ARTICULOS_YAMANIL[[#This Row],[FechaVenc]]-ARTICULOS_YAMANIL[[#This Row],[DiasVenc]])</f>
        <v/>
      </c>
      <c r="AK10"/>
      <c r="AM10"/>
      <c r="AO10" s="30" t="s">
        <v>8689</v>
      </c>
    </row>
    <row r="11" spans="1:43" x14ac:dyDescent="0.25">
      <c r="A11" s="24" t="s">
        <v>11020</v>
      </c>
      <c r="C11" t="str">
        <f t="shared" si="0"/>
        <v>BEB95646744</v>
      </c>
      <c r="D11" t="s">
        <v>8689</v>
      </c>
      <c r="E11" s="24" t="s">
        <v>11021</v>
      </c>
      <c r="F11" s="61">
        <f>F10</f>
        <v>2527</v>
      </c>
      <c r="G11" s="7">
        <v>21</v>
      </c>
      <c r="H11" s="8" t="s">
        <v>8690</v>
      </c>
      <c r="I11">
        <v>6</v>
      </c>
      <c r="J11">
        <f>ARTICULOS_YAMANIL[[#This Row],[Bulto]]</f>
        <v>6</v>
      </c>
      <c r="K11">
        <f t="shared" si="1"/>
        <v>5</v>
      </c>
      <c r="L11" s="57">
        <f>((ARTICULOS_YAMANIL[[#This Row],[P. Compra]]*(1+ARTICULOS_YAMANIL[[#This Row],[IVA]]%))/ARTICULOS_YAMANIL[[#This Row],[UnidFact]])+ARTICULOS_YAMANIL[[#This Row],[CostoFlete]]</f>
        <v>514.61166666666668</v>
      </c>
      <c r="M11">
        <v>35</v>
      </c>
      <c r="N11" s="32">
        <f t="shared" si="2"/>
        <v>800</v>
      </c>
      <c r="O11" s="21">
        <f>MROUND((ARTICULOS_YAMANIL[[#This Row],[Precio]]/0.6),50)</f>
        <v>1350</v>
      </c>
      <c r="P11" t="s">
        <v>8693</v>
      </c>
      <c r="Q11">
        <v>12</v>
      </c>
      <c r="R11" s="3">
        <f>ARTICULOS_YAMANIL[[#This Row],[Bulto]]*5</f>
        <v>30</v>
      </c>
      <c r="S11" t="s">
        <v>66</v>
      </c>
      <c r="T11" t="s">
        <v>10</v>
      </c>
      <c r="U11" t="s">
        <v>76</v>
      </c>
      <c r="V11" s="30" t="s">
        <v>11010</v>
      </c>
      <c r="W11" t="s">
        <v>8692</v>
      </c>
      <c r="X11">
        <v>1</v>
      </c>
      <c r="Y11">
        <v>0</v>
      </c>
      <c r="Z11"/>
      <c r="AB11" s="80">
        <f>ARTICULOS_YAMANIL[[#This Row],[Costo]]*ARTICULOS_YAMANIL[[#This Row],[Pedido]]</f>
        <v>0</v>
      </c>
      <c r="AD11"/>
      <c r="AH11" s="2" t="str">
        <f>IF(AND(ARTICULOS_YAMANIL[[#This Row],[FechaVenc]]=0,ARTICULOS_YAMANIL[[#This Row],[DiasVenc]]=0),"",ARTICULOS_YAMANIL[[#This Row],[FechaVenc]]-ARTICULOS_YAMANIL[[#This Row],[DiasVenc]])</f>
        <v/>
      </c>
      <c r="AK11"/>
      <c r="AM11"/>
      <c r="AO11" s="30" t="s">
        <v>8689</v>
      </c>
    </row>
    <row r="12" spans="1:43" x14ac:dyDescent="0.25">
      <c r="A12" s="24" t="s">
        <v>11013</v>
      </c>
      <c r="C12" t="str">
        <f t="shared" si="0"/>
        <v>BEB95648144</v>
      </c>
      <c r="D12" t="s">
        <v>8689</v>
      </c>
      <c r="E12" s="24" t="s">
        <v>11014</v>
      </c>
      <c r="F12" s="61">
        <f>F11</f>
        <v>2527</v>
      </c>
      <c r="G12" s="7">
        <v>21</v>
      </c>
      <c r="H12" s="8" t="s">
        <v>8690</v>
      </c>
      <c r="I12">
        <v>6</v>
      </c>
      <c r="J12">
        <f>ARTICULOS_YAMANIL[[#This Row],[Bulto]]</f>
        <v>6</v>
      </c>
      <c r="K12">
        <f t="shared" si="1"/>
        <v>5</v>
      </c>
      <c r="L12" s="57">
        <f>((ARTICULOS_YAMANIL[[#This Row],[P. Compra]]*(1+ARTICULOS_YAMANIL[[#This Row],[IVA]]%))/ARTICULOS_YAMANIL[[#This Row],[UnidFact]])+ARTICULOS_YAMANIL[[#This Row],[CostoFlete]]</f>
        <v>514.61166666666668</v>
      </c>
      <c r="M12">
        <v>35</v>
      </c>
      <c r="N12" s="32">
        <f t="shared" si="2"/>
        <v>800</v>
      </c>
      <c r="O12" s="21">
        <f>MROUND((ARTICULOS_YAMANIL[[#This Row],[Precio]]/0.6),50)</f>
        <v>1350</v>
      </c>
      <c r="P12" t="s">
        <v>8693</v>
      </c>
      <c r="Q12">
        <v>12</v>
      </c>
      <c r="R12" s="3">
        <f>ARTICULOS_YAMANIL[[#This Row],[Bulto]]*5</f>
        <v>30</v>
      </c>
      <c r="S12" t="s">
        <v>66</v>
      </c>
      <c r="T12" t="s">
        <v>10</v>
      </c>
      <c r="U12" t="s">
        <v>76</v>
      </c>
      <c r="V12" s="30" t="s">
        <v>11010</v>
      </c>
      <c r="W12" t="s">
        <v>8692</v>
      </c>
      <c r="X12">
        <v>1</v>
      </c>
      <c r="Y12">
        <v>4</v>
      </c>
      <c r="Z12"/>
      <c r="AB12" s="80">
        <f>ARTICULOS_YAMANIL[[#This Row],[Costo]]*ARTICULOS_YAMANIL[[#This Row],[Pedido]]</f>
        <v>0</v>
      </c>
      <c r="AD12"/>
      <c r="AH12" s="2" t="str">
        <f>IF(AND(ARTICULOS_YAMANIL[[#This Row],[FechaVenc]]=0,ARTICULOS_YAMANIL[[#This Row],[DiasVenc]]=0),"",ARTICULOS_YAMANIL[[#This Row],[FechaVenc]]-ARTICULOS_YAMANIL[[#This Row],[DiasVenc]])</f>
        <v/>
      </c>
      <c r="AK12"/>
      <c r="AM12"/>
      <c r="AO12" s="30" t="s">
        <v>8689</v>
      </c>
    </row>
    <row r="13" spans="1:43" x14ac:dyDescent="0.25">
      <c r="A13" s="24" t="s">
        <v>12209</v>
      </c>
      <c r="C13" t="str">
        <f t="shared" ref="C13" si="7">CONCATENATE(LEFT(T13,3),RIGHT(A13,8))</f>
        <v>BEB95649257</v>
      </c>
      <c r="D13" t="s">
        <v>8689</v>
      </c>
      <c r="E13" s="24" t="s">
        <v>12210</v>
      </c>
      <c r="F13" s="61">
        <f>F12</f>
        <v>2527</v>
      </c>
      <c r="G13" s="7">
        <v>21</v>
      </c>
      <c r="H13" s="8" t="s">
        <v>8690</v>
      </c>
      <c r="I13">
        <v>6</v>
      </c>
      <c r="J13">
        <f>ARTICULOS_YAMANIL[[#This Row],[Bulto]]</f>
        <v>6</v>
      </c>
      <c r="K13">
        <f t="shared" si="1"/>
        <v>5</v>
      </c>
      <c r="L13" s="57">
        <f>((ARTICULOS_YAMANIL[[#This Row],[P. Compra]]*(1+ARTICULOS_YAMANIL[[#This Row],[IVA]]%))/ARTICULOS_YAMANIL[[#This Row],[UnidFact]])+ARTICULOS_YAMANIL[[#This Row],[CostoFlete]]</f>
        <v>514.61166666666668</v>
      </c>
      <c r="M13">
        <v>35</v>
      </c>
      <c r="N13" s="32">
        <f t="shared" ref="N13" si="8">IF(L13&gt;=5,MROUND(L13/(1-M13/100),50),10)</f>
        <v>800</v>
      </c>
      <c r="O13" s="21">
        <f>MROUND((ARTICULOS_YAMANIL[[#This Row],[Precio]]/0.6),50)</f>
        <v>1350</v>
      </c>
      <c r="P13" t="s">
        <v>8693</v>
      </c>
      <c r="Q13">
        <v>12</v>
      </c>
      <c r="R13" s="3">
        <f>ARTICULOS_YAMANIL[[#This Row],[Bulto]]*5</f>
        <v>30</v>
      </c>
      <c r="S13" t="s">
        <v>66</v>
      </c>
      <c r="T13" t="s">
        <v>10</v>
      </c>
      <c r="U13" t="s">
        <v>76</v>
      </c>
      <c r="V13" s="30" t="s">
        <v>11010</v>
      </c>
      <c r="W13" t="s">
        <v>8692</v>
      </c>
      <c r="X13">
        <v>1</v>
      </c>
      <c r="Y13">
        <v>4</v>
      </c>
      <c r="Z13"/>
      <c r="AB13" s="80">
        <f>ARTICULOS_YAMANIL[[#This Row],[Costo]]*ARTICULOS_YAMANIL[[#This Row],[Pedido]]</f>
        <v>0</v>
      </c>
      <c r="AD13"/>
      <c r="AH13" s="2" t="str">
        <f>IF(AND(ARTICULOS_YAMANIL[[#This Row],[FechaVenc]]=0,ARTICULOS_YAMANIL[[#This Row],[DiasVenc]]=0),"",ARTICULOS_YAMANIL[[#This Row],[FechaVenc]]-ARTICULOS_YAMANIL[[#This Row],[DiasVenc]])</f>
        <v/>
      </c>
      <c r="AK13"/>
      <c r="AM13"/>
      <c r="AO13" s="30" t="s">
        <v>8689</v>
      </c>
    </row>
    <row r="14" spans="1:43" x14ac:dyDescent="0.25">
      <c r="A14" s="24" t="s">
        <v>12098</v>
      </c>
      <c r="C14" t="str">
        <f t="shared" ref="C14" si="9">CONCATENATE(LEFT(T14,3),RIGHT(A14,8))</f>
        <v>BEB95000720</v>
      </c>
      <c r="D14" t="s">
        <v>8689</v>
      </c>
      <c r="E14" s="24" t="s">
        <v>12091</v>
      </c>
      <c r="F14" s="61">
        <v>2502.75</v>
      </c>
      <c r="G14" s="7">
        <v>21</v>
      </c>
      <c r="H14" s="8" t="s">
        <v>8690</v>
      </c>
      <c r="I14">
        <v>6</v>
      </c>
      <c r="J14">
        <f>ARTICULOS_YAMANIL[[#This Row],[Bulto]]</f>
        <v>6</v>
      </c>
      <c r="K14">
        <f t="shared" si="1"/>
        <v>5</v>
      </c>
      <c r="L14" s="57">
        <f>((ARTICULOS_YAMANIL[[#This Row],[P. Compra]]*(1+ARTICULOS_YAMANIL[[#This Row],[IVA]]%))/ARTICULOS_YAMANIL[[#This Row],[UnidFact]])+ARTICULOS_YAMANIL[[#This Row],[CostoFlete]]</f>
        <v>509.72125</v>
      </c>
      <c r="M14">
        <v>35</v>
      </c>
      <c r="N14" s="32">
        <f t="shared" si="2"/>
        <v>800</v>
      </c>
      <c r="O14" s="21">
        <f>MROUND((ARTICULOS_YAMANIL[[#This Row],[Precio]]/0.6),50)</f>
        <v>1350</v>
      </c>
      <c r="P14" t="s">
        <v>8693</v>
      </c>
      <c r="Q14">
        <v>12</v>
      </c>
      <c r="R14" s="3">
        <f>ARTICULOS_YAMANIL[[#This Row],[Bulto]]*5</f>
        <v>30</v>
      </c>
      <c r="S14" t="s">
        <v>66</v>
      </c>
      <c r="T14" t="s">
        <v>10</v>
      </c>
      <c r="U14" t="s">
        <v>76</v>
      </c>
      <c r="V14" s="30" t="s">
        <v>11010</v>
      </c>
      <c r="W14" t="s">
        <v>8692</v>
      </c>
      <c r="X14">
        <v>1</v>
      </c>
      <c r="Y14">
        <v>4</v>
      </c>
      <c r="Z14"/>
      <c r="AB14" s="80">
        <f>ARTICULOS_YAMANIL[[#This Row],[Costo]]*ARTICULOS_YAMANIL[[#This Row],[Pedido]]</f>
        <v>0</v>
      </c>
      <c r="AD14"/>
      <c r="AH14" s="2" t="str">
        <f>IF(AND(ARTICULOS_YAMANIL[[#This Row],[FechaVenc]]=0,ARTICULOS_YAMANIL[[#This Row],[DiasVenc]]=0),"",ARTICULOS_YAMANIL[[#This Row],[FechaVenc]]-ARTICULOS_YAMANIL[[#This Row],[DiasVenc]])</f>
        <v/>
      </c>
      <c r="AK14"/>
      <c r="AM14"/>
      <c r="AO14" s="30" t="s">
        <v>8689</v>
      </c>
    </row>
    <row r="15" spans="1:43" x14ac:dyDescent="0.25">
      <c r="A15" s="1" t="s">
        <v>11041</v>
      </c>
      <c r="C15" t="str">
        <f t="shared" si="0"/>
        <v>BOD39251134</v>
      </c>
      <c r="D15" t="s">
        <v>8689</v>
      </c>
      <c r="E15" s="1" t="s">
        <v>11042</v>
      </c>
      <c r="F15" s="61">
        <v>5817.5</v>
      </c>
      <c r="G15" s="7">
        <v>21</v>
      </c>
      <c r="H15" s="8" t="s">
        <v>8690</v>
      </c>
      <c r="I15">
        <v>6</v>
      </c>
      <c r="J15">
        <f>ARTICULOS_YAMANIL[[#This Row],[Bulto]]</f>
        <v>6</v>
      </c>
      <c r="K15">
        <f t="shared" si="1"/>
        <v>5</v>
      </c>
      <c r="L15" s="57">
        <f>((ARTICULOS_YAMANIL[[#This Row],[P. Compra]]*(1+ARTICULOS_YAMANIL[[#This Row],[IVA]]%))/ARTICULOS_YAMANIL[[#This Row],[UnidFact]])+ARTICULOS_YAMANIL[[#This Row],[CostoFlete]]</f>
        <v>1178.1958333333334</v>
      </c>
      <c r="M15">
        <v>35</v>
      </c>
      <c r="N15" s="32">
        <v>1200</v>
      </c>
      <c r="O15" s="21">
        <f>MROUND((ARTICULOS_YAMANIL[[#This Row],[Precio]]/0.6),50)</f>
        <v>2000</v>
      </c>
      <c r="P15" t="s">
        <v>8693</v>
      </c>
      <c r="Q15">
        <v>12</v>
      </c>
      <c r="R15" s="3">
        <f>ARTICULOS_YAMANIL[[#This Row],[Bulto]]*5</f>
        <v>30</v>
      </c>
      <c r="S15" t="s">
        <v>66</v>
      </c>
      <c r="T15" t="s">
        <v>13</v>
      </c>
      <c r="U15" t="s">
        <v>22</v>
      </c>
      <c r="V15" s="30" t="s">
        <v>11043</v>
      </c>
      <c r="W15" t="s">
        <v>8692</v>
      </c>
      <c r="X15">
        <v>1</v>
      </c>
      <c r="Y15">
        <v>6</v>
      </c>
      <c r="Z15"/>
      <c r="AB15" s="80">
        <f>ARTICULOS_YAMANIL[[#This Row],[Costo]]*ARTICULOS_YAMANIL[[#This Row],[Pedido]]</f>
        <v>0</v>
      </c>
      <c r="AD15"/>
      <c r="AH15" s="2" t="str">
        <f>IF(AND(ARTICULOS_YAMANIL[[#This Row],[FechaVenc]]=0,ARTICULOS_YAMANIL[[#This Row],[DiasVenc]]=0),"",ARTICULOS_YAMANIL[[#This Row],[FechaVenc]]-ARTICULOS_YAMANIL[[#This Row],[DiasVenc]])</f>
        <v/>
      </c>
      <c r="AK15"/>
      <c r="AM15"/>
      <c r="AO15" s="30" t="s">
        <v>8689</v>
      </c>
    </row>
    <row r="16" spans="1:43" x14ac:dyDescent="0.25">
      <c r="A16" s="1" t="s">
        <v>11044</v>
      </c>
      <c r="C16" t="str">
        <f t="shared" si="0"/>
        <v>BOD39251141</v>
      </c>
      <c r="D16" t="s">
        <v>8689</v>
      </c>
      <c r="E16" s="1" t="s">
        <v>11045</v>
      </c>
      <c r="F16" s="61">
        <f>F15</f>
        <v>5817.5</v>
      </c>
      <c r="G16" s="7">
        <v>21</v>
      </c>
      <c r="H16" s="8" t="s">
        <v>8690</v>
      </c>
      <c r="I16">
        <v>6</v>
      </c>
      <c r="J16">
        <f>ARTICULOS_YAMANIL[[#This Row],[Bulto]]</f>
        <v>6</v>
      </c>
      <c r="K16">
        <f t="shared" si="1"/>
        <v>5</v>
      </c>
      <c r="L16" s="57">
        <f>((ARTICULOS_YAMANIL[[#This Row],[P. Compra]]*(1+ARTICULOS_YAMANIL[[#This Row],[IVA]]%))/ARTICULOS_YAMANIL[[#This Row],[UnidFact]])+ARTICULOS_YAMANIL[[#This Row],[CostoFlete]]</f>
        <v>1178.1958333333334</v>
      </c>
      <c r="M16">
        <v>35</v>
      </c>
      <c r="N16" s="32">
        <v>1200</v>
      </c>
      <c r="O16" s="21">
        <f>MROUND((ARTICULOS_YAMANIL[[#This Row],[Precio]]/0.6),50)</f>
        <v>2000</v>
      </c>
      <c r="P16" t="s">
        <v>8693</v>
      </c>
      <c r="Q16">
        <v>12</v>
      </c>
      <c r="R16" s="3">
        <f>ARTICULOS_YAMANIL[[#This Row],[Bulto]]*5</f>
        <v>30</v>
      </c>
      <c r="S16" t="s">
        <v>66</v>
      </c>
      <c r="T16" t="s">
        <v>13</v>
      </c>
      <c r="U16" t="s">
        <v>22</v>
      </c>
      <c r="V16" s="30" t="s">
        <v>11043</v>
      </c>
      <c r="W16" t="s">
        <v>8692</v>
      </c>
      <c r="X16">
        <v>1</v>
      </c>
      <c r="Y16">
        <v>6</v>
      </c>
      <c r="Z16"/>
      <c r="AB16" s="80">
        <f>ARTICULOS_YAMANIL[[#This Row],[Costo]]*ARTICULOS_YAMANIL[[#This Row],[Pedido]]</f>
        <v>0</v>
      </c>
      <c r="AD16"/>
      <c r="AH16" s="2" t="str">
        <f>IF(AND(ARTICULOS_YAMANIL[[#This Row],[FechaVenc]]=0,ARTICULOS_YAMANIL[[#This Row],[DiasVenc]]=0),"",ARTICULOS_YAMANIL[[#This Row],[FechaVenc]]-ARTICULOS_YAMANIL[[#This Row],[DiasVenc]])</f>
        <v/>
      </c>
      <c r="AK16"/>
      <c r="AM16"/>
      <c r="AO16" s="30" t="s">
        <v>8689</v>
      </c>
    </row>
    <row r="17" spans="1:41" x14ac:dyDescent="0.25">
      <c r="A17" s="1" t="s">
        <v>11046</v>
      </c>
      <c r="C17" t="str">
        <f t="shared" si="0"/>
        <v>BOD39251370</v>
      </c>
      <c r="D17" t="s">
        <v>8689</v>
      </c>
      <c r="E17" s="1" t="s">
        <v>11047</v>
      </c>
      <c r="F17" s="61">
        <f t="shared" ref="F17:F18" si="10">F16</f>
        <v>5817.5</v>
      </c>
      <c r="G17" s="7">
        <v>21</v>
      </c>
      <c r="H17" s="8" t="s">
        <v>8690</v>
      </c>
      <c r="I17">
        <v>6</v>
      </c>
      <c r="J17">
        <f>ARTICULOS_YAMANIL[[#This Row],[Bulto]]</f>
        <v>6</v>
      </c>
      <c r="K17">
        <f t="shared" si="1"/>
        <v>5</v>
      </c>
      <c r="L17" s="57">
        <f>((ARTICULOS_YAMANIL[[#This Row],[P. Compra]]*(1+ARTICULOS_YAMANIL[[#This Row],[IVA]]%))/ARTICULOS_YAMANIL[[#This Row],[UnidFact]])+ARTICULOS_YAMANIL[[#This Row],[CostoFlete]]</f>
        <v>1178.1958333333334</v>
      </c>
      <c r="M17">
        <v>35</v>
      </c>
      <c r="N17" s="32">
        <v>1200</v>
      </c>
      <c r="O17" s="21">
        <f>MROUND((ARTICULOS_YAMANIL[[#This Row],[Precio]]/0.6),50)</f>
        <v>2000</v>
      </c>
      <c r="P17" t="s">
        <v>8693</v>
      </c>
      <c r="Q17">
        <v>12</v>
      </c>
      <c r="R17" s="3">
        <f>ARTICULOS_YAMANIL[[#This Row],[Bulto]]*5</f>
        <v>30</v>
      </c>
      <c r="S17" t="s">
        <v>66</v>
      </c>
      <c r="T17" t="s">
        <v>13</v>
      </c>
      <c r="U17" t="s">
        <v>22</v>
      </c>
      <c r="V17" s="30" t="s">
        <v>11043</v>
      </c>
      <c r="W17" t="s">
        <v>8692</v>
      </c>
      <c r="X17">
        <v>1</v>
      </c>
      <c r="Y17">
        <v>6</v>
      </c>
      <c r="Z17"/>
      <c r="AB17" s="80">
        <f>ARTICULOS_YAMANIL[[#This Row],[Costo]]*ARTICULOS_YAMANIL[[#This Row],[Pedido]]</f>
        <v>0</v>
      </c>
      <c r="AD17"/>
      <c r="AH17" s="2" t="str">
        <f>IF(AND(ARTICULOS_YAMANIL[[#This Row],[FechaVenc]]=0,ARTICULOS_YAMANIL[[#This Row],[DiasVenc]]=0),"",ARTICULOS_YAMANIL[[#This Row],[FechaVenc]]-ARTICULOS_YAMANIL[[#This Row],[DiasVenc]])</f>
        <v/>
      </c>
      <c r="AK17"/>
      <c r="AM17"/>
      <c r="AO17" s="30" t="s">
        <v>8689</v>
      </c>
    </row>
    <row r="18" spans="1:41" x14ac:dyDescent="0.25">
      <c r="A18" s="1" t="s">
        <v>11048</v>
      </c>
      <c r="C18" t="str">
        <f t="shared" si="0"/>
        <v>BOD39251127</v>
      </c>
      <c r="D18" t="s">
        <v>8689</v>
      </c>
      <c r="E18" s="1" t="s">
        <v>11049</v>
      </c>
      <c r="F18" s="61">
        <f t="shared" si="10"/>
        <v>5817.5</v>
      </c>
      <c r="G18" s="7">
        <v>21</v>
      </c>
      <c r="H18" s="8" t="s">
        <v>8690</v>
      </c>
      <c r="I18">
        <v>6</v>
      </c>
      <c r="J18">
        <f>ARTICULOS_YAMANIL[[#This Row],[Bulto]]</f>
        <v>6</v>
      </c>
      <c r="K18">
        <f t="shared" si="1"/>
        <v>5</v>
      </c>
      <c r="L18" s="57">
        <f>((ARTICULOS_YAMANIL[[#This Row],[P. Compra]]*(1+ARTICULOS_YAMANIL[[#This Row],[IVA]]%))/ARTICULOS_YAMANIL[[#This Row],[UnidFact]])+ARTICULOS_YAMANIL[[#This Row],[CostoFlete]]</f>
        <v>1178.1958333333334</v>
      </c>
      <c r="M18">
        <v>35</v>
      </c>
      <c r="N18" s="32">
        <v>1200</v>
      </c>
      <c r="O18" s="21">
        <f>MROUND((ARTICULOS_YAMANIL[[#This Row],[Precio]]/0.6),50)</f>
        <v>2000</v>
      </c>
      <c r="P18" t="s">
        <v>8693</v>
      </c>
      <c r="Q18">
        <v>12</v>
      </c>
      <c r="R18" s="3">
        <f>ARTICULOS_YAMANIL[[#This Row],[Bulto]]*5</f>
        <v>30</v>
      </c>
      <c r="S18" t="s">
        <v>66</v>
      </c>
      <c r="T18" t="s">
        <v>13</v>
      </c>
      <c r="U18" t="s">
        <v>22</v>
      </c>
      <c r="V18" s="30" t="s">
        <v>11043</v>
      </c>
      <c r="W18" t="s">
        <v>8692</v>
      </c>
      <c r="X18">
        <v>1</v>
      </c>
      <c r="Y18">
        <v>6</v>
      </c>
      <c r="Z18"/>
      <c r="AB18" s="80">
        <f>ARTICULOS_YAMANIL[[#This Row],[Costo]]*ARTICULOS_YAMANIL[[#This Row],[Pedido]]</f>
        <v>0</v>
      </c>
      <c r="AD18"/>
      <c r="AH18" s="2" t="str">
        <f>IF(AND(ARTICULOS_YAMANIL[[#This Row],[FechaVenc]]=0,ARTICULOS_YAMANIL[[#This Row],[DiasVenc]]=0),"",ARTICULOS_YAMANIL[[#This Row],[FechaVenc]]-ARTICULOS_YAMANIL[[#This Row],[DiasVenc]])</f>
        <v/>
      </c>
      <c r="AK18"/>
      <c r="AM18"/>
      <c r="AO18" s="30" t="s">
        <v>8689</v>
      </c>
    </row>
    <row r="19" spans="1:41" x14ac:dyDescent="0.25">
      <c r="A19" s="24" t="s">
        <v>11050</v>
      </c>
      <c r="C19" t="str">
        <f t="shared" si="0"/>
        <v>BOD39250144</v>
      </c>
      <c r="D19" t="s">
        <v>8689</v>
      </c>
      <c r="E19" s="24" t="s">
        <v>11051</v>
      </c>
      <c r="F19" s="61">
        <v>0</v>
      </c>
      <c r="G19" s="7">
        <v>21</v>
      </c>
      <c r="H19" s="8" t="s">
        <v>8690</v>
      </c>
      <c r="I19">
        <v>6</v>
      </c>
      <c r="J19">
        <f>ARTICULOS_YAMANIL[[#This Row],[Bulto]]</f>
        <v>6</v>
      </c>
      <c r="K19">
        <f t="shared" si="1"/>
        <v>5</v>
      </c>
      <c r="L19" s="57">
        <f>((ARTICULOS_YAMANIL[[#This Row],[P. Compra]]*(1+ARTICULOS_YAMANIL[[#This Row],[IVA]]%))/ARTICULOS_YAMANIL[[#This Row],[UnidFact]])+ARTICULOS_YAMANIL[[#This Row],[CostoFlete]]</f>
        <v>5</v>
      </c>
      <c r="M19">
        <v>35</v>
      </c>
      <c r="N19" s="32">
        <v>1200</v>
      </c>
      <c r="O19" s="21">
        <f>MROUND((ARTICULOS_YAMANIL[[#This Row],[Precio]]/0.6),50)</f>
        <v>2000</v>
      </c>
      <c r="P19" t="s">
        <v>8693</v>
      </c>
      <c r="Q19">
        <v>12</v>
      </c>
      <c r="R19" s="3">
        <f>ARTICULOS_YAMANIL[[#This Row],[Bulto]]*5</f>
        <v>30</v>
      </c>
      <c r="S19" t="s">
        <v>66</v>
      </c>
      <c r="T19" t="s">
        <v>13</v>
      </c>
      <c r="U19" t="s">
        <v>22</v>
      </c>
      <c r="V19" s="30" t="s">
        <v>11052</v>
      </c>
      <c r="W19" t="s">
        <v>8692</v>
      </c>
      <c r="X19">
        <v>1</v>
      </c>
      <c r="Y19">
        <v>6</v>
      </c>
      <c r="Z19"/>
      <c r="AB19" s="80">
        <f>ARTICULOS_YAMANIL[[#This Row],[Costo]]*ARTICULOS_YAMANIL[[#This Row],[Pedido]]</f>
        <v>0</v>
      </c>
      <c r="AD19"/>
      <c r="AH19" s="2" t="str">
        <f>IF(AND(ARTICULOS_YAMANIL[[#This Row],[FechaVenc]]=0,ARTICULOS_YAMANIL[[#This Row],[DiasVenc]]=0),"",ARTICULOS_YAMANIL[[#This Row],[FechaVenc]]-ARTICULOS_YAMANIL[[#This Row],[DiasVenc]])</f>
        <v/>
      </c>
      <c r="AK19"/>
      <c r="AM19"/>
      <c r="AO19" s="30" t="s">
        <v>8689</v>
      </c>
    </row>
    <row r="20" spans="1:41" x14ac:dyDescent="0.25">
      <c r="A20" s="1" t="s">
        <v>11053</v>
      </c>
      <c r="C20" t="str">
        <f t="shared" si="0"/>
        <v>BOD39250212</v>
      </c>
      <c r="D20" t="s">
        <v>8689</v>
      </c>
      <c r="E20" s="1" t="s">
        <v>11054</v>
      </c>
      <c r="F20" s="61">
        <v>0</v>
      </c>
      <c r="G20" s="7">
        <v>21</v>
      </c>
      <c r="H20" s="8" t="s">
        <v>8690</v>
      </c>
      <c r="I20">
        <v>6</v>
      </c>
      <c r="J20">
        <f>ARTICULOS_YAMANIL[[#This Row],[Bulto]]</f>
        <v>6</v>
      </c>
      <c r="K20">
        <f t="shared" si="1"/>
        <v>5</v>
      </c>
      <c r="L20" s="57">
        <f>((ARTICULOS_YAMANIL[[#This Row],[P. Compra]]*(1+ARTICULOS_YAMANIL[[#This Row],[IVA]]%))/ARTICULOS_YAMANIL[[#This Row],[UnidFact]])+ARTICULOS_YAMANIL[[#This Row],[CostoFlete]]</f>
        <v>5</v>
      </c>
      <c r="M20">
        <v>35</v>
      </c>
      <c r="N20" s="32">
        <v>1200</v>
      </c>
      <c r="O20" s="21">
        <f>MROUND((ARTICULOS_YAMANIL[[#This Row],[Precio]]/0.6),50)</f>
        <v>2000</v>
      </c>
      <c r="P20" t="s">
        <v>8693</v>
      </c>
      <c r="Q20">
        <v>12</v>
      </c>
      <c r="R20" s="3">
        <f>ARTICULOS_YAMANIL[[#This Row],[Bulto]]*5</f>
        <v>30</v>
      </c>
      <c r="S20" t="s">
        <v>66</v>
      </c>
      <c r="T20" t="s">
        <v>13</v>
      </c>
      <c r="U20" t="s">
        <v>22</v>
      </c>
      <c r="V20" s="30" t="s">
        <v>11052</v>
      </c>
      <c r="W20" t="s">
        <v>8692</v>
      </c>
      <c r="X20">
        <v>1</v>
      </c>
      <c r="Y20">
        <v>6</v>
      </c>
      <c r="Z20"/>
      <c r="AB20" s="80">
        <f>ARTICULOS_YAMANIL[[#This Row],[Costo]]*ARTICULOS_YAMANIL[[#This Row],[Pedido]]</f>
        <v>0</v>
      </c>
      <c r="AD20"/>
      <c r="AH20" s="2" t="str">
        <f>IF(AND(ARTICULOS_YAMANIL[[#This Row],[FechaVenc]]=0,ARTICULOS_YAMANIL[[#This Row],[DiasVenc]]=0),"",ARTICULOS_YAMANIL[[#This Row],[FechaVenc]]-ARTICULOS_YAMANIL[[#This Row],[DiasVenc]])</f>
        <v/>
      </c>
      <c r="AK20"/>
      <c r="AM20"/>
      <c r="AO20" s="30" t="s">
        <v>8689</v>
      </c>
    </row>
    <row r="21" spans="1:41" x14ac:dyDescent="0.25">
      <c r="A21" s="1" t="s">
        <v>11059</v>
      </c>
      <c r="C21" t="str">
        <f t="shared" si="0"/>
        <v>BOD39250137</v>
      </c>
      <c r="D21" t="s">
        <v>8689</v>
      </c>
      <c r="E21" s="1" t="s">
        <v>11060</v>
      </c>
      <c r="F21" s="61">
        <v>0</v>
      </c>
      <c r="G21" s="7">
        <v>21</v>
      </c>
      <c r="H21" s="8" t="s">
        <v>8690</v>
      </c>
      <c r="I21">
        <v>6</v>
      </c>
      <c r="J21">
        <f>ARTICULOS_YAMANIL[[#This Row],[Bulto]]</f>
        <v>6</v>
      </c>
      <c r="K21">
        <f t="shared" si="1"/>
        <v>5</v>
      </c>
      <c r="L21" s="57">
        <f>((ARTICULOS_YAMANIL[[#This Row],[P. Compra]]*(1+ARTICULOS_YAMANIL[[#This Row],[IVA]]%))/ARTICULOS_YAMANIL[[#This Row],[UnidFact]])+ARTICULOS_YAMANIL[[#This Row],[CostoFlete]]</f>
        <v>5</v>
      </c>
      <c r="M21">
        <v>35</v>
      </c>
      <c r="N21" s="32">
        <v>1200</v>
      </c>
      <c r="O21" s="21">
        <f>MROUND((ARTICULOS_YAMANIL[[#This Row],[Precio]]/0.6),50)</f>
        <v>2000</v>
      </c>
      <c r="P21" t="s">
        <v>8693</v>
      </c>
      <c r="Q21">
        <v>12</v>
      </c>
      <c r="R21" s="3">
        <f>ARTICULOS_YAMANIL[[#This Row],[Bulto]]*5</f>
        <v>30</v>
      </c>
      <c r="S21" t="s">
        <v>66</v>
      </c>
      <c r="T21" t="s">
        <v>13</v>
      </c>
      <c r="U21" t="s">
        <v>22</v>
      </c>
      <c r="V21" s="30" t="s">
        <v>11052</v>
      </c>
      <c r="W21" t="s">
        <v>8692</v>
      </c>
      <c r="X21">
        <v>1</v>
      </c>
      <c r="Y21">
        <v>6</v>
      </c>
      <c r="Z21"/>
      <c r="AB21" s="80">
        <f>ARTICULOS_YAMANIL[[#This Row],[Costo]]*ARTICULOS_YAMANIL[[#This Row],[Pedido]]</f>
        <v>0</v>
      </c>
      <c r="AD21"/>
      <c r="AH21" s="2" t="str">
        <f>IF(AND(ARTICULOS_YAMANIL[[#This Row],[FechaVenc]]=0,ARTICULOS_YAMANIL[[#This Row],[DiasVenc]]=0),"",ARTICULOS_YAMANIL[[#This Row],[FechaVenc]]-ARTICULOS_YAMANIL[[#This Row],[DiasVenc]])</f>
        <v/>
      </c>
      <c r="AK21"/>
      <c r="AM21"/>
      <c r="AO21" s="30" t="s">
        <v>8689</v>
      </c>
    </row>
    <row r="22" spans="1:41" x14ac:dyDescent="0.25">
      <c r="A22" s="24" t="s">
        <v>11055</v>
      </c>
      <c r="B22" s="24"/>
      <c r="C22" t="str">
        <f t="shared" si="0"/>
        <v>BOD39250151</v>
      </c>
      <c r="D22" t="s">
        <v>8689</v>
      </c>
      <c r="E22" s="24" t="s">
        <v>11056</v>
      </c>
      <c r="F22" s="61">
        <v>0</v>
      </c>
      <c r="G22" s="7">
        <v>21</v>
      </c>
      <c r="H22" s="8" t="s">
        <v>8690</v>
      </c>
      <c r="I22">
        <v>6</v>
      </c>
      <c r="J22">
        <f>ARTICULOS_YAMANIL[[#This Row],[Bulto]]</f>
        <v>6</v>
      </c>
      <c r="K22">
        <f t="shared" si="1"/>
        <v>5</v>
      </c>
      <c r="L22" s="57">
        <f>((ARTICULOS_YAMANIL[[#This Row],[P. Compra]]*(1+ARTICULOS_YAMANIL[[#This Row],[IVA]]%))/ARTICULOS_YAMANIL[[#This Row],[UnidFact]])+ARTICULOS_YAMANIL[[#This Row],[CostoFlete]]</f>
        <v>5</v>
      </c>
      <c r="M22">
        <v>35</v>
      </c>
      <c r="N22" s="32">
        <v>1200</v>
      </c>
      <c r="O22" s="21">
        <f>MROUND((ARTICULOS_YAMANIL[[#This Row],[Precio]]/0.6),50)</f>
        <v>2000</v>
      </c>
      <c r="P22" t="s">
        <v>8693</v>
      </c>
      <c r="Q22">
        <v>12</v>
      </c>
      <c r="R22" s="3">
        <f>ARTICULOS_YAMANIL[[#This Row],[Bulto]]*5</f>
        <v>30</v>
      </c>
      <c r="S22" t="s">
        <v>66</v>
      </c>
      <c r="T22" t="s">
        <v>13</v>
      </c>
      <c r="U22" t="s">
        <v>22</v>
      </c>
      <c r="V22" s="30" t="s">
        <v>11052</v>
      </c>
      <c r="W22" t="s">
        <v>8692</v>
      </c>
      <c r="X22">
        <v>1</v>
      </c>
      <c r="Y22">
        <v>6</v>
      </c>
      <c r="Z22"/>
      <c r="AB22" s="80">
        <f>ARTICULOS_YAMANIL[[#This Row],[Costo]]*ARTICULOS_YAMANIL[[#This Row],[Pedido]]</f>
        <v>0</v>
      </c>
      <c r="AD22"/>
      <c r="AH22" s="2" t="str">
        <f>IF(AND(ARTICULOS_YAMANIL[[#This Row],[FechaVenc]]=0,ARTICULOS_YAMANIL[[#This Row],[DiasVenc]]=0),"",ARTICULOS_YAMANIL[[#This Row],[FechaVenc]]-ARTICULOS_YAMANIL[[#This Row],[DiasVenc]])</f>
        <v/>
      </c>
      <c r="AK22"/>
      <c r="AM22"/>
      <c r="AO22" s="30" t="s">
        <v>8689</v>
      </c>
    </row>
    <row r="23" spans="1:41" x14ac:dyDescent="0.25">
      <c r="A23" s="24" t="s">
        <v>11057</v>
      </c>
      <c r="C23" t="str">
        <f t="shared" si="0"/>
        <v>BOD39250182</v>
      </c>
      <c r="D23" t="s">
        <v>8689</v>
      </c>
      <c r="E23" s="24" t="s">
        <v>11058</v>
      </c>
      <c r="F23" s="61">
        <v>0</v>
      </c>
      <c r="G23" s="7">
        <v>21</v>
      </c>
      <c r="H23" s="8" t="s">
        <v>8690</v>
      </c>
      <c r="I23">
        <v>6</v>
      </c>
      <c r="J23">
        <f>ARTICULOS_YAMANIL[[#This Row],[Bulto]]</f>
        <v>6</v>
      </c>
      <c r="K23">
        <f t="shared" si="1"/>
        <v>5</v>
      </c>
      <c r="L23" s="57">
        <f>((ARTICULOS_YAMANIL[[#This Row],[P. Compra]]*(1+ARTICULOS_YAMANIL[[#This Row],[IVA]]%))/ARTICULOS_YAMANIL[[#This Row],[UnidFact]])+ARTICULOS_YAMANIL[[#This Row],[CostoFlete]]</f>
        <v>5</v>
      </c>
      <c r="M23">
        <v>35</v>
      </c>
      <c r="N23" s="32">
        <v>1200</v>
      </c>
      <c r="O23" s="21">
        <f>MROUND((ARTICULOS_YAMANIL[[#This Row],[Precio]]/0.6),50)</f>
        <v>2000</v>
      </c>
      <c r="P23" t="s">
        <v>8693</v>
      </c>
      <c r="Q23">
        <v>12</v>
      </c>
      <c r="R23" s="3">
        <f>ARTICULOS_YAMANIL[[#This Row],[Bulto]]*5</f>
        <v>30</v>
      </c>
      <c r="S23" t="s">
        <v>66</v>
      </c>
      <c r="T23" t="s">
        <v>13</v>
      </c>
      <c r="U23" t="s">
        <v>22</v>
      </c>
      <c r="V23" s="30" t="s">
        <v>11052</v>
      </c>
      <c r="W23" t="s">
        <v>8692</v>
      </c>
      <c r="X23">
        <v>1</v>
      </c>
      <c r="Y23">
        <v>6</v>
      </c>
      <c r="Z23"/>
      <c r="AB23" s="80">
        <f>ARTICULOS_YAMANIL[[#This Row],[Costo]]*ARTICULOS_YAMANIL[[#This Row],[Pedido]]</f>
        <v>0</v>
      </c>
      <c r="AD23"/>
      <c r="AH23" s="2" t="str">
        <f>IF(AND(ARTICULOS_YAMANIL[[#This Row],[FechaVenc]]=0,ARTICULOS_YAMANIL[[#This Row],[DiasVenc]]=0),"",ARTICULOS_YAMANIL[[#This Row],[FechaVenc]]-ARTICULOS_YAMANIL[[#This Row],[DiasVenc]])</f>
        <v/>
      </c>
      <c r="AK23"/>
      <c r="AM23"/>
      <c r="AO23" s="30" t="s">
        <v>8689</v>
      </c>
    </row>
    <row r="24" spans="1:41" x14ac:dyDescent="0.25">
      <c r="A24" s="1" t="s">
        <v>10942</v>
      </c>
      <c r="C24" t="str">
        <f t="shared" si="0"/>
        <v>BOD95003202</v>
      </c>
      <c r="D24" t="s">
        <v>8689</v>
      </c>
      <c r="E24" s="1" t="s">
        <v>10943</v>
      </c>
      <c r="F24" s="61">
        <v>3958.6</v>
      </c>
      <c r="G24" s="7">
        <v>21</v>
      </c>
      <c r="H24" s="8" t="s">
        <v>8690</v>
      </c>
      <c r="I24">
        <v>6</v>
      </c>
      <c r="J24">
        <f>ARTICULOS_YAMANIL[[#This Row],[Bulto]]</f>
        <v>6</v>
      </c>
      <c r="K24">
        <f t="shared" si="1"/>
        <v>5</v>
      </c>
      <c r="L24" s="57">
        <f>((ARTICULOS_YAMANIL[[#This Row],[P. Compra]]*(1+ARTICULOS_YAMANIL[[#This Row],[IVA]]%))/ARTICULOS_YAMANIL[[#This Row],[UnidFact]])+ARTICULOS_YAMANIL[[#This Row],[CostoFlete]]</f>
        <v>803.3176666666667</v>
      </c>
      <c r="M24">
        <v>35</v>
      </c>
      <c r="N24" s="32">
        <f t="shared" si="2"/>
        <v>1250</v>
      </c>
      <c r="O24" s="21">
        <f>MROUND((ARTICULOS_YAMANIL[[#This Row],[Precio]]/0.6),50)</f>
        <v>2100</v>
      </c>
      <c r="P24" t="s">
        <v>8693</v>
      </c>
      <c r="Q24">
        <v>12</v>
      </c>
      <c r="R24" s="3">
        <f>ARTICULOS_YAMANIL[[#This Row],[Bulto]]*5</f>
        <v>30</v>
      </c>
      <c r="S24" t="s">
        <v>66</v>
      </c>
      <c r="T24" t="s">
        <v>13</v>
      </c>
      <c r="U24" t="s">
        <v>62</v>
      </c>
      <c r="V24" s="30" t="s">
        <v>10944</v>
      </c>
      <c r="W24" t="s">
        <v>8692</v>
      </c>
      <c r="X24">
        <v>1</v>
      </c>
      <c r="Y24">
        <v>21</v>
      </c>
      <c r="Z24"/>
      <c r="AB24" s="80">
        <f>ARTICULOS_YAMANIL[[#This Row],[Costo]]*ARTICULOS_YAMANIL[[#This Row],[Pedido]]</f>
        <v>0</v>
      </c>
      <c r="AD24"/>
      <c r="AH24" s="2" t="str">
        <f>IF(AND(ARTICULOS_YAMANIL[[#This Row],[FechaVenc]]=0,ARTICULOS_YAMANIL[[#This Row],[DiasVenc]]=0),"",ARTICULOS_YAMANIL[[#This Row],[FechaVenc]]-ARTICULOS_YAMANIL[[#This Row],[DiasVenc]])</f>
        <v/>
      </c>
      <c r="AK24"/>
      <c r="AM24"/>
      <c r="AO24" s="30" t="s">
        <v>8689</v>
      </c>
    </row>
    <row r="25" spans="1:41" x14ac:dyDescent="0.25">
      <c r="A25" s="1" t="s">
        <v>10945</v>
      </c>
      <c r="C25" t="str">
        <f t="shared" si="0"/>
        <v>BOD95648113</v>
      </c>
      <c r="D25" t="s">
        <v>8689</v>
      </c>
      <c r="E25" s="1" t="s">
        <v>10946</v>
      </c>
      <c r="F25" s="61">
        <f>F24</f>
        <v>3958.6</v>
      </c>
      <c r="G25" s="7">
        <v>21</v>
      </c>
      <c r="H25" s="8" t="s">
        <v>8690</v>
      </c>
      <c r="I25">
        <v>6</v>
      </c>
      <c r="J25">
        <f>ARTICULOS_YAMANIL[[#This Row],[Bulto]]</f>
        <v>6</v>
      </c>
      <c r="K25">
        <f t="shared" si="1"/>
        <v>5</v>
      </c>
      <c r="L25" s="57">
        <f>((ARTICULOS_YAMANIL[[#This Row],[P. Compra]]*(1+ARTICULOS_YAMANIL[[#This Row],[IVA]]%))/ARTICULOS_YAMANIL[[#This Row],[UnidFact]])+ARTICULOS_YAMANIL[[#This Row],[CostoFlete]]</f>
        <v>803.3176666666667</v>
      </c>
      <c r="M25">
        <v>35</v>
      </c>
      <c r="N25" s="32">
        <f t="shared" si="2"/>
        <v>1250</v>
      </c>
      <c r="O25" s="21">
        <f>MROUND((ARTICULOS_YAMANIL[[#This Row],[Precio]]/0.6),50)</f>
        <v>2100</v>
      </c>
      <c r="P25" t="s">
        <v>8693</v>
      </c>
      <c r="Q25">
        <v>12</v>
      </c>
      <c r="R25" s="3">
        <f>ARTICULOS_YAMANIL[[#This Row],[Bulto]]*5</f>
        <v>30</v>
      </c>
      <c r="S25" t="s">
        <v>66</v>
      </c>
      <c r="T25" t="s">
        <v>13</v>
      </c>
      <c r="U25" t="s">
        <v>62</v>
      </c>
      <c r="V25" s="30" t="s">
        <v>10944</v>
      </c>
      <c r="W25" t="s">
        <v>8692</v>
      </c>
      <c r="X25">
        <v>1</v>
      </c>
      <c r="Y25">
        <v>0</v>
      </c>
      <c r="Z25"/>
      <c r="AB25" s="80">
        <f>ARTICULOS_YAMANIL[[#This Row],[Costo]]*ARTICULOS_YAMANIL[[#This Row],[Pedido]]</f>
        <v>0</v>
      </c>
      <c r="AD25"/>
      <c r="AH25" s="2" t="str">
        <f>IF(AND(ARTICULOS_YAMANIL[[#This Row],[FechaVenc]]=0,ARTICULOS_YAMANIL[[#This Row],[DiasVenc]]=0),"",ARTICULOS_YAMANIL[[#This Row],[FechaVenc]]-ARTICULOS_YAMANIL[[#This Row],[DiasVenc]])</f>
        <v/>
      </c>
      <c r="AK25"/>
      <c r="AM25"/>
      <c r="AO25" s="30" t="s">
        <v>8689</v>
      </c>
    </row>
    <row r="26" spans="1:41" x14ac:dyDescent="0.25">
      <c r="A26" s="1" t="s">
        <v>10947</v>
      </c>
      <c r="C26" t="str">
        <f t="shared" si="0"/>
        <v>BOD95643903</v>
      </c>
      <c r="D26" t="s">
        <v>8689</v>
      </c>
      <c r="E26" s="1" t="s">
        <v>10948</v>
      </c>
      <c r="F26" s="61">
        <f t="shared" ref="F26:F32" si="11">F25</f>
        <v>3958.6</v>
      </c>
      <c r="G26" s="7">
        <v>21</v>
      </c>
      <c r="H26" s="8" t="s">
        <v>8690</v>
      </c>
      <c r="I26">
        <v>6</v>
      </c>
      <c r="J26">
        <f>ARTICULOS_YAMANIL[[#This Row],[Bulto]]</f>
        <v>6</v>
      </c>
      <c r="K26">
        <f t="shared" si="1"/>
        <v>5</v>
      </c>
      <c r="L26" s="57">
        <f>((ARTICULOS_YAMANIL[[#This Row],[P. Compra]]*(1+ARTICULOS_YAMANIL[[#This Row],[IVA]]%))/ARTICULOS_YAMANIL[[#This Row],[UnidFact]])+ARTICULOS_YAMANIL[[#This Row],[CostoFlete]]</f>
        <v>803.3176666666667</v>
      </c>
      <c r="M26">
        <v>35</v>
      </c>
      <c r="N26" s="32">
        <f t="shared" si="2"/>
        <v>1250</v>
      </c>
      <c r="O26" s="21">
        <f>MROUND((ARTICULOS_YAMANIL[[#This Row],[Precio]]/0.6),50)</f>
        <v>2100</v>
      </c>
      <c r="P26" t="s">
        <v>8693</v>
      </c>
      <c r="Q26">
        <v>12</v>
      </c>
      <c r="R26" s="3">
        <f>ARTICULOS_YAMANIL[[#This Row],[Bulto]]*5</f>
        <v>30</v>
      </c>
      <c r="S26" t="s">
        <v>66</v>
      </c>
      <c r="T26" t="s">
        <v>13</v>
      </c>
      <c r="U26" t="s">
        <v>62</v>
      </c>
      <c r="V26" s="30" t="s">
        <v>10944</v>
      </c>
      <c r="W26" t="s">
        <v>8692</v>
      </c>
      <c r="X26">
        <v>1</v>
      </c>
      <c r="Y26">
        <v>13</v>
      </c>
      <c r="Z26"/>
      <c r="AB26" s="80">
        <f>ARTICULOS_YAMANIL[[#This Row],[Costo]]*ARTICULOS_YAMANIL[[#This Row],[Pedido]]</f>
        <v>0</v>
      </c>
      <c r="AD26"/>
      <c r="AH26" s="2" t="str">
        <f>IF(AND(ARTICULOS_YAMANIL[[#This Row],[FechaVenc]]=0,ARTICULOS_YAMANIL[[#This Row],[DiasVenc]]=0),"",ARTICULOS_YAMANIL[[#This Row],[FechaVenc]]-ARTICULOS_YAMANIL[[#This Row],[DiasVenc]])</f>
        <v/>
      </c>
      <c r="AK26"/>
      <c r="AM26"/>
      <c r="AO26" s="30" t="s">
        <v>8689</v>
      </c>
    </row>
    <row r="27" spans="1:41" x14ac:dyDescent="0.25">
      <c r="A27" s="1" t="s">
        <v>10949</v>
      </c>
      <c r="C27" t="str">
        <f t="shared" si="0"/>
        <v>BOD95648083</v>
      </c>
      <c r="D27" t="s">
        <v>8689</v>
      </c>
      <c r="E27" s="1" t="s">
        <v>10950</v>
      </c>
      <c r="F27" s="61">
        <f t="shared" si="11"/>
        <v>3958.6</v>
      </c>
      <c r="G27" s="7">
        <v>21</v>
      </c>
      <c r="H27" s="8" t="s">
        <v>8690</v>
      </c>
      <c r="I27">
        <v>6</v>
      </c>
      <c r="J27">
        <f>ARTICULOS_YAMANIL[[#This Row],[Bulto]]</f>
        <v>6</v>
      </c>
      <c r="K27">
        <f t="shared" si="1"/>
        <v>5</v>
      </c>
      <c r="L27" s="57">
        <f>((ARTICULOS_YAMANIL[[#This Row],[P. Compra]]*(1+ARTICULOS_YAMANIL[[#This Row],[IVA]]%))/ARTICULOS_YAMANIL[[#This Row],[UnidFact]])+ARTICULOS_YAMANIL[[#This Row],[CostoFlete]]</f>
        <v>803.3176666666667</v>
      </c>
      <c r="M27">
        <v>35</v>
      </c>
      <c r="N27" s="32">
        <f t="shared" si="2"/>
        <v>1250</v>
      </c>
      <c r="O27" s="21">
        <f>MROUND((ARTICULOS_YAMANIL[[#This Row],[Precio]]/0.6),50)</f>
        <v>2100</v>
      </c>
      <c r="P27" t="s">
        <v>8693</v>
      </c>
      <c r="Q27">
        <v>12</v>
      </c>
      <c r="R27" s="3">
        <f>ARTICULOS_YAMANIL[[#This Row],[Bulto]]*5</f>
        <v>30</v>
      </c>
      <c r="S27" t="s">
        <v>66</v>
      </c>
      <c r="T27" t="s">
        <v>13</v>
      </c>
      <c r="U27" t="s">
        <v>62</v>
      </c>
      <c r="V27" s="30" t="s">
        <v>10944</v>
      </c>
      <c r="W27" t="s">
        <v>8692</v>
      </c>
      <c r="X27">
        <v>1</v>
      </c>
      <c r="Y27">
        <v>0</v>
      </c>
      <c r="Z27"/>
      <c r="AB27" s="80">
        <f>ARTICULOS_YAMANIL[[#This Row],[Costo]]*ARTICULOS_YAMANIL[[#This Row],[Pedido]]</f>
        <v>0</v>
      </c>
      <c r="AD27"/>
      <c r="AH27" s="2" t="str">
        <f>IF(AND(ARTICULOS_YAMANIL[[#This Row],[FechaVenc]]=0,ARTICULOS_YAMANIL[[#This Row],[DiasVenc]]=0),"",ARTICULOS_YAMANIL[[#This Row],[FechaVenc]]-ARTICULOS_YAMANIL[[#This Row],[DiasVenc]])</f>
        <v/>
      </c>
      <c r="AK27"/>
      <c r="AM27"/>
      <c r="AO27" s="30" t="s">
        <v>8689</v>
      </c>
    </row>
    <row r="28" spans="1:41" x14ac:dyDescent="0.25">
      <c r="A28" s="1" t="s">
        <v>10951</v>
      </c>
      <c r="C28" t="str">
        <f t="shared" si="0"/>
        <v>BEB95000232</v>
      </c>
      <c r="D28" t="s">
        <v>8689</v>
      </c>
      <c r="E28" s="1" t="s">
        <v>10952</v>
      </c>
      <c r="F28" s="61">
        <f t="shared" si="11"/>
        <v>3958.6</v>
      </c>
      <c r="G28" s="7">
        <v>21</v>
      </c>
      <c r="H28" s="8" t="s">
        <v>8690</v>
      </c>
      <c r="I28">
        <v>6</v>
      </c>
      <c r="J28">
        <f>ARTICULOS_YAMANIL[[#This Row],[Bulto]]</f>
        <v>6</v>
      </c>
      <c r="K28">
        <f t="shared" si="1"/>
        <v>5</v>
      </c>
      <c r="L28" s="57">
        <f>((ARTICULOS_YAMANIL[[#This Row],[P. Compra]]*(1+ARTICULOS_YAMANIL[[#This Row],[IVA]]%))/ARTICULOS_YAMANIL[[#This Row],[UnidFact]])+ARTICULOS_YAMANIL[[#This Row],[CostoFlete]]</f>
        <v>803.3176666666667</v>
      </c>
      <c r="M28">
        <v>35</v>
      </c>
      <c r="N28" s="32">
        <f t="shared" si="2"/>
        <v>1250</v>
      </c>
      <c r="O28" s="21">
        <f>MROUND((ARTICULOS_YAMANIL[[#This Row],[Precio]]/0.6),50)</f>
        <v>2100</v>
      </c>
      <c r="P28" t="s">
        <v>8693</v>
      </c>
      <c r="Q28">
        <v>12</v>
      </c>
      <c r="R28" s="3">
        <f>ARTICULOS_YAMANIL[[#This Row],[Bulto]]*10</f>
        <v>60</v>
      </c>
      <c r="S28" t="s">
        <v>66</v>
      </c>
      <c r="T28" t="s">
        <v>10</v>
      </c>
      <c r="U28" t="s">
        <v>62</v>
      </c>
      <c r="V28" s="30" t="s">
        <v>10953</v>
      </c>
      <c r="W28" t="s">
        <v>8692</v>
      </c>
      <c r="X28">
        <v>1</v>
      </c>
      <c r="Y28">
        <v>27</v>
      </c>
      <c r="Z28"/>
      <c r="AB28" s="80">
        <f>ARTICULOS_YAMANIL[[#This Row],[Costo]]*ARTICULOS_YAMANIL[[#This Row],[Pedido]]</f>
        <v>0</v>
      </c>
      <c r="AD28"/>
      <c r="AH28" s="2" t="str">
        <f>IF(AND(ARTICULOS_YAMANIL[[#This Row],[FechaVenc]]=0,ARTICULOS_YAMANIL[[#This Row],[DiasVenc]]=0),"",ARTICULOS_YAMANIL[[#This Row],[FechaVenc]]-ARTICULOS_YAMANIL[[#This Row],[DiasVenc]])</f>
        <v/>
      </c>
      <c r="AK28"/>
      <c r="AM28"/>
      <c r="AO28" s="30" t="s">
        <v>8689</v>
      </c>
    </row>
    <row r="29" spans="1:41" x14ac:dyDescent="0.25">
      <c r="A29" s="1" t="s">
        <v>10954</v>
      </c>
      <c r="C29" t="str">
        <f t="shared" si="0"/>
        <v>BEB95067587</v>
      </c>
      <c r="D29" t="s">
        <v>8689</v>
      </c>
      <c r="E29" s="1" t="s">
        <v>10955</v>
      </c>
      <c r="F29" s="61">
        <f t="shared" si="11"/>
        <v>3958.6</v>
      </c>
      <c r="G29" s="7">
        <v>21</v>
      </c>
      <c r="H29" s="8" t="s">
        <v>8690</v>
      </c>
      <c r="I29">
        <v>6</v>
      </c>
      <c r="J29">
        <f>ARTICULOS_YAMANIL[[#This Row],[Bulto]]</f>
        <v>6</v>
      </c>
      <c r="K29">
        <f t="shared" si="1"/>
        <v>5</v>
      </c>
      <c r="L29" s="57">
        <f>((ARTICULOS_YAMANIL[[#This Row],[P. Compra]]*(1+ARTICULOS_YAMANIL[[#This Row],[IVA]]%))/ARTICULOS_YAMANIL[[#This Row],[UnidFact]])+ARTICULOS_YAMANIL[[#This Row],[CostoFlete]]</f>
        <v>803.3176666666667</v>
      </c>
      <c r="M29">
        <v>35</v>
      </c>
      <c r="N29" s="32">
        <f t="shared" si="2"/>
        <v>1250</v>
      </c>
      <c r="O29" s="21">
        <f>MROUND((ARTICULOS_YAMANIL[[#This Row],[Precio]]/0.6),50)</f>
        <v>2100</v>
      </c>
      <c r="P29" t="s">
        <v>8693</v>
      </c>
      <c r="Q29">
        <v>12</v>
      </c>
      <c r="R29" s="3">
        <f>ARTICULOS_YAMANIL[[#This Row],[Bulto]]*10</f>
        <v>60</v>
      </c>
      <c r="S29" t="s">
        <v>66</v>
      </c>
      <c r="T29" t="s">
        <v>10</v>
      </c>
      <c r="U29" t="s">
        <v>62</v>
      </c>
      <c r="V29" s="30" t="s">
        <v>10953</v>
      </c>
      <c r="W29" t="s">
        <v>8692</v>
      </c>
      <c r="X29">
        <v>1</v>
      </c>
      <c r="Y29">
        <v>30</v>
      </c>
      <c r="Z29"/>
      <c r="AB29" s="80">
        <f>ARTICULOS_YAMANIL[[#This Row],[Costo]]*ARTICULOS_YAMANIL[[#This Row],[Pedido]]</f>
        <v>0</v>
      </c>
      <c r="AD29"/>
      <c r="AH29" s="2" t="str">
        <f>IF(AND(ARTICULOS_YAMANIL[[#This Row],[FechaVenc]]=0,ARTICULOS_YAMANIL[[#This Row],[DiasVenc]]=0),"",ARTICULOS_YAMANIL[[#This Row],[FechaVenc]]-ARTICULOS_YAMANIL[[#This Row],[DiasVenc]])</f>
        <v/>
      </c>
      <c r="AK29"/>
      <c r="AM29"/>
      <c r="AO29" s="30" t="s">
        <v>8689</v>
      </c>
    </row>
    <row r="30" spans="1:41" x14ac:dyDescent="0.25">
      <c r="A30" s="1" t="s">
        <v>10956</v>
      </c>
      <c r="C30" t="str">
        <f t="shared" si="0"/>
        <v>BEB95000256</v>
      </c>
      <c r="D30" t="s">
        <v>8689</v>
      </c>
      <c r="E30" s="1" t="s">
        <v>10957</v>
      </c>
      <c r="F30" s="61">
        <f t="shared" si="11"/>
        <v>3958.6</v>
      </c>
      <c r="G30" s="7">
        <v>21</v>
      </c>
      <c r="H30" s="8" t="s">
        <v>8690</v>
      </c>
      <c r="I30">
        <v>6</v>
      </c>
      <c r="J30">
        <f>ARTICULOS_YAMANIL[[#This Row],[Bulto]]</f>
        <v>6</v>
      </c>
      <c r="K30">
        <f t="shared" si="1"/>
        <v>5</v>
      </c>
      <c r="L30" s="57">
        <f>((ARTICULOS_YAMANIL[[#This Row],[P. Compra]]*(1+ARTICULOS_YAMANIL[[#This Row],[IVA]]%))/ARTICULOS_YAMANIL[[#This Row],[UnidFact]])+ARTICULOS_YAMANIL[[#This Row],[CostoFlete]]</f>
        <v>803.3176666666667</v>
      </c>
      <c r="M30">
        <v>35</v>
      </c>
      <c r="N30" s="32">
        <f t="shared" si="2"/>
        <v>1250</v>
      </c>
      <c r="O30" s="21">
        <f>MROUND((ARTICULOS_YAMANIL[[#This Row],[Precio]]/0.6),50)</f>
        <v>2100</v>
      </c>
      <c r="P30" t="s">
        <v>8693</v>
      </c>
      <c r="Q30">
        <v>12</v>
      </c>
      <c r="R30" s="3">
        <f>ARTICULOS_YAMANIL[[#This Row],[Bulto]]*10</f>
        <v>60</v>
      </c>
      <c r="S30" t="s">
        <v>66</v>
      </c>
      <c r="T30" t="s">
        <v>10</v>
      </c>
      <c r="U30" t="s">
        <v>62</v>
      </c>
      <c r="V30" s="30" t="s">
        <v>10958</v>
      </c>
      <c r="W30" t="s">
        <v>8692</v>
      </c>
      <c r="X30">
        <v>1</v>
      </c>
      <c r="Y30">
        <v>0</v>
      </c>
      <c r="Z30"/>
      <c r="AB30" s="80">
        <f>ARTICULOS_YAMANIL[[#This Row],[Costo]]*ARTICULOS_YAMANIL[[#This Row],[Pedido]]</f>
        <v>0</v>
      </c>
      <c r="AD30"/>
      <c r="AH30" s="2" t="str">
        <f>IF(AND(ARTICULOS_YAMANIL[[#This Row],[FechaVenc]]=0,ARTICULOS_YAMANIL[[#This Row],[DiasVenc]]=0),"",ARTICULOS_YAMANIL[[#This Row],[FechaVenc]]-ARTICULOS_YAMANIL[[#This Row],[DiasVenc]])</f>
        <v/>
      </c>
      <c r="AK30"/>
      <c r="AM30"/>
      <c r="AO30" s="30" t="s">
        <v>8689</v>
      </c>
    </row>
    <row r="31" spans="1:41" x14ac:dyDescent="0.25">
      <c r="A31" s="1" t="s">
        <v>10959</v>
      </c>
      <c r="C31" t="str">
        <f t="shared" si="0"/>
        <v>BEB95004308</v>
      </c>
      <c r="D31" t="s">
        <v>8689</v>
      </c>
      <c r="E31" s="1" t="s">
        <v>10960</v>
      </c>
      <c r="F31" s="61">
        <f t="shared" si="11"/>
        <v>3958.6</v>
      </c>
      <c r="G31" s="7">
        <v>21</v>
      </c>
      <c r="H31" s="8" t="s">
        <v>8690</v>
      </c>
      <c r="I31">
        <v>6</v>
      </c>
      <c r="J31">
        <f>ARTICULOS_YAMANIL[[#This Row],[Bulto]]</f>
        <v>6</v>
      </c>
      <c r="K31">
        <f t="shared" si="1"/>
        <v>5</v>
      </c>
      <c r="L31" s="57">
        <f>((ARTICULOS_YAMANIL[[#This Row],[P. Compra]]*(1+ARTICULOS_YAMANIL[[#This Row],[IVA]]%))/ARTICULOS_YAMANIL[[#This Row],[UnidFact]])+ARTICULOS_YAMANIL[[#This Row],[CostoFlete]]</f>
        <v>803.3176666666667</v>
      </c>
      <c r="M31">
        <v>35</v>
      </c>
      <c r="N31" s="32">
        <f t="shared" si="2"/>
        <v>1250</v>
      </c>
      <c r="O31" s="21">
        <f>MROUND((ARTICULOS_YAMANIL[[#This Row],[Precio]]/0.6),50)</f>
        <v>2100</v>
      </c>
      <c r="P31" t="s">
        <v>8693</v>
      </c>
      <c r="Q31">
        <v>12</v>
      </c>
      <c r="R31" s="3">
        <f>ARTICULOS_YAMANIL[[#This Row],[Bulto]]*10</f>
        <v>60</v>
      </c>
      <c r="S31" t="s">
        <v>66</v>
      </c>
      <c r="T31" t="s">
        <v>10</v>
      </c>
      <c r="U31" t="s">
        <v>62</v>
      </c>
      <c r="V31" s="30" t="s">
        <v>10958</v>
      </c>
      <c r="W31" t="s">
        <v>8692</v>
      </c>
      <c r="X31">
        <v>1</v>
      </c>
      <c r="Y31">
        <v>13</v>
      </c>
      <c r="Z31"/>
      <c r="AB31" s="80">
        <f>ARTICULOS_YAMANIL[[#This Row],[Costo]]*ARTICULOS_YAMANIL[[#This Row],[Pedido]]</f>
        <v>0</v>
      </c>
      <c r="AD31"/>
      <c r="AH31" s="2" t="str">
        <f>IF(AND(ARTICULOS_YAMANIL[[#This Row],[FechaVenc]]=0,ARTICULOS_YAMANIL[[#This Row],[DiasVenc]]=0),"",ARTICULOS_YAMANIL[[#This Row],[FechaVenc]]-ARTICULOS_YAMANIL[[#This Row],[DiasVenc]])</f>
        <v/>
      </c>
      <c r="AK31"/>
      <c r="AM31"/>
      <c r="AO31" s="30" t="s">
        <v>8689</v>
      </c>
    </row>
    <row r="32" spans="1:41" x14ac:dyDescent="0.25">
      <c r="A32" s="1" t="s">
        <v>10961</v>
      </c>
      <c r="C32" t="str">
        <f t="shared" si="0"/>
        <v>BEB95000270</v>
      </c>
      <c r="D32" t="s">
        <v>8689</v>
      </c>
      <c r="E32" s="1" t="s">
        <v>10962</v>
      </c>
      <c r="F32" s="61">
        <f t="shared" si="11"/>
        <v>3958.6</v>
      </c>
      <c r="G32" s="7">
        <v>21</v>
      </c>
      <c r="H32" s="8" t="s">
        <v>8690</v>
      </c>
      <c r="I32">
        <v>6</v>
      </c>
      <c r="J32">
        <f>ARTICULOS_YAMANIL[[#This Row],[Bulto]]</f>
        <v>6</v>
      </c>
      <c r="K32">
        <f t="shared" si="1"/>
        <v>5</v>
      </c>
      <c r="L32" s="57">
        <f>((ARTICULOS_YAMANIL[[#This Row],[P. Compra]]*(1+ARTICULOS_YAMANIL[[#This Row],[IVA]]%))/ARTICULOS_YAMANIL[[#This Row],[UnidFact]])+ARTICULOS_YAMANIL[[#This Row],[CostoFlete]]</f>
        <v>803.3176666666667</v>
      </c>
      <c r="M32">
        <v>35</v>
      </c>
      <c r="N32" s="32">
        <f t="shared" si="2"/>
        <v>1250</v>
      </c>
      <c r="O32" s="21">
        <f>MROUND((ARTICULOS_YAMANIL[[#This Row],[Precio]]/0.6),50)</f>
        <v>2100</v>
      </c>
      <c r="P32" t="s">
        <v>8693</v>
      </c>
      <c r="Q32">
        <v>12</v>
      </c>
      <c r="R32" s="3">
        <f>ARTICULOS_YAMANIL[[#This Row],[Bulto]]*10</f>
        <v>60</v>
      </c>
      <c r="S32" t="s">
        <v>66</v>
      </c>
      <c r="T32" t="s">
        <v>10</v>
      </c>
      <c r="U32" t="s">
        <v>62</v>
      </c>
      <c r="V32" s="30" t="s">
        <v>10963</v>
      </c>
      <c r="W32" t="s">
        <v>8692</v>
      </c>
      <c r="X32">
        <v>1</v>
      </c>
      <c r="Y32">
        <v>0</v>
      </c>
      <c r="Z32"/>
      <c r="AB32" s="80">
        <f>ARTICULOS_YAMANIL[[#This Row],[Costo]]*ARTICULOS_YAMANIL[[#This Row],[Pedido]]</f>
        <v>0</v>
      </c>
      <c r="AD32"/>
      <c r="AH32" s="2" t="str">
        <f>IF(AND(ARTICULOS_YAMANIL[[#This Row],[FechaVenc]]=0,ARTICULOS_YAMANIL[[#This Row],[DiasVenc]]=0),"",ARTICULOS_YAMANIL[[#This Row],[FechaVenc]]-ARTICULOS_YAMANIL[[#This Row],[DiasVenc]])</f>
        <v/>
      </c>
      <c r="AK32"/>
      <c r="AM32"/>
      <c r="AO32" s="30" t="s">
        <v>8689</v>
      </c>
    </row>
    <row r="33" spans="1:41" x14ac:dyDescent="0.25">
      <c r="A33" s="1" t="s">
        <v>10964</v>
      </c>
      <c r="C33" t="str">
        <f t="shared" si="0"/>
        <v>BEB95643286</v>
      </c>
      <c r="D33" t="s">
        <v>8689</v>
      </c>
      <c r="E33" s="1" t="s">
        <v>10965</v>
      </c>
      <c r="F33" s="61">
        <v>4384.9439999999995</v>
      </c>
      <c r="G33" s="7">
        <v>21</v>
      </c>
      <c r="H33" s="8" t="s">
        <v>8690</v>
      </c>
      <c r="I33">
        <v>6</v>
      </c>
      <c r="J33">
        <f>ARTICULOS_YAMANIL[[#This Row],[Bulto]]</f>
        <v>6</v>
      </c>
      <c r="K33">
        <f t="shared" si="1"/>
        <v>5</v>
      </c>
      <c r="L33" s="57">
        <f>((ARTICULOS_YAMANIL[[#This Row],[P. Compra]]*(1+ARTICULOS_YAMANIL[[#This Row],[IVA]]%))/ARTICULOS_YAMANIL[[#This Row],[UnidFact]])+ARTICULOS_YAMANIL[[#This Row],[CostoFlete]]</f>
        <v>889.29703999999992</v>
      </c>
      <c r="M33">
        <v>35</v>
      </c>
      <c r="N33" s="32">
        <f t="shared" si="2"/>
        <v>1350</v>
      </c>
      <c r="O33" s="21">
        <f>MROUND((ARTICULOS_YAMANIL[[#This Row],[Precio]]/0.6),50)</f>
        <v>2250</v>
      </c>
      <c r="P33" t="s">
        <v>8693</v>
      </c>
      <c r="Q33">
        <v>12</v>
      </c>
      <c r="R33" s="3">
        <f>ARTICULOS_YAMANIL[[#This Row],[Bulto]]*5</f>
        <v>30</v>
      </c>
      <c r="S33" t="s">
        <v>66</v>
      </c>
      <c r="T33" t="s">
        <v>10</v>
      </c>
      <c r="U33" t="s">
        <v>62</v>
      </c>
      <c r="V33" s="30" t="s">
        <v>10953</v>
      </c>
      <c r="W33" t="s">
        <v>8692</v>
      </c>
      <c r="X33">
        <v>1</v>
      </c>
      <c r="Y33">
        <v>0</v>
      </c>
      <c r="Z33"/>
      <c r="AB33" s="80">
        <f>ARTICULOS_YAMANIL[[#This Row],[Costo]]*ARTICULOS_YAMANIL[[#This Row],[Pedido]]</f>
        <v>0</v>
      </c>
      <c r="AD33"/>
      <c r="AH33" s="2" t="str">
        <f>IF(AND(ARTICULOS_YAMANIL[[#This Row],[FechaVenc]]=0,ARTICULOS_YAMANIL[[#This Row],[DiasVenc]]=0),"",ARTICULOS_YAMANIL[[#This Row],[FechaVenc]]-ARTICULOS_YAMANIL[[#This Row],[DiasVenc]])</f>
        <v/>
      </c>
      <c r="AK33"/>
      <c r="AM33"/>
      <c r="AO33" s="30" t="s">
        <v>8689</v>
      </c>
    </row>
    <row r="34" spans="1:41" x14ac:dyDescent="0.25">
      <c r="A34" s="1" t="s">
        <v>11029</v>
      </c>
      <c r="C34" t="str">
        <f t="shared" si="0"/>
        <v>BEB84789417</v>
      </c>
      <c r="D34" t="s">
        <v>8689</v>
      </c>
      <c r="E34" s="1" t="s">
        <v>11030</v>
      </c>
      <c r="F34" s="61">
        <v>9257</v>
      </c>
      <c r="G34" s="7">
        <v>21</v>
      </c>
      <c r="H34" s="4" t="s">
        <v>8690</v>
      </c>
      <c r="I34">
        <v>6</v>
      </c>
      <c r="J34">
        <f>ARTICULOS_YAMANIL[[#This Row],[Bulto]]</f>
        <v>6</v>
      </c>
      <c r="K34">
        <f t="shared" si="1"/>
        <v>5</v>
      </c>
      <c r="L34" s="57">
        <f>((ARTICULOS_YAMANIL[[#This Row],[P. Compra]]*(1+ARTICULOS_YAMANIL[[#This Row],[IVA]]%))/ARTICULOS_YAMANIL[[#This Row],[UnidFact]])+ARTICULOS_YAMANIL[[#This Row],[CostoFlete]]</f>
        <v>1871.8283333333331</v>
      </c>
      <c r="M34">
        <v>35</v>
      </c>
      <c r="N34" s="32">
        <f t="shared" si="2"/>
        <v>2900</v>
      </c>
      <c r="O34" s="21">
        <f>MROUND((ARTICULOS_YAMANIL[[#This Row],[Precio]]/0.6),50)</f>
        <v>4850</v>
      </c>
      <c r="P34" t="s">
        <v>8693</v>
      </c>
      <c r="Q34">
        <v>12</v>
      </c>
      <c r="R34" s="3">
        <f>ARTICULOS_YAMANIL[[#This Row],[Bulto]]*10</f>
        <v>60</v>
      </c>
      <c r="S34" t="s">
        <v>66</v>
      </c>
      <c r="T34" t="s">
        <v>10</v>
      </c>
      <c r="U34" t="s">
        <v>54</v>
      </c>
      <c r="V34" s="30" t="s">
        <v>11031</v>
      </c>
      <c r="W34" t="s">
        <v>8692</v>
      </c>
      <c r="X34">
        <v>1</v>
      </c>
      <c r="Y34">
        <v>39</v>
      </c>
      <c r="Z34"/>
      <c r="AB34" s="80">
        <f>ARTICULOS_YAMANIL[[#This Row],[Costo]]*ARTICULOS_YAMANIL[[#This Row],[Pedido]]</f>
        <v>0</v>
      </c>
      <c r="AD34"/>
      <c r="AH34" s="2" t="str">
        <f>IF(AND(ARTICULOS_YAMANIL[[#This Row],[FechaVenc]]=0,ARTICULOS_YAMANIL[[#This Row],[DiasVenc]]=0),"",ARTICULOS_YAMANIL[[#This Row],[FechaVenc]]-ARTICULOS_YAMANIL[[#This Row],[DiasVenc]])</f>
        <v/>
      </c>
      <c r="AK34"/>
      <c r="AM34"/>
      <c r="AO34" s="30" t="s">
        <v>8689</v>
      </c>
    </row>
    <row r="35" spans="1:41" x14ac:dyDescent="0.25">
      <c r="A35" s="1" t="s">
        <v>11032</v>
      </c>
      <c r="C35" t="str">
        <f t="shared" si="0"/>
        <v>BEB84703475</v>
      </c>
      <c r="D35" t="s">
        <v>8689</v>
      </c>
      <c r="E35" s="1" t="s">
        <v>11033</v>
      </c>
      <c r="F35" s="61">
        <f>F34</f>
        <v>9257</v>
      </c>
      <c r="G35" s="7">
        <v>21</v>
      </c>
      <c r="H35" s="8" t="s">
        <v>8690</v>
      </c>
      <c r="I35">
        <v>6</v>
      </c>
      <c r="J35">
        <f>ARTICULOS_YAMANIL[[#This Row],[Bulto]]</f>
        <v>6</v>
      </c>
      <c r="K35">
        <f t="shared" si="1"/>
        <v>5</v>
      </c>
      <c r="L35" s="57">
        <f>((ARTICULOS_YAMANIL[[#This Row],[P. Compra]]*(1+ARTICULOS_YAMANIL[[#This Row],[IVA]]%))/ARTICULOS_YAMANIL[[#This Row],[UnidFact]])+ARTICULOS_YAMANIL[[#This Row],[CostoFlete]]</f>
        <v>1871.8283333333331</v>
      </c>
      <c r="M35">
        <v>35</v>
      </c>
      <c r="N35" s="32">
        <f t="shared" si="2"/>
        <v>2900</v>
      </c>
      <c r="O35" s="21">
        <f>MROUND((ARTICULOS_YAMANIL[[#This Row],[Precio]]/0.6),50)</f>
        <v>4850</v>
      </c>
      <c r="P35" t="s">
        <v>8693</v>
      </c>
      <c r="Q35">
        <v>12</v>
      </c>
      <c r="R35" s="3">
        <f>ARTICULOS_YAMANIL[[#This Row],[Bulto]]*10</f>
        <v>60</v>
      </c>
      <c r="S35" t="s">
        <v>66</v>
      </c>
      <c r="T35" t="s">
        <v>10</v>
      </c>
      <c r="U35" t="s">
        <v>54</v>
      </c>
      <c r="V35" s="30" t="s">
        <v>11031</v>
      </c>
      <c r="W35" t="s">
        <v>8692</v>
      </c>
      <c r="X35">
        <v>1</v>
      </c>
      <c r="Y35">
        <v>25</v>
      </c>
      <c r="Z35"/>
      <c r="AB35" s="80">
        <f>ARTICULOS_YAMANIL[[#This Row],[Costo]]*ARTICULOS_YAMANIL[[#This Row],[Pedido]]</f>
        <v>0</v>
      </c>
      <c r="AD35"/>
      <c r="AH35" s="2" t="str">
        <f>IF(AND(ARTICULOS_YAMANIL[[#This Row],[FechaVenc]]=0,ARTICULOS_YAMANIL[[#This Row],[DiasVenc]]=0),"",ARTICULOS_YAMANIL[[#This Row],[FechaVenc]]-ARTICULOS_YAMANIL[[#This Row],[DiasVenc]])</f>
        <v/>
      </c>
      <c r="AK35"/>
      <c r="AM35"/>
      <c r="AO35" s="30" t="s">
        <v>8689</v>
      </c>
    </row>
    <row r="36" spans="1:41" x14ac:dyDescent="0.25">
      <c r="A36" s="1" t="s">
        <v>11034</v>
      </c>
      <c r="C36" t="str">
        <f t="shared" si="0"/>
        <v>BEB84701235</v>
      </c>
      <c r="D36" t="s">
        <v>8689</v>
      </c>
      <c r="E36" s="24" t="s">
        <v>11035</v>
      </c>
      <c r="F36" s="61">
        <f t="shared" ref="F36:F37" si="12">F35</f>
        <v>9257</v>
      </c>
      <c r="G36" s="7">
        <v>21</v>
      </c>
      <c r="H36" s="8" t="s">
        <v>8690</v>
      </c>
      <c r="I36">
        <v>6</v>
      </c>
      <c r="J36">
        <f>ARTICULOS_YAMANIL[[#This Row],[Bulto]]</f>
        <v>6</v>
      </c>
      <c r="K36">
        <f t="shared" si="1"/>
        <v>5</v>
      </c>
      <c r="L36" s="57">
        <f>((ARTICULOS_YAMANIL[[#This Row],[P. Compra]]*(1+ARTICULOS_YAMANIL[[#This Row],[IVA]]%))/ARTICULOS_YAMANIL[[#This Row],[UnidFact]])+ARTICULOS_YAMANIL[[#This Row],[CostoFlete]]</f>
        <v>1871.8283333333331</v>
      </c>
      <c r="M36">
        <v>35</v>
      </c>
      <c r="N36" s="32">
        <f t="shared" ref="N36:N66" si="13">IF(L36&gt;=5,MROUND(L36/(1-M36/100),50),10)</f>
        <v>2900</v>
      </c>
      <c r="O36" s="21">
        <f>MROUND((ARTICULOS_YAMANIL[[#This Row],[Precio]]/0.6),50)</f>
        <v>4850</v>
      </c>
      <c r="P36" t="s">
        <v>8693</v>
      </c>
      <c r="Q36">
        <v>12</v>
      </c>
      <c r="R36" s="3">
        <f>ARTICULOS_YAMANIL[[#This Row],[Bulto]]*10</f>
        <v>60</v>
      </c>
      <c r="S36" t="s">
        <v>66</v>
      </c>
      <c r="T36" t="s">
        <v>10</v>
      </c>
      <c r="U36" t="s">
        <v>54</v>
      </c>
      <c r="V36" s="30" t="s">
        <v>11031</v>
      </c>
      <c r="W36" t="s">
        <v>8692</v>
      </c>
      <c r="X36">
        <v>1</v>
      </c>
      <c r="Y36">
        <v>35</v>
      </c>
      <c r="Z36"/>
      <c r="AB36" s="80">
        <f>ARTICULOS_YAMANIL[[#This Row],[Costo]]*ARTICULOS_YAMANIL[[#This Row],[Pedido]]</f>
        <v>0</v>
      </c>
      <c r="AD36"/>
      <c r="AH36" s="2" t="str">
        <f>IF(AND(ARTICULOS_YAMANIL[[#This Row],[FechaVenc]]=0,ARTICULOS_YAMANIL[[#This Row],[DiasVenc]]=0),"",ARTICULOS_YAMANIL[[#This Row],[FechaVenc]]-ARTICULOS_YAMANIL[[#This Row],[DiasVenc]])</f>
        <v/>
      </c>
      <c r="AK36"/>
      <c r="AM36"/>
      <c r="AO36" s="30" t="s">
        <v>8689</v>
      </c>
    </row>
    <row r="37" spans="1:41" x14ac:dyDescent="0.25">
      <c r="A37" s="1" t="s">
        <v>11036</v>
      </c>
      <c r="C37" t="str">
        <f t="shared" ref="C37:C66" si="14">CONCATENATE(LEFT(T37,3),RIGHT(A37,8))</f>
        <v>BEB84702751</v>
      </c>
      <c r="D37" t="s">
        <v>8689</v>
      </c>
      <c r="E37" s="1" t="s">
        <v>11037</v>
      </c>
      <c r="F37" s="61">
        <f t="shared" si="12"/>
        <v>9257</v>
      </c>
      <c r="G37" s="7">
        <v>21</v>
      </c>
      <c r="H37" s="8" t="s">
        <v>8690</v>
      </c>
      <c r="I37">
        <v>6</v>
      </c>
      <c r="J37">
        <f>ARTICULOS_YAMANIL[[#This Row],[Bulto]]</f>
        <v>6</v>
      </c>
      <c r="K37">
        <f t="shared" ref="K37:K66" si="15">500*1%</f>
        <v>5</v>
      </c>
      <c r="L37" s="57">
        <f>((ARTICULOS_YAMANIL[[#This Row],[P. Compra]]*(1+ARTICULOS_YAMANIL[[#This Row],[IVA]]%))/ARTICULOS_YAMANIL[[#This Row],[UnidFact]])+ARTICULOS_YAMANIL[[#This Row],[CostoFlete]]</f>
        <v>1871.8283333333331</v>
      </c>
      <c r="M37">
        <v>35</v>
      </c>
      <c r="N37" s="32">
        <f t="shared" si="13"/>
        <v>2900</v>
      </c>
      <c r="O37" s="21">
        <f>MROUND((ARTICULOS_YAMANIL[[#This Row],[Precio]]/0.6),50)</f>
        <v>4850</v>
      </c>
      <c r="P37" t="s">
        <v>8693</v>
      </c>
      <c r="Q37">
        <v>12</v>
      </c>
      <c r="R37" s="3">
        <f>ARTICULOS_YAMANIL[[#This Row],[Bulto]]*10</f>
        <v>60</v>
      </c>
      <c r="S37" t="s">
        <v>66</v>
      </c>
      <c r="T37" t="s">
        <v>10</v>
      </c>
      <c r="U37" t="s">
        <v>54</v>
      </c>
      <c r="V37" s="30" t="s">
        <v>11031</v>
      </c>
      <c r="W37" t="s">
        <v>8692</v>
      </c>
      <c r="X37">
        <v>1</v>
      </c>
      <c r="Y37">
        <v>41</v>
      </c>
      <c r="Z37"/>
      <c r="AB37" s="80">
        <f>ARTICULOS_YAMANIL[[#This Row],[Costo]]*ARTICULOS_YAMANIL[[#This Row],[Pedido]]</f>
        <v>0</v>
      </c>
      <c r="AD37"/>
      <c r="AH37" s="2" t="str">
        <f>IF(AND(ARTICULOS_YAMANIL[[#This Row],[FechaVenc]]=0,ARTICULOS_YAMANIL[[#This Row],[DiasVenc]]=0),"",ARTICULOS_YAMANIL[[#This Row],[FechaVenc]]-ARTICULOS_YAMANIL[[#This Row],[DiasVenc]])</f>
        <v/>
      </c>
      <c r="AK37"/>
      <c r="AM37"/>
      <c r="AO37" s="30" t="s">
        <v>8689</v>
      </c>
    </row>
    <row r="38" spans="1:41" x14ac:dyDescent="0.25">
      <c r="A38" s="1" t="s">
        <v>10982</v>
      </c>
      <c r="C38" t="str">
        <f t="shared" si="14"/>
        <v>BEB95006715</v>
      </c>
      <c r="D38" t="s">
        <v>8689</v>
      </c>
      <c r="E38" s="24" t="s">
        <v>10983</v>
      </c>
      <c r="F38" s="61">
        <v>10505</v>
      </c>
      <c r="G38" s="7">
        <v>21</v>
      </c>
      <c r="H38" s="8" t="s">
        <v>8690</v>
      </c>
      <c r="I38">
        <v>8</v>
      </c>
      <c r="J38">
        <f>ARTICULOS_YAMANIL[[#This Row],[Bulto]]</f>
        <v>8</v>
      </c>
      <c r="K38">
        <f t="shared" si="15"/>
        <v>5</v>
      </c>
      <c r="L38" s="57">
        <f>((ARTICULOS_YAMANIL[[#This Row],[P. Compra]]*(1+ARTICULOS_YAMANIL[[#This Row],[IVA]]%))/ARTICULOS_YAMANIL[[#This Row],[UnidFact]])+ARTICULOS_YAMANIL[[#This Row],[CostoFlete]]</f>
        <v>1593.8812499999999</v>
      </c>
      <c r="M38">
        <v>35</v>
      </c>
      <c r="N38" s="32">
        <f t="shared" si="13"/>
        <v>2450</v>
      </c>
      <c r="O38" s="21">
        <f>MROUND((ARTICULOS_YAMANIL[[#This Row],[Precio]]/0.6),50)</f>
        <v>4100</v>
      </c>
      <c r="P38" t="s">
        <v>8693</v>
      </c>
      <c r="Q38">
        <v>8</v>
      </c>
      <c r="R38" s="3">
        <f>ARTICULOS_YAMANIL[[#This Row],[Bulto]]*5</f>
        <v>40</v>
      </c>
      <c r="S38" t="s">
        <v>66</v>
      </c>
      <c r="T38" t="s">
        <v>10</v>
      </c>
      <c r="U38" t="s">
        <v>62</v>
      </c>
      <c r="V38" s="30" t="s">
        <v>10944</v>
      </c>
      <c r="W38" t="s">
        <v>8692</v>
      </c>
      <c r="X38">
        <v>1</v>
      </c>
      <c r="Y38">
        <v>5</v>
      </c>
      <c r="Z38"/>
      <c r="AB38" s="80">
        <f>ARTICULOS_YAMANIL[[#This Row],[Costo]]*ARTICULOS_YAMANIL[[#This Row],[Pedido]]</f>
        <v>0</v>
      </c>
      <c r="AD38"/>
      <c r="AH38" s="2" t="str">
        <f>IF(AND(ARTICULOS_YAMANIL[[#This Row],[FechaVenc]]=0,ARTICULOS_YAMANIL[[#This Row],[DiasVenc]]=0),"",ARTICULOS_YAMANIL[[#This Row],[FechaVenc]]-ARTICULOS_YAMANIL[[#This Row],[DiasVenc]])</f>
        <v/>
      </c>
      <c r="AK38"/>
      <c r="AM38"/>
      <c r="AO38" s="30" t="s">
        <v>8689</v>
      </c>
    </row>
    <row r="39" spans="1:41" x14ac:dyDescent="0.25">
      <c r="A39" s="1" t="s">
        <v>10984</v>
      </c>
      <c r="C39" t="str">
        <f t="shared" si="14"/>
        <v>BEB95010088</v>
      </c>
      <c r="D39" t="s">
        <v>8689</v>
      </c>
      <c r="E39" s="1" t="s">
        <v>10985</v>
      </c>
      <c r="F39" s="61">
        <f>F38</f>
        <v>10505</v>
      </c>
      <c r="G39" s="7">
        <v>21</v>
      </c>
      <c r="H39" s="8" t="s">
        <v>8690</v>
      </c>
      <c r="I39">
        <v>8</v>
      </c>
      <c r="J39">
        <f>ARTICULOS_YAMANIL[[#This Row],[Bulto]]</f>
        <v>8</v>
      </c>
      <c r="K39">
        <f t="shared" si="15"/>
        <v>5</v>
      </c>
      <c r="L39" s="57">
        <f>((ARTICULOS_YAMANIL[[#This Row],[P. Compra]]*(1+ARTICULOS_YAMANIL[[#This Row],[IVA]]%))/ARTICULOS_YAMANIL[[#This Row],[UnidFact]])+ARTICULOS_YAMANIL[[#This Row],[CostoFlete]]</f>
        <v>1593.8812499999999</v>
      </c>
      <c r="M39">
        <v>35</v>
      </c>
      <c r="N39" s="32">
        <f t="shared" si="13"/>
        <v>2450</v>
      </c>
      <c r="O39" s="21">
        <f>MROUND((ARTICULOS_YAMANIL[[#This Row],[Precio]]/0.6),50)</f>
        <v>4100</v>
      </c>
      <c r="P39" t="s">
        <v>8693</v>
      </c>
      <c r="Q39">
        <v>8</v>
      </c>
      <c r="R39" s="3">
        <f>ARTICULOS_YAMANIL[[#This Row],[Bulto]]*5</f>
        <v>40</v>
      </c>
      <c r="S39" t="s">
        <v>66</v>
      </c>
      <c r="T39" t="s">
        <v>10</v>
      </c>
      <c r="U39" t="s">
        <v>62</v>
      </c>
      <c r="V39" s="30" t="s">
        <v>10944</v>
      </c>
      <c r="W39" t="s">
        <v>8692</v>
      </c>
      <c r="X39">
        <v>1</v>
      </c>
      <c r="Y39">
        <v>2</v>
      </c>
      <c r="Z39"/>
      <c r="AB39" s="80">
        <f>ARTICULOS_YAMANIL[[#This Row],[Costo]]*ARTICULOS_YAMANIL[[#This Row],[Pedido]]</f>
        <v>0</v>
      </c>
      <c r="AD39"/>
      <c r="AH39" s="2" t="str">
        <f>IF(AND(ARTICULOS_YAMANIL[[#This Row],[FechaVenc]]=0,ARTICULOS_YAMANIL[[#This Row],[DiasVenc]]=0),"",ARTICULOS_YAMANIL[[#This Row],[FechaVenc]]-ARTICULOS_YAMANIL[[#This Row],[DiasVenc]])</f>
        <v/>
      </c>
      <c r="AK39"/>
      <c r="AM39"/>
      <c r="AO39" s="30" t="s">
        <v>8689</v>
      </c>
    </row>
    <row r="40" spans="1:41" x14ac:dyDescent="0.25">
      <c r="A40" s="1" t="s">
        <v>10986</v>
      </c>
      <c r="C40" t="str">
        <f t="shared" si="14"/>
        <v>BEB95007217</v>
      </c>
      <c r="D40" t="s">
        <v>8689</v>
      </c>
      <c r="E40" s="1" t="s">
        <v>10987</v>
      </c>
      <c r="F40" s="61">
        <f t="shared" ref="F40:F45" si="16">F39</f>
        <v>10505</v>
      </c>
      <c r="G40" s="7">
        <v>21</v>
      </c>
      <c r="H40" s="8" t="s">
        <v>8690</v>
      </c>
      <c r="I40">
        <v>8</v>
      </c>
      <c r="J40">
        <f>ARTICULOS_YAMANIL[[#This Row],[Bulto]]</f>
        <v>8</v>
      </c>
      <c r="K40">
        <f t="shared" si="15"/>
        <v>5</v>
      </c>
      <c r="L40" s="57">
        <f>((ARTICULOS_YAMANIL[[#This Row],[P. Compra]]*(1+ARTICULOS_YAMANIL[[#This Row],[IVA]]%))/ARTICULOS_YAMANIL[[#This Row],[UnidFact]])+ARTICULOS_YAMANIL[[#This Row],[CostoFlete]]</f>
        <v>1593.8812499999999</v>
      </c>
      <c r="M40">
        <v>35</v>
      </c>
      <c r="N40" s="32">
        <f t="shared" si="13"/>
        <v>2450</v>
      </c>
      <c r="O40" s="21">
        <f>MROUND((ARTICULOS_YAMANIL[[#This Row],[Precio]]/0.6),50)</f>
        <v>4100</v>
      </c>
      <c r="P40" t="s">
        <v>8693</v>
      </c>
      <c r="Q40">
        <v>12</v>
      </c>
      <c r="R40" s="3">
        <f>ARTICULOS_YAMANIL[[#This Row],[Bulto]]*5</f>
        <v>40</v>
      </c>
      <c r="S40" t="s">
        <v>66</v>
      </c>
      <c r="T40" t="s">
        <v>10</v>
      </c>
      <c r="U40" t="s">
        <v>62</v>
      </c>
      <c r="V40" s="30" t="s">
        <v>10953</v>
      </c>
      <c r="W40" t="s">
        <v>8692</v>
      </c>
      <c r="X40">
        <v>1</v>
      </c>
      <c r="Y40">
        <v>9</v>
      </c>
      <c r="Z40"/>
      <c r="AB40" s="80">
        <f>ARTICULOS_YAMANIL[[#This Row],[Costo]]*ARTICULOS_YAMANIL[[#This Row],[Pedido]]</f>
        <v>0</v>
      </c>
      <c r="AD40"/>
      <c r="AH40" s="2" t="str">
        <f>IF(AND(ARTICULOS_YAMANIL[[#This Row],[FechaVenc]]=0,ARTICULOS_YAMANIL[[#This Row],[DiasVenc]]=0),"",ARTICULOS_YAMANIL[[#This Row],[FechaVenc]]-ARTICULOS_YAMANIL[[#This Row],[DiasVenc]])</f>
        <v/>
      </c>
      <c r="AK40"/>
      <c r="AM40"/>
      <c r="AO40" s="30" t="s">
        <v>8689</v>
      </c>
    </row>
    <row r="41" spans="1:41" x14ac:dyDescent="0.25">
      <c r="A41" s="1" t="s">
        <v>10988</v>
      </c>
      <c r="C41" t="str">
        <f t="shared" si="14"/>
        <v>BEB95012259</v>
      </c>
      <c r="D41" t="s">
        <v>8689</v>
      </c>
      <c r="E41" s="1" t="s">
        <v>10989</v>
      </c>
      <c r="F41" s="61">
        <f t="shared" si="16"/>
        <v>10505</v>
      </c>
      <c r="G41" s="7">
        <v>21</v>
      </c>
      <c r="H41" s="8" t="s">
        <v>8690</v>
      </c>
      <c r="I41">
        <v>8</v>
      </c>
      <c r="J41">
        <f>ARTICULOS_YAMANIL[[#This Row],[Bulto]]</f>
        <v>8</v>
      </c>
      <c r="K41">
        <f t="shared" si="15"/>
        <v>5</v>
      </c>
      <c r="L41" s="57">
        <f>((ARTICULOS_YAMANIL[[#This Row],[P. Compra]]*(1+ARTICULOS_YAMANIL[[#This Row],[IVA]]%))/ARTICULOS_YAMANIL[[#This Row],[UnidFact]])+ARTICULOS_YAMANIL[[#This Row],[CostoFlete]]</f>
        <v>1593.8812499999999</v>
      </c>
      <c r="M41">
        <v>35</v>
      </c>
      <c r="N41" s="32">
        <f t="shared" si="13"/>
        <v>2450</v>
      </c>
      <c r="O41" s="21">
        <f>MROUND((ARTICULOS_YAMANIL[[#This Row],[Precio]]/0.6),50)</f>
        <v>4100</v>
      </c>
      <c r="P41" t="s">
        <v>8693</v>
      </c>
      <c r="Q41">
        <v>12</v>
      </c>
      <c r="R41" s="3">
        <f>ARTICULOS_YAMANIL[[#This Row],[Bulto]]*5</f>
        <v>40</v>
      </c>
      <c r="S41" t="s">
        <v>66</v>
      </c>
      <c r="T41" t="s">
        <v>10</v>
      </c>
      <c r="U41" t="s">
        <v>62</v>
      </c>
      <c r="V41" s="30" t="s">
        <v>10953</v>
      </c>
      <c r="W41" t="s">
        <v>8692</v>
      </c>
      <c r="X41">
        <v>1</v>
      </c>
      <c r="Y41">
        <v>28</v>
      </c>
      <c r="Z41"/>
      <c r="AB41" s="80">
        <f>ARTICULOS_YAMANIL[[#This Row],[Costo]]*ARTICULOS_YAMANIL[[#This Row],[Pedido]]</f>
        <v>0</v>
      </c>
      <c r="AD41"/>
      <c r="AH41" s="2" t="str">
        <f>IF(AND(ARTICULOS_YAMANIL[[#This Row],[FechaVenc]]=0,ARTICULOS_YAMANIL[[#This Row],[DiasVenc]]=0),"",ARTICULOS_YAMANIL[[#This Row],[FechaVenc]]-ARTICULOS_YAMANIL[[#This Row],[DiasVenc]])</f>
        <v/>
      </c>
      <c r="AK41"/>
      <c r="AM41"/>
      <c r="AO41" s="30" t="s">
        <v>8689</v>
      </c>
    </row>
    <row r="42" spans="1:41" x14ac:dyDescent="0.25">
      <c r="A42" s="1" t="s">
        <v>10990</v>
      </c>
      <c r="C42" t="str">
        <f t="shared" si="14"/>
        <v>BEB95007255</v>
      </c>
      <c r="D42" t="s">
        <v>8689</v>
      </c>
      <c r="E42" s="1" t="s">
        <v>10991</v>
      </c>
      <c r="F42" s="61">
        <f t="shared" si="16"/>
        <v>10505</v>
      </c>
      <c r="G42" s="7">
        <v>21</v>
      </c>
      <c r="H42" s="8" t="s">
        <v>8690</v>
      </c>
      <c r="I42">
        <v>8</v>
      </c>
      <c r="J42">
        <f>ARTICULOS_YAMANIL[[#This Row],[Bulto]]</f>
        <v>8</v>
      </c>
      <c r="K42">
        <f t="shared" si="15"/>
        <v>5</v>
      </c>
      <c r="L42" s="57">
        <f>((ARTICULOS_YAMANIL[[#This Row],[P. Compra]]*(1+ARTICULOS_YAMANIL[[#This Row],[IVA]]%))/ARTICULOS_YAMANIL[[#This Row],[UnidFact]])+ARTICULOS_YAMANIL[[#This Row],[CostoFlete]]</f>
        <v>1593.8812499999999</v>
      </c>
      <c r="M42">
        <v>35</v>
      </c>
      <c r="N42" s="32">
        <f t="shared" si="13"/>
        <v>2450</v>
      </c>
      <c r="O42" s="21">
        <f>MROUND((ARTICULOS_YAMANIL[[#This Row],[Precio]]/0.6),50)</f>
        <v>4100</v>
      </c>
      <c r="P42" t="s">
        <v>8693</v>
      </c>
      <c r="Q42">
        <v>12</v>
      </c>
      <c r="R42" s="3">
        <f>ARTICULOS_YAMANIL[[#This Row],[Bulto]]*5</f>
        <v>40</v>
      </c>
      <c r="S42" t="s">
        <v>66</v>
      </c>
      <c r="T42" t="s">
        <v>10</v>
      </c>
      <c r="U42" t="s">
        <v>62</v>
      </c>
      <c r="V42" s="30" t="s">
        <v>10958</v>
      </c>
      <c r="W42" t="s">
        <v>8692</v>
      </c>
      <c r="X42">
        <v>1</v>
      </c>
      <c r="Y42">
        <v>12</v>
      </c>
      <c r="Z42"/>
      <c r="AB42" s="80">
        <f>ARTICULOS_YAMANIL[[#This Row],[Costo]]*ARTICULOS_YAMANIL[[#This Row],[Pedido]]</f>
        <v>0</v>
      </c>
      <c r="AD42"/>
      <c r="AH42" s="2" t="str">
        <f>IF(AND(ARTICULOS_YAMANIL[[#This Row],[FechaVenc]]=0,ARTICULOS_YAMANIL[[#This Row],[DiasVenc]]=0),"",ARTICULOS_YAMANIL[[#This Row],[FechaVenc]]-ARTICULOS_YAMANIL[[#This Row],[DiasVenc]])</f>
        <v/>
      </c>
      <c r="AK42"/>
      <c r="AM42"/>
      <c r="AO42" s="30" t="s">
        <v>8689</v>
      </c>
    </row>
    <row r="43" spans="1:41" x14ac:dyDescent="0.25">
      <c r="A43" s="1" t="s">
        <v>10992</v>
      </c>
      <c r="C43" t="str">
        <f t="shared" si="14"/>
        <v>BEB95647895</v>
      </c>
      <c r="D43" t="s">
        <v>8689</v>
      </c>
      <c r="E43" s="1" t="s">
        <v>10993</v>
      </c>
      <c r="F43" s="61">
        <f t="shared" si="16"/>
        <v>10505</v>
      </c>
      <c r="G43" s="7">
        <v>21</v>
      </c>
      <c r="H43" s="8" t="s">
        <v>8690</v>
      </c>
      <c r="I43">
        <v>8</v>
      </c>
      <c r="J43">
        <f>ARTICULOS_YAMANIL[[#This Row],[Bulto]]</f>
        <v>8</v>
      </c>
      <c r="K43">
        <f t="shared" si="15"/>
        <v>5</v>
      </c>
      <c r="L43" s="57">
        <f>((ARTICULOS_YAMANIL[[#This Row],[P. Compra]]*(1+ARTICULOS_YAMANIL[[#This Row],[IVA]]%))/ARTICULOS_YAMANIL[[#This Row],[UnidFact]])+ARTICULOS_YAMANIL[[#This Row],[CostoFlete]]</f>
        <v>1593.8812499999999</v>
      </c>
      <c r="M43">
        <v>35</v>
      </c>
      <c r="N43" s="32">
        <f t="shared" si="13"/>
        <v>2450</v>
      </c>
      <c r="O43" s="21">
        <f>MROUND((ARTICULOS_YAMANIL[[#This Row],[Precio]]/0.6),50)</f>
        <v>4100</v>
      </c>
      <c r="P43" t="s">
        <v>8693</v>
      </c>
      <c r="Q43">
        <v>12</v>
      </c>
      <c r="R43" s="3">
        <f>ARTICULOS_YAMANIL[[#This Row],[Bulto]]*5</f>
        <v>40</v>
      </c>
      <c r="S43" t="s">
        <v>66</v>
      </c>
      <c r="T43" t="s">
        <v>10</v>
      </c>
      <c r="U43" t="s">
        <v>62</v>
      </c>
      <c r="V43" s="30" t="s">
        <v>10958</v>
      </c>
      <c r="W43" t="s">
        <v>8692</v>
      </c>
      <c r="X43">
        <v>1</v>
      </c>
      <c r="Y43">
        <v>1</v>
      </c>
      <c r="Z43"/>
      <c r="AB43" s="80">
        <f>ARTICULOS_YAMANIL[[#This Row],[Costo]]*ARTICULOS_YAMANIL[[#This Row],[Pedido]]</f>
        <v>0</v>
      </c>
      <c r="AD43"/>
      <c r="AH43" s="2" t="str">
        <f>IF(AND(ARTICULOS_YAMANIL[[#This Row],[FechaVenc]]=0,ARTICULOS_YAMANIL[[#This Row],[DiasVenc]]=0),"",ARTICULOS_YAMANIL[[#This Row],[FechaVenc]]-ARTICULOS_YAMANIL[[#This Row],[DiasVenc]])</f>
        <v/>
      </c>
      <c r="AK43"/>
      <c r="AM43"/>
      <c r="AO43" s="30" t="s">
        <v>8689</v>
      </c>
    </row>
    <row r="44" spans="1:41" x14ac:dyDescent="0.25">
      <c r="A44" s="1" t="s">
        <v>10994</v>
      </c>
      <c r="C44" t="str">
        <f t="shared" si="14"/>
        <v>BEB95007248</v>
      </c>
      <c r="D44" t="s">
        <v>8689</v>
      </c>
      <c r="E44" s="1" t="s">
        <v>10995</v>
      </c>
      <c r="F44" s="61">
        <f t="shared" si="16"/>
        <v>10505</v>
      </c>
      <c r="G44" s="7">
        <v>21</v>
      </c>
      <c r="H44" s="8" t="s">
        <v>8690</v>
      </c>
      <c r="I44">
        <v>8</v>
      </c>
      <c r="J44">
        <f>ARTICULOS_YAMANIL[[#This Row],[Bulto]]</f>
        <v>8</v>
      </c>
      <c r="K44">
        <f t="shared" si="15"/>
        <v>5</v>
      </c>
      <c r="L44" s="57">
        <f>((ARTICULOS_YAMANIL[[#This Row],[P. Compra]]*(1+ARTICULOS_YAMANIL[[#This Row],[IVA]]%))/ARTICULOS_YAMANIL[[#This Row],[UnidFact]])+ARTICULOS_YAMANIL[[#This Row],[CostoFlete]]</f>
        <v>1593.8812499999999</v>
      </c>
      <c r="M44">
        <v>35</v>
      </c>
      <c r="N44" s="32">
        <f t="shared" si="13"/>
        <v>2450</v>
      </c>
      <c r="O44" s="21">
        <f>MROUND((ARTICULOS_YAMANIL[[#This Row],[Precio]]/0.6),50)</f>
        <v>4100</v>
      </c>
      <c r="P44" t="s">
        <v>8693</v>
      </c>
      <c r="Q44">
        <v>12</v>
      </c>
      <c r="R44" s="3">
        <f>ARTICULOS_YAMANIL[[#This Row],[Bulto]]*5</f>
        <v>40</v>
      </c>
      <c r="S44" t="s">
        <v>66</v>
      </c>
      <c r="T44" t="s">
        <v>10</v>
      </c>
      <c r="U44" t="s">
        <v>62</v>
      </c>
      <c r="V44" s="30" t="s">
        <v>10963</v>
      </c>
      <c r="W44" t="s">
        <v>8692</v>
      </c>
      <c r="X44">
        <v>1</v>
      </c>
      <c r="Y44">
        <v>9</v>
      </c>
      <c r="Z44"/>
      <c r="AB44" s="80">
        <f>ARTICULOS_YAMANIL[[#This Row],[Costo]]*ARTICULOS_YAMANIL[[#This Row],[Pedido]]</f>
        <v>0</v>
      </c>
      <c r="AD44"/>
      <c r="AH44" s="2" t="str">
        <f>IF(AND(ARTICULOS_YAMANIL[[#This Row],[FechaVenc]]=0,ARTICULOS_YAMANIL[[#This Row],[DiasVenc]]=0),"",ARTICULOS_YAMANIL[[#This Row],[FechaVenc]]-ARTICULOS_YAMANIL[[#This Row],[DiasVenc]])</f>
        <v/>
      </c>
      <c r="AK44"/>
      <c r="AM44"/>
      <c r="AO44" s="30" t="s">
        <v>8689</v>
      </c>
    </row>
    <row r="45" spans="1:41" x14ac:dyDescent="0.25">
      <c r="A45" s="1" t="s">
        <v>10996</v>
      </c>
      <c r="C45" t="str">
        <f t="shared" si="14"/>
        <v>BEB95012327</v>
      </c>
      <c r="D45" t="s">
        <v>8689</v>
      </c>
      <c r="E45" s="1" t="s">
        <v>10997</v>
      </c>
      <c r="F45" s="61">
        <f t="shared" si="16"/>
        <v>10505</v>
      </c>
      <c r="G45" s="7">
        <v>21</v>
      </c>
      <c r="H45" s="8" t="s">
        <v>8690</v>
      </c>
      <c r="I45">
        <v>8</v>
      </c>
      <c r="J45">
        <f>ARTICULOS_YAMANIL[[#This Row],[Bulto]]</f>
        <v>8</v>
      </c>
      <c r="K45">
        <f t="shared" si="15"/>
        <v>5</v>
      </c>
      <c r="L45" s="57">
        <f>((ARTICULOS_YAMANIL[[#This Row],[P. Compra]]*(1+ARTICULOS_YAMANIL[[#This Row],[IVA]]%))/ARTICULOS_YAMANIL[[#This Row],[UnidFact]])+ARTICULOS_YAMANIL[[#This Row],[CostoFlete]]</f>
        <v>1593.8812499999999</v>
      </c>
      <c r="M45">
        <v>35</v>
      </c>
      <c r="N45" s="32">
        <f t="shared" si="13"/>
        <v>2450</v>
      </c>
      <c r="O45" s="21">
        <f>MROUND((ARTICULOS_YAMANIL[[#This Row],[Precio]]/0.6),50)</f>
        <v>4100</v>
      </c>
      <c r="P45" t="s">
        <v>8693</v>
      </c>
      <c r="Q45">
        <v>12</v>
      </c>
      <c r="R45" s="3">
        <f>ARTICULOS_YAMANIL[[#This Row],[Bulto]]*5</f>
        <v>40</v>
      </c>
      <c r="S45" t="s">
        <v>66</v>
      </c>
      <c r="T45" t="s">
        <v>10</v>
      </c>
      <c r="U45" t="s">
        <v>62</v>
      </c>
      <c r="V45" s="30" t="s">
        <v>10963</v>
      </c>
      <c r="W45" t="s">
        <v>8692</v>
      </c>
      <c r="X45">
        <v>1</v>
      </c>
      <c r="Y45">
        <v>0</v>
      </c>
      <c r="Z45"/>
      <c r="AB45" s="80">
        <f>ARTICULOS_YAMANIL[[#This Row],[Costo]]*ARTICULOS_YAMANIL[[#This Row],[Pedido]]</f>
        <v>0</v>
      </c>
      <c r="AD45"/>
      <c r="AH45" s="2" t="str">
        <f>IF(AND(ARTICULOS_YAMANIL[[#This Row],[FechaVenc]]=0,ARTICULOS_YAMANIL[[#This Row],[DiasVenc]]=0),"",ARTICULOS_YAMANIL[[#This Row],[FechaVenc]]-ARTICULOS_YAMANIL[[#This Row],[DiasVenc]])</f>
        <v/>
      </c>
      <c r="AK45"/>
      <c r="AM45"/>
      <c r="AO45" s="30" t="s">
        <v>8689</v>
      </c>
    </row>
    <row r="46" spans="1:41" x14ac:dyDescent="0.25">
      <c r="A46" s="1" t="s">
        <v>10998</v>
      </c>
      <c r="C46" t="str">
        <f t="shared" si="14"/>
        <v>BEB95067570</v>
      </c>
      <c r="D46" t="s">
        <v>8689</v>
      </c>
      <c r="E46" s="1" t="s">
        <v>10999</v>
      </c>
      <c r="F46" s="61">
        <v>16709</v>
      </c>
      <c r="G46" s="7">
        <v>21</v>
      </c>
      <c r="H46" s="8" t="s">
        <v>8690</v>
      </c>
      <c r="I46">
        <v>8</v>
      </c>
      <c r="J46">
        <f>ARTICULOS_YAMANIL[[#This Row],[Bulto]]</f>
        <v>8</v>
      </c>
      <c r="K46">
        <f t="shared" si="15"/>
        <v>5</v>
      </c>
      <c r="L46" s="57">
        <f>((ARTICULOS_YAMANIL[[#This Row],[P. Compra]]*(1+ARTICULOS_YAMANIL[[#This Row],[IVA]]%))/ARTICULOS_YAMANIL[[#This Row],[UnidFact]])+ARTICULOS_YAMANIL[[#This Row],[CostoFlete]]</f>
        <v>2532.2362499999999</v>
      </c>
      <c r="M46">
        <v>35</v>
      </c>
      <c r="N46" s="32">
        <f t="shared" si="13"/>
        <v>3900</v>
      </c>
      <c r="O46" s="21">
        <f>MROUND((ARTICULOS_YAMANIL[[#This Row],[Precio]]/0.6),50)</f>
        <v>6500</v>
      </c>
      <c r="P46" t="s">
        <v>8693</v>
      </c>
      <c r="Q46">
        <v>12</v>
      </c>
      <c r="R46" s="3">
        <f>ARTICULOS_YAMANIL[[#This Row],[Bulto]]*5</f>
        <v>40</v>
      </c>
      <c r="S46" t="s">
        <v>66</v>
      </c>
      <c r="T46" t="s">
        <v>10</v>
      </c>
      <c r="U46" t="s">
        <v>62</v>
      </c>
      <c r="V46" s="30" t="s">
        <v>10953</v>
      </c>
      <c r="W46" t="s">
        <v>8692</v>
      </c>
      <c r="X46">
        <v>1</v>
      </c>
      <c r="Y46">
        <v>11</v>
      </c>
      <c r="Z46"/>
      <c r="AB46" s="80">
        <f>ARTICULOS_YAMANIL[[#This Row],[Costo]]*ARTICULOS_YAMANIL[[#This Row],[Pedido]]</f>
        <v>0</v>
      </c>
      <c r="AD46"/>
      <c r="AH46" s="2" t="str">
        <f>IF(AND(ARTICULOS_YAMANIL[[#This Row],[FechaVenc]]=0,ARTICULOS_YAMANIL[[#This Row],[DiasVenc]]=0),"",ARTICULOS_YAMANIL[[#This Row],[FechaVenc]]-ARTICULOS_YAMANIL[[#This Row],[DiasVenc]])</f>
        <v/>
      </c>
      <c r="AK46"/>
      <c r="AM46"/>
      <c r="AO46" s="30" t="s">
        <v>8689</v>
      </c>
    </row>
    <row r="47" spans="1:41" x14ac:dyDescent="0.25">
      <c r="A47" s="1" t="s">
        <v>11000</v>
      </c>
      <c r="C47" t="str">
        <f t="shared" si="14"/>
        <v>BEB95000997</v>
      </c>
      <c r="D47" t="s">
        <v>8689</v>
      </c>
      <c r="E47" s="1" t="s">
        <v>11001</v>
      </c>
      <c r="F47" s="61">
        <f>F46</f>
        <v>16709</v>
      </c>
      <c r="G47" s="7">
        <v>21</v>
      </c>
      <c r="H47" s="8" t="s">
        <v>8690</v>
      </c>
      <c r="I47">
        <v>8</v>
      </c>
      <c r="J47">
        <f>ARTICULOS_YAMANIL[[#This Row],[Bulto]]</f>
        <v>8</v>
      </c>
      <c r="K47">
        <f t="shared" si="15"/>
        <v>5</v>
      </c>
      <c r="L47" s="57">
        <f>((ARTICULOS_YAMANIL[[#This Row],[P. Compra]]*(1+ARTICULOS_YAMANIL[[#This Row],[IVA]]%))/ARTICULOS_YAMANIL[[#This Row],[UnidFact]])+ARTICULOS_YAMANIL[[#This Row],[CostoFlete]]</f>
        <v>2532.2362499999999</v>
      </c>
      <c r="M47">
        <v>35</v>
      </c>
      <c r="N47" s="32">
        <f t="shared" si="13"/>
        <v>3900</v>
      </c>
      <c r="O47" s="21">
        <f>MROUND((ARTICULOS_YAMANIL[[#This Row],[Precio]]/0.6),50)</f>
        <v>6500</v>
      </c>
      <c r="P47" t="s">
        <v>8693</v>
      </c>
      <c r="Q47">
        <v>12</v>
      </c>
      <c r="R47" s="3">
        <f>ARTICULOS_YAMANIL[[#This Row],[Bulto]]*5</f>
        <v>40</v>
      </c>
      <c r="S47" t="s">
        <v>66</v>
      </c>
      <c r="T47" t="s">
        <v>10</v>
      </c>
      <c r="U47" t="s">
        <v>62</v>
      </c>
      <c r="V47" s="30" t="s">
        <v>10953</v>
      </c>
      <c r="W47" t="s">
        <v>8692</v>
      </c>
      <c r="X47">
        <v>1</v>
      </c>
      <c r="Y47">
        <v>22</v>
      </c>
      <c r="Z47"/>
      <c r="AB47" s="80">
        <f>ARTICULOS_YAMANIL[[#This Row],[Costo]]*ARTICULOS_YAMANIL[[#This Row],[Pedido]]</f>
        <v>0</v>
      </c>
      <c r="AD47"/>
      <c r="AH47" s="2" t="str">
        <f>IF(AND(ARTICULOS_YAMANIL[[#This Row],[FechaVenc]]=0,ARTICULOS_YAMANIL[[#This Row],[DiasVenc]]=0),"",ARTICULOS_YAMANIL[[#This Row],[FechaVenc]]-ARTICULOS_YAMANIL[[#This Row],[DiasVenc]])</f>
        <v/>
      </c>
      <c r="AK47"/>
      <c r="AM47"/>
      <c r="AO47" s="30" t="s">
        <v>8689</v>
      </c>
    </row>
    <row r="48" spans="1:41" x14ac:dyDescent="0.25">
      <c r="A48" s="1" t="s">
        <v>11002</v>
      </c>
      <c r="C48" t="str">
        <f t="shared" si="14"/>
        <v>BEB95001017</v>
      </c>
      <c r="D48" t="s">
        <v>8689</v>
      </c>
      <c r="E48" s="1" t="s">
        <v>11003</v>
      </c>
      <c r="F48" s="61">
        <f t="shared" ref="F48:F50" si="17">F47</f>
        <v>16709</v>
      </c>
      <c r="G48" s="7">
        <v>21</v>
      </c>
      <c r="H48" s="8" t="s">
        <v>8690</v>
      </c>
      <c r="I48">
        <v>8</v>
      </c>
      <c r="J48">
        <f>ARTICULOS_YAMANIL[[#This Row],[Bulto]]</f>
        <v>8</v>
      </c>
      <c r="K48">
        <f t="shared" si="15"/>
        <v>5</v>
      </c>
      <c r="L48" s="57">
        <f>((ARTICULOS_YAMANIL[[#This Row],[P. Compra]]*(1+ARTICULOS_YAMANIL[[#This Row],[IVA]]%))/ARTICULOS_YAMANIL[[#This Row],[UnidFact]])+ARTICULOS_YAMANIL[[#This Row],[CostoFlete]]</f>
        <v>2532.2362499999999</v>
      </c>
      <c r="M48">
        <v>35</v>
      </c>
      <c r="N48" s="32">
        <f t="shared" si="13"/>
        <v>3900</v>
      </c>
      <c r="O48" s="21">
        <f>MROUND((ARTICULOS_YAMANIL[[#This Row],[Precio]]/0.6),50)</f>
        <v>6500</v>
      </c>
      <c r="P48" t="s">
        <v>8693</v>
      </c>
      <c r="Q48">
        <v>12</v>
      </c>
      <c r="R48" s="3">
        <f>ARTICULOS_YAMANIL[[#This Row],[Bulto]]*5</f>
        <v>40</v>
      </c>
      <c r="S48" t="s">
        <v>66</v>
      </c>
      <c r="T48" t="s">
        <v>10</v>
      </c>
      <c r="U48" t="s">
        <v>62</v>
      </c>
      <c r="V48" s="30" t="s">
        <v>10958</v>
      </c>
      <c r="W48" t="s">
        <v>8692</v>
      </c>
      <c r="X48">
        <v>1</v>
      </c>
      <c r="Y48">
        <v>0</v>
      </c>
      <c r="Z48"/>
      <c r="AB48" s="80">
        <f>ARTICULOS_YAMANIL[[#This Row],[Costo]]*ARTICULOS_YAMANIL[[#This Row],[Pedido]]</f>
        <v>0</v>
      </c>
      <c r="AD48"/>
      <c r="AH48" s="2" t="str">
        <f>IF(AND(ARTICULOS_YAMANIL[[#This Row],[FechaVenc]]=0,ARTICULOS_YAMANIL[[#This Row],[DiasVenc]]=0),"",ARTICULOS_YAMANIL[[#This Row],[FechaVenc]]-ARTICULOS_YAMANIL[[#This Row],[DiasVenc]])</f>
        <v/>
      </c>
      <c r="AK48"/>
      <c r="AM48"/>
      <c r="AO48" s="30" t="s">
        <v>8689</v>
      </c>
    </row>
    <row r="49" spans="1:41" x14ac:dyDescent="0.25">
      <c r="A49" s="1" t="s">
        <v>11004</v>
      </c>
      <c r="C49" t="str">
        <f t="shared" si="14"/>
        <v>BEB95010095</v>
      </c>
      <c r="D49" t="s">
        <v>8689</v>
      </c>
      <c r="E49" s="1" t="s">
        <v>11005</v>
      </c>
      <c r="F49" s="61">
        <f t="shared" si="17"/>
        <v>16709</v>
      </c>
      <c r="G49" s="7">
        <v>21</v>
      </c>
      <c r="H49" s="8" t="s">
        <v>8690</v>
      </c>
      <c r="I49">
        <v>8</v>
      </c>
      <c r="J49">
        <f>ARTICULOS_YAMANIL[[#This Row],[Bulto]]</f>
        <v>8</v>
      </c>
      <c r="K49">
        <f t="shared" si="15"/>
        <v>5</v>
      </c>
      <c r="L49" s="57">
        <f>((ARTICULOS_YAMANIL[[#This Row],[P. Compra]]*(1+ARTICULOS_YAMANIL[[#This Row],[IVA]]%))/ARTICULOS_YAMANIL[[#This Row],[UnidFact]])+ARTICULOS_YAMANIL[[#This Row],[CostoFlete]]</f>
        <v>2532.2362499999999</v>
      </c>
      <c r="M49">
        <v>35</v>
      </c>
      <c r="N49" s="32">
        <f t="shared" si="13"/>
        <v>3900</v>
      </c>
      <c r="O49" s="21">
        <f>MROUND((ARTICULOS_YAMANIL[[#This Row],[Precio]]/0.6),50)</f>
        <v>6500</v>
      </c>
      <c r="P49" t="s">
        <v>8693</v>
      </c>
      <c r="Q49">
        <v>12</v>
      </c>
      <c r="R49" s="3">
        <f>ARTICULOS_YAMANIL[[#This Row],[Bulto]]*5</f>
        <v>40</v>
      </c>
      <c r="S49" t="s">
        <v>66</v>
      </c>
      <c r="T49" t="s">
        <v>10</v>
      </c>
      <c r="U49" t="s">
        <v>62</v>
      </c>
      <c r="V49" s="30" t="s">
        <v>10944</v>
      </c>
      <c r="W49" t="s">
        <v>8692</v>
      </c>
      <c r="X49">
        <v>1</v>
      </c>
      <c r="Y49">
        <v>0</v>
      </c>
      <c r="Z49"/>
      <c r="AB49" s="80">
        <f>ARTICULOS_YAMANIL[[#This Row],[Costo]]*ARTICULOS_YAMANIL[[#This Row],[Pedido]]</f>
        <v>0</v>
      </c>
      <c r="AD49"/>
      <c r="AH49" s="2" t="str">
        <f>IF(AND(ARTICULOS_YAMANIL[[#This Row],[FechaVenc]]=0,ARTICULOS_YAMANIL[[#This Row],[DiasVenc]]=0),"",ARTICULOS_YAMANIL[[#This Row],[FechaVenc]]-ARTICULOS_YAMANIL[[#This Row],[DiasVenc]])</f>
        <v/>
      </c>
      <c r="AK49"/>
      <c r="AM49"/>
      <c r="AO49" s="30" t="s">
        <v>8689</v>
      </c>
    </row>
    <row r="50" spans="1:41" x14ac:dyDescent="0.25">
      <c r="A50" s="1" t="s">
        <v>11006</v>
      </c>
      <c r="C50" t="str">
        <f t="shared" si="14"/>
        <v>BEB95001000</v>
      </c>
      <c r="D50" t="s">
        <v>8689</v>
      </c>
      <c r="E50" s="1" t="s">
        <v>11007</v>
      </c>
      <c r="F50" s="61">
        <f t="shared" si="17"/>
        <v>16709</v>
      </c>
      <c r="G50" s="7">
        <v>21</v>
      </c>
      <c r="H50" s="8" t="s">
        <v>8690</v>
      </c>
      <c r="I50">
        <v>8</v>
      </c>
      <c r="J50">
        <f>ARTICULOS_YAMANIL[[#This Row],[Bulto]]</f>
        <v>8</v>
      </c>
      <c r="K50">
        <f t="shared" si="15"/>
        <v>5</v>
      </c>
      <c r="L50" s="57">
        <f>((ARTICULOS_YAMANIL[[#This Row],[P. Compra]]*(1+ARTICULOS_YAMANIL[[#This Row],[IVA]]%))/ARTICULOS_YAMANIL[[#This Row],[UnidFact]])+ARTICULOS_YAMANIL[[#This Row],[CostoFlete]]</f>
        <v>2532.2362499999999</v>
      </c>
      <c r="M50">
        <v>35</v>
      </c>
      <c r="N50" s="32">
        <f t="shared" si="13"/>
        <v>3900</v>
      </c>
      <c r="O50" s="21">
        <f>MROUND((ARTICULOS_YAMANIL[[#This Row],[Precio]]/0.6),50)</f>
        <v>6500</v>
      </c>
      <c r="P50" t="s">
        <v>8693</v>
      </c>
      <c r="Q50">
        <v>12</v>
      </c>
      <c r="R50" s="3">
        <f>ARTICULOS_YAMANIL[[#This Row],[Bulto]]*5</f>
        <v>40</v>
      </c>
      <c r="S50" t="s">
        <v>66</v>
      </c>
      <c r="T50" t="s">
        <v>10</v>
      </c>
      <c r="U50" t="s">
        <v>62</v>
      </c>
      <c r="V50" s="30" t="s">
        <v>10963</v>
      </c>
      <c r="W50" t="s">
        <v>8692</v>
      </c>
      <c r="X50">
        <v>1</v>
      </c>
      <c r="Y50">
        <v>3</v>
      </c>
      <c r="Z50"/>
      <c r="AB50" s="80">
        <f>ARTICULOS_YAMANIL[[#This Row],[Costo]]*ARTICULOS_YAMANIL[[#This Row],[Pedido]]</f>
        <v>0</v>
      </c>
      <c r="AD50"/>
      <c r="AH50" s="2" t="str">
        <f>IF(AND(ARTICULOS_YAMANIL[[#This Row],[FechaVenc]]=0,ARTICULOS_YAMANIL[[#This Row],[DiasVenc]]=0),"",ARTICULOS_YAMANIL[[#This Row],[FechaVenc]]-ARTICULOS_YAMANIL[[#This Row],[DiasVenc]])</f>
        <v/>
      </c>
      <c r="AK50"/>
      <c r="AM50"/>
      <c r="AO50" s="30" t="s">
        <v>8689</v>
      </c>
    </row>
    <row r="51" spans="1:41" x14ac:dyDescent="0.25">
      <c r="A51" s="1" t="s">
        <v>12093</v>
      </c>
      <c r="C51" t="str">
        <f t="shared" ref="C51" si="18">CONCATENATE(LEFT(T51,3),RIGHT(A51,8))</f>
        <v>BEB95646348</v>
      </c>
      <c r="D51" t="s">
        <v>8689</v>
      </c>
      <c r="E51" s="1" t="s">
        <v>12092</v>
      </c>
      <c r="F51" s="61">
        <v>3086</v>
      </c>
      <c r="G51" s="7">
        <v>21</v>
      </c>
      <c r="H51" s="8" t="s">
        <v>8690</v>
      </c>
      <c r="I51">
        <v>6</v>
      </c>
      <c r="J51">
        <f>ARTICULOS_YAMANIL[[#This Row],[Bulto]]</f>
        <v>6</v>
      </c>
      <c r="K51">
        <f t="shared" si="15"/>
        <v>5</v>
      </c>
      <c r="L51" s="57">
        <f>((ARTICULOS_YAMANIL[[#This Row],[P. Compra]]*(1+ARTICULOS_YAMANIL[[#This Row],[IVA]]%))/ARTICULOS_YAMANIL[[#This Row],[UnidFact]])+ARTICULOS_YAMANIL[[#This Row],[CostoFlete]]</f>
        <v>627.34333333333336</v>
      </c>
      <c r="M51">
        <v>35</v>
      </c>
      <c r="N51" s="32">
        <f t="shared" si="13"/>
        <v>950</v>
      </c>
      <c r="O51" s="21">
        <f>MROUND((ARTICULOS_YAMANIL[[#This Row],[Precio]]/0.6),50)</f>
        <v>1600</v>
      </c>
      <c r="P51" t="s">
        <v>8693</v>
      </c>
      <c r="Q51">
        <v>12</v>
      </c>
      <c r="R51" s="3">
        <f>ARTICULOS_YAMANIL[[#This Row],[Bulto]]*10</f>
        <v>60</v>
      </c>
      <c r="S51" t="s">
        <v>66</v>
      </c>
      <c r="T51" t="s">
        <v>10</v>
      </c>
      <c r="U51" t="s">
        <v>62</v>
      </c>
      <c r="V51" s="30" t="s">
        <v>10953</v>
      </c>
      <c r="W51" t="s">
        <v>8692</v>
      </c>
      <c r="X51">
        <v>1</v>
      </c>
      <c r="Y51">
        <v>0</v>
      </c>
      <c r="Z51"/>
      <c r="AB51" s="80">
        <f>ARTICULOS_YAMANIL[[#This Row],[Costo]]*ARTICULOS_YAMANIL[[#This Row],[Pedido]]</f>
        <v>0</v>
      </c>
      <c r="AD51"/>
      <c r="AH51" s="2" t="str">
        <f>IF(AND(ARTICULOS_YAMANIL[[#This Row],[FechaVenc]]=0,ARTICULOS_YAMANIL[[#This Row],[DiasVenc]]=0),"",ARTICULOS_YAMANIL[[#This Row],[FechaVenc]]-ARTICULOS_YAMANIL[[#This Row],[DiasVenc]])</f>
        <v/>
      </c>
      <c r="AK51"/>
      <c r="AM51"/>
      <c r="AO51" s="30" t="s">
        <v>8689</v>
      </c>
    </row>
    <row r="52" spans="1:41" x14ac:dyDescent="0.25">
      <c r="A52" s="1" t="s">
        <v>12094</v>
      </c>
      <c r="C52" t="str">
        <f t="shared" ref="C52:C53" si="19">CONCATENATE(LEFT(T52,3),RIGHT(A52,8))</f>
        <v>BEB95647161</v>
      </c>
      <c r="D52" t="s">
        <v>8689</v>
      </c>
      <c r="E52" s="1" t="s">
        <v>12095</v>
      </c>
      <c r="F52" s="61">
        <f>F51</f>
        <v>3086</v>
      </c>
      <c r="G52" s="7">
        <v>21</v>
      </c>
      <c r="H52" s="8" t="s">
        <v>8690</v>
      </c>
      <c r="I52">
        <v>6</v>
      </c>
      <c r="J52">
        <f>ARTICULOS_YAMANIL[[#This Row],[Bulto]]</f>
        <v>6</v>
      </c>
      <c r="K52">
        <f t="shared" si="15"/>
        <v>5</v>
      </c>
      <c r="L52" s="57">
        <f>((ARTICULOS_YAMANIL[[#This Row],[P. Compra]]*(1+ARTICULOS_YAMANIL[[#This Row],[IVA]]%))/ARTICULOS_YAMANIL[[#This Row],[UnidFact]])+ARTICULOS_YAMANIL[[#This Row],[CostoFlete]]</f>
        <v>627.34333333333336</v>
      </c>
      <c r="M52">
        <v>35</v>
      </c>
      <c r="N52" s="32">
        <f t="shared" si="13"/>
        <v>950</v>
      </c>
      <c r="O52" s="21">
        <f>MROUND((ARTICULOS_YAMANIL[[#This Row],[Precio]]/0.6),50)</f>
        <v>1600</v>
      </c>
      <c r="P52" t="s">
        <v>8693</v>
      </c>
      <c r="Q52">
        <v>12</v>
      </c>
      <c r="R52" s="3">
        <f>ARTICULOS_YAMANIL[[#This Row],[Bulto]]*10</f>
        <v>60</v>
      </c>
      <c r="S52" t="s">
        <v>66</v>
      </c>
      <c r="T52" t="s">
        <v>10</v>
      </c>
      <c r="U52" t="s">
        <v>62</v>
      </c>
      <c r="V52" s="30" t="s">
        <v>10953</v>
      </c>
      <c r="W52" t="s">
        <v>8692</v>
      </c>
      <c r="X52">
        <v>1</v>
      </c>
      <c r="Y52">
        <v>0</v>
      </c>
      <c r="Z52"/>
      <c r="AB52" s="80">
        <f>ARTICULOS_YAMANIL[[#This Row],[Costo]]*ARTICULOS_YAMANIL[[#This Row],[Pedido]]</f>
        <v>0</v>
      </c>
      <c r="AD52"/>
      <c r="AH52" s="2" t="str">
        <f>IF(AND(ARTICULOS_YAMANIL[[#This Row],[FechaVenc]]=0,ARTICULOS_YAMANIL[[#This Row],[DiasVenc]]=0),"",ARTICULOS_YAMANIL[[#This Row],[FechaVenc]]-ARTICULOS_YAMANIL[[#This Row],[DiasVenc]])</f>
        <v/>
      </c>
      <c r="AK52"/>
      <c r="AM52"/>
      <c r="AO52" s="30" t="s">
        <v>8689</v>
      </c>
    </row>
    <row r="53" spans="1:41" x14ac:dyDescent="0.25">
      <c r="A53" s="1" t="s">
        <v>12097</v>
      </c>
      <c r="C53" t="str">
        <f t="shared" si="19"/>
        <v>BEB95647147</v>
      </c>
      <c r="D53" t="s">
        <v>8689</v>
      </c>
      <c r="E53" s="1" t="s">
        <v>12096</v>
      </c>
      <c r="F53" s="61">
        <f>F52</f>
        <v>3086</v>
      </c>
      <c r="G53" s="7">
        <v>21</v>
      </c>
      <c r="H53" s="8" t="s">
        <v>8690</v>
      </c>
      <c r="I53">
        <v>6</v>
      </c>
      <c r="J53">
        <f>ARTICULOS_YAMANIL[[#This Row],[Bulto]]</f>
        <v>6</v>
      </c>
      <c r="K53">
        <f t="shared" si="15"/>
        <v>5</v>
      </c>
      <c r="L53" s="57">
        <f>((ARTICULOS_YAMANIL[[#This Row],[P. Compra]]*(1+ARTICULOS_YAMANIL[[#This Row],[IVA]]%))/ARTICULOS_YAMANIL[[#This Row],[UnidFact]])+ARTICULOS_YAMANIL[[#This Row],[CostoFlete]]</f>
        <v>627.34333333333336</v>
      </c>
      <c r="M53">
        <v>35</v>
      </c>
      <c r="N53" s="32">
        <f t="shared" si="13"/>
        <v>950</v>
      </c>
      <c r="O53" s="21">
        <f>MROUND((ARTICULOS_YAMANIL[[#This Row],[Precio]]/0.6),50)</f>
        <v>1600</v>
      </c>
      <c r="P53" t="s">
        <v>8693</v>
      </c>
      <c r="Q53">
        <v>12</v>
      </c>
      <c r="R53" s="3">
        <f>ARTICULOS_YAMANIL[[#This Row],[Bulto]]*10</f>
        <v>60</v>
      </c>
      <c r="S53" t="s">
        <v>66</v>
      </c>
      <c r="T53" t="s">
        <v>10</v>
      </c>
      <c r="U53" t="s">
        <v>62</v>
      </c>
      <c r="V53" s="30" t="s">
        <v>10953</v>
      </c>
      <c r="W53" t="s">
        <v>8692</v>
      </c>
      <c r="X53">
        <v>1</v>
      </c>
      <c r="Y53">
        <v>0</v>
      </c>
      <c r="Z53"/>
      <c r="AB53" s="80">
        <f>ARTICULOS_YAMANIL[[#This Row],[Costo]]*ARTICULOS_YAMANIL[[#This Row],[Pedido]]</f>
        <v>0</v>
      </c>
      <c r="AD53"/>
      <c r="AH53" s="2" t="str">
        <f>IF(AND(ARTICULOS_YAMANIL[[#This Row],[FechaVenc]]=0,ARTICULOS_YAMANIL[[#This Row],[DiasVenc]]=0),"",ARTICULOS_YAMANIL[[#This Row],[FechaVenc]]-ARTICULOS_YAMANIL[[#This Row],[DiasVenc]])</f>
        <v/>
      </c>
      <c r="AK53"/>
      <c r="AM53"/>
      <c r="AO53" s="30" t="s">
        <v>8689</v>
      </c>
    </row>
    <row r="54" spans="1:41" x14ac:dyDescent="0.25">
      <c r="A54" s="1" t="s">
        <v>10966</v>
      </c>
      <c r="C54" t="str">
        <f t="shared" si="14"/>
        <v>BEB95001482</v>
      </c>
      <c r="D54" t="s">
        <v>8689</v>
      </c>
      <c r="E54" s="1" t="s">
        <v>10967</v>
      </c>
      <c r="F54" s="61">
        <f>F32</f>
        <v>3958.6</v>
      </c>
      <c r="G54" s="7">
        <v>21</v>
      </c>
      <c r="H54" s="8" t="s">
        <v>8690</v>
      </c>
      <c r="I54">
        <v>6</v>
      </c>
      <c r="J54">
        <f>ARTICULOS_YAMANIL[[#This Row],[Bulto]]</f>
        <v>6</v>
      </c>
      <c r="K54">
        <f t="shared" si="15"/>
        <v>5</v>
      </c>
      <c r="L54" s="57">
        <f>((ARTICULOS_YAMANIL[[#This Row],[P. Compra]]*(1+ARTICULOS_YAMANIL[[#This Row],[IVA]]%))/ARTICULOS_YAMANIL[[#This Row],[UnidFact]])+ARTICULOS_YAMANIL[[#This Row],[CostoFlete]]</f>
        <v>803.3176666666667</v>
      </c>
      <c r="M54">
        <v>35</v>
      </c>
      <c r="N54" s="32">
        <f t="shared" si="13"/>
        <v>1250</v>
      </c>
      <c r="O54" s="21">
        <f>MROUND((ARTICULOS_YAMANIL[[#This Row],[Precio]]/0.6),50)</f>
        <v>2100</v>
      </c>
      <c r="P54" t="s">
        <v>8693</v>
      </c>
      <c r="Q54">
        <v>12</v>
      </c>
      <c r="R54" s="3">
        <f>ARTICULOS_YAMANIL[[#This Row],[Bulto]]*10</f>
        <v>60</v>
      </c>
      <c r="S54" t="s">
        <v>66</v>
      </c>
      <c r="T54" t="s">
        <v>10</v>
      </c>
      <c r="U54" t="s">
        <v>62</v>
      </c>
      <c r="V54" s="30" t="s">
        <v>10953</v>
      </c>
      <c r="W54" t="s">
        <v>8692</v>
      </c>
      <c r="X54">
        <v>1</v>
      </c>
      <c r="Y54">
        <v>0</v>
      </c>
      <c r="Z54"/>
      <c r="AB54" s="80">
        <f>ARTICULOS_YAMANIL[[#This Row],[Costo]]*ARTICULOS_YAMANIL[[#This Row],[Pedido]]</f>
        <v>0</v>
      </c>
      <c r="AD54"/>
      <c r="AH54" s="2" t="str">
        <f>IF(AND(ARTICULOS_YAMANIL[[#This Row],[FechaVenc]]=0,ARTICULOS_YAMANIL[[#This Row],[DiasVenc]]=0),"",ARTICULOS_YAMANIL[[#This Row],[FechaVenc]]-ARTICULOS_YAMANIL[[#This Row],[DiasVenc]])</f>
        <v/>
      </c>
      <c r="AK54"/>
      <c r="AM54"/>
      <c r="AO54" s="30" t="s">
        <v>8689</v>
      </c>
    </row>
    <row r="55" spans="1:41" x14ac:dyDescent="0.25">
      <c r="A55" s="1" t="s">
        <v>10968</v>
      </c>
      <c r="C55" t="str">
        <f t="shared" si="14"/>
        <v>BEB95000782</v>
      </c>
      <c r="D55" t="s">
        <v>8689</v>
      </c>
      <c r="E55" s="1" t="s">
        <v>10969</v>
      </c>
      <c r="F55" s="61">
        <f>F54</f>
        <v>3958.6</v>
      </c>
      <c r="G55" s="7">
        <v>21</v>
      </c>
      <c r="H55" s="8" t="s">
        <v>8690</v>
      </c>
      <c r="I55">
        <v>6</v>
      </c>
      <c r="J55">
        <f>ARTICULOS_YAMANIL[[#This Row],[Bulto]]</f>
        <v>6</v>
      </c>
      <c r="K55">
        <f t="shared" si="15"/>
        <v>5</v>
      </c>
      <c r="L55" s="57">
        <f>((ARTICULOS_YAMANIL[[#This Row],[P. Compra]]*(1+ARTICULOS_YAMANIL[[#This Row],[IVA]]%))/ARTICULOS_YAMANIL[[#This Row],[UnidFact]])+ARTICULOS_YAMANIL[[#This Row],[CostoFlete]]</f>
        <v>803.3176666666667</v>
      </c>
      <c r="M55">
        <v>35</v>
      </c>
      <c r="N55" s="32">
        <f t="shared" si="13"/>
        <v>1250</v>
      </c>
      <c r="O55" s="21">
        <f>MROUND((ARTICULOS_YAMANIL[[#This Row],[Precio]]/0.6),50)</f>
        <v>2100</v>
      </c>
      <c r="P55" t="s">
        <v>8693</v>
      </c>
      <c r="Q55">
        <v>12</v>
      </c>
      <c r="R55" s="3">
        <f>ARTICULOS_YAMANIL[[#This Row],[Bulto]]*10</f>
        <v>60</v>
      </c>
      <c r="S55" t="s">
        <v>66</v>
      </c>
      <c r="T55" t="s">
        <v>10</v>
      </c>
      <c r="U55" t="s">
        <v>62</v>
      </c>
      <c r="V55" s="30" t="s">
        <v>10953</v>
      </c>
      <c r="W55" t="s">
        <v>8692</v>
      </c>
      <c r="X55">
        <v>1</v>
      </c>
      <c r="Y55">
        <v>49</v>
      </c>
      <c r="Z55"/>
      <c r="AB55" s="80">
        <f>ARTICULOS_YAMANIL[[#This Row],[Costo]]*ARTICULOS_YAMANIL[[#This Row],[Pedido]]</f>
        <v>0</v>
      </c>
      <c r="AD55"/>
      <c r="AH55" s="2" t="str">
        <f>IF(AND(ARTICULOS_YAMANIL[[#This Row],[FechaVenc]]=0,ARTICULOS_YAMANIL[[#This Row],[DiasVenc]]=0),"",ARTICULOS_YAMANIL[[#This Row],[FechaVenc]]-ARTICULOS_YAMANIL[[#This Row],[DiasVenc]])</f>
        <v/>
      </c>
      <c r="AK55"/>
      <c r="AM55"/>
      <c r="AO55" s="30" t="s">
        <v>8689</v>
      </c>
    </row>
    <row r="56" spans="1:41" x14ac:dyDescent="0.25">
      <c r="A56" s="1" t="s">
        <v>10970</v>
      </c>
      <c r="C56" t="str">
        <f t="shared" si="14"/>
        <v>BEB95067532</v>
      </c>
      <c r="D56" t="s">
        <v>8689</v>
      </c>
      <c r="E56" s="1" t="s">
        <v>10971</v>
      </c>
      <c r="F56" s="61">
        <f t="shared" ref="F56:F61" si="20">F55</f>
        <v>3958.6</v>
      </c>
      <c r="G56" s="7">
        <v>21</v>
      </c>
      <c r="H56" s="8" t="s">
        <v>8690</v>
      </c>
      <c r="I56">
        <v>6</v>
      </c>
      <c r="J56">
        <f>ARTICULOS_YAMANIL[[#This Row],[Bulto]]</f>
        <v>6</v>
      </c>
      <c r="K56">
        <f t="shared" si="15"/>
        <v>5</v>
      </c>
      <c r="L56" s="57">
        <f>((ARTICULOS_YAMANIL[[#This Row],[P. Compra]]*(1+ARTICULOS_YAMANIL[[#This Row],[IVA]]%))/ARTICULOS_YAMANIL[[#This Row],[UnidFact]])+ARTICULOS_YAMANIL[[#This Row],[CostoFlete]]</f>
        <v>803.3176666666667</v>
      </c>
      <c r="M56">
        <v>35</v>
      </c>
      <c r="N56" s="32">
        <f t="shared" si="13"/>
        <v>1250</v>
      </c>
      <c r="O56" s="21">
        <f>MROUND((ARTICULOS_YAMANIL[[#This Row],[Precio]]/0.6),50)</f>
        <v>2100</v>
      </c>
      <c r="P56" t="s">
        <v>8693</v>
      </c>
      <c r="Q56">
        <v>12</v>
      </c>
      <c r="R56" s="3">
        <f>ARTICULOS_YAMANIL[[#This Row],[Bulto]]*10</f>
        <v>60</v>
      </c>
      <c r="S56" t="s">
        <v>66</v>
      </c>
      <c r="T56" t="s">
        <v>10</v>
      </c>
      <c r="U56" t="s">
        <v>62</v>
      </c>
      <c r="V56" s="30" t="s">
        <v>10953</v>
      </c>
      <c r="W56" t="s">
        <v>8692</v>
      </c>
      <c r="X56">
        <v>1</v>
      </c>
      <c r="Y56">
        <v>33</v>
      </c>
      <c r="Z56"/>
      <c r="AB56" s="80">
        <f>ARTICULOS_YAMANIL[[#This Row],[Costo]]*ARTICULOS_YAMANIL[[#This Row],[Pedido]]</f>
        <v>0</v>
      </c>
      <c r="AD56"/>
      <c r="AH56" s="2" t="str">
        <f>IF(AND(ARTICULOS_YAMANIL[[#This Row],[FechaVenc]]=0,ARTICULOS_YAMANIL[[#This Row],[DiasVenc]]=0),"",ARTICULOS_YAMANIL[[#This Row],[FechaVenc]]-ARTICULOS_YAMANIL[[#This Row],[DiasVenc]])</f>
        <v/>
      </c>
      <c r="AK56"/>
      <c r="AM56"/>
      <c r="AO56" s="30" t="s">
        <v>8689</v>
      </c>
    </row>
    <row r="57" spans="1:41" x14ac:dyDescent="0.25">
      <c r="A57" s="1" t="s">
        <v>10972</v>
      </c>
      <c r="C57" t="str">
        <f t="shared" si="14"/>
        <v>BEB95647277</v>
      </c>
      <c r="D57" t="s">
        <v>8689</v>
      </c>
      <c r="E57" s="1" t="s">
        <v>10973</v>
      </c>
      <c r="F57" s="61">
        <f t="shared" si="20"/>
        <v>3958.6</v>
      </c>
      <c r="G57" s="7">
        <v>21</v>
      </c>
      <c r="H57" s="8" t="s">
        <v>8690</v>
      </c>
      <c r="I57">
        <v>6</v>
      </c>
      <c r="J57">
        <f>ARTICULOS_YAMANIL[[#This Row],[Bulto]]</f>
        <v>6</v>
      </c>
      <c r="K57">
        <f t="shared" si="15"/>
        <v>5</v>
      </c>
      <c r="L57" s="57">
        <f>((ARTICULOS_YAMANIL[[#This Row],[P. Compra]]*(1+ARTICULOS_YAMANIL[[#This Row],[IVA]]%))/ARTICULOS_YAMANIL[[#This Row],[UnidFact]])+ARTICULOS_YAMANIL[[#This Row],[CostoFlete]]</f>
        <v>803.3176666666667</v>
      </c>
      <c r="M57">
        <v>35</v>
      </c>
      <c r="N57" s="32">
        <f t="shared" si="13"/>
        <v>1250</v>
      </c>
      <c r="O57" s="21">
        <f>MROUND((ARTICULOS_YAMANIL[[#This Row],[Precio]]/0.6),50)</f>
        <v>2100</v>
      </c>
      <c r="P57" t="s">
        <v>8693</v>
      </c>
      <c r="Q57">
        <v>12</v>
      </c>
      <c r="R57" s="3">
        <f>ARTICULOS_YAMANIL[[#This Row],[Bulto]]*10</f>
        <v>60</v>
      </c>
      <c r="S57" t="s">
        <v>66</v>
      </c>
      <c r="T57" t="s">
        <v>10</v>
      </c>
      <c r="U57" t="s">
        <v>62</v>
      </c>
      <c r="V57" s="30" t="s">
        <v>10958</v>
      </c>
      <c r="W57" t="s">
        <v>8692</v>
      </c>
      <c r="X57">
        <v>1</v>
      </c>
      <c r="Y57">
        <v>0</v>
      </c>
      <c r="Z57"/>
      <c r="AB57" s="80">
        <f>ARTICULOS_YAMANIL[[#This Row],[Costo]]*ARTICULOS_YAMANIL[[#This Row],[Pedido]]</f>
        <v>0</v>
      </c>
      <c r="AD57"/>
      <c r="AH57" s="2" t="str">
        <f>IF(AND(ARTICULOS_YAMANIL[[#This Row],[FechaVenc]]=0,ARTICULOS_YAMANIL[[#This Row],[DiasVenc]]=0),"",ARTICULOS_YAMANIL[[#This Row],[FechaVenc]]-ARTICULOS_YAMANIL[[#This Row],[DiasVenc]])</f>
        <v/>
      </c>
      <c r="AK57"/>
      <c r="AM57"/>
      <c r="AO57" s="30" t="s">
        <v>8689</v>
      </c>
    </row>
    <row r="58" spans="1:41" x14ac:dyDescent="0.25">
      <c r="A58" s="1" t="s">
        <v>10974</v>
      </c>
      <c r="C58" t="str">
        <f t="shared" si="14"/>
        <v>BEB95000836</v>
      </c>
      <c r="D58" t="s">
        <v>8689</v>
      </c>
      <c r="E58" s="1" t="s">
        <v>10975</v>
      </c>
      <c r="F58" s="61">
        <f t="shared" si="20"/>
        <v>3958.6</v>
      </c>
      <c r="G58" s="7">
        <v>21</v>
      </c>
      <c r="H58" s="8" t="s">
        <v>8690</v>
      </c>
      <c r="I58">
        <v>6</v>
      </c>
      <c r="J58">
        <f>ARTICULOS_YAMANIL[[#This Row],[Bulto]]</f>
        <v>6</v>
      </c>
      <c r="K58">
        <f t="shared" si="15"/>
        <v>5</v>
      </c>
      <c r="L58" s="57">
        <f>((ARTICULOS_YAMANIL[[#This Row],[P. Compra]]*(1+ARTICULOS_YAMANIL[[#This Row],[IVA]]%))/ARTICULOS_YAMANIL[[#This Row],[UnidFact]])+ARTICULOS_YAMANIL[[#This Row],[CostoFlete]]</f>
        <v>803.3176666666667</v>
      </c>
      <c r="M58">
        <v>35</v>
      </c>
      <c r="N58" s="32">
        <f t="shared" si="13"/>
        <v>1250</v>
      </c>
      <c r="O58" s="21">
        <f>MROUND((ARTICULOS_YAMANIL[[#This Row],[Precio]]/0.6),50)</f>
        <v>2100</v>
      </c>
      <c r="P58" t="s">
        <v>8693</v>
      </c>
      <c r="Q58">
        <v>12</v>
      </c>
      <c r="R58" s="3">
        <f>ARTICULOS_YAMANIL[[#This Row],[Bulto]]*10</f>
        <v>60</v>
      </c>
      <c r="S58" t="s">
        <v>66</v>
      </c>
      <c r="T58" t="s">
        <v>10</v>
      </c>
      <c r="U58" t="s">
        <v>62</v>
      </c>
      <c r="V58" s="30" t="s">
        <v>10958</v>
      </c>
      <c r="W58" t="s">
        <v>8692</v>
      </c>
      <c r="X58">
        <v>1</v>
      </c>
      <c r="Y58">
        <v>29</v>
      </c>
      <c r="Z58"/>
      <c r="AB58" s="80">
        <f>ARTICULOS_YAMANIL[[#This Row],[Costo]]*ARTICULOS_YAMANIL[[#This Row],[Pedido]]</f>
        <v>0</v>
      </c>
      <c r="AD58"/>
      <c r="AH58" s="2" t="str">
        <f>IF(AND(ARTICULOS_YAMANIL[[#This Row],[FechaVenc]]=0,ARTICULOS_YAMANIL[[#This Row],[DiasVenc]]=0),"",ARTICULOS_YAMANIL[[#This Row],[FechaVenc]]-ARTICULOS_YAMANIL[[#This Row],[DiasVenc]])</f>
        <v/>
      </c>
      <c r="AK58"/>
      <c r="AM58"/>
      <c r="AO58" s="30" t="s">
        <v>8689</v>
      </c>
    </row>
    <row r="59" spans="1:41" x14ac:dyDescent="0.25">
      <c r="A59" s="1" t="s">
        <v>10976</v>
      </c>
      <c r="C59" t="str">
        <f t="shared" si="14"/>
        <v>BEB95001055</v>
      </c>
      <c r="D59" t="s">
        <v>8689</v>
      </c>
      <c r="E59" s="1" t="s">
        <v>10977</v>
      </c>
      <c r="F59" s="61">
        <f t="shared" si="20"/>
        <v>3958.6</v>
      </c>
      <c r="G59" s="7">
        <v>21</v>
      </c>
      <c r="H59" s="8" t="s">
        <v>8690</v>
      </c>
      <c r="I59">
        <v>6</v>
      </c>
      <c r="J59">
        <f>ARTICULOS_YAMANIL[[#This Row],[Bulto]]</f>
        <v>6</v>
      </c>
      <c r="K59">
        <f t="shared" si="15"/>
        <v>5</v>
      </c>
      <c r="L59" s="57">
        <f>((ARTICULOS_YAMANIL[[#This Row],[P. Compra]]*(1+ARTICULOS_YAMANIL[[#This Row],[IVA]]%))/ARTICULOS_YAMANIL[[#This Row],[UnidFact]])+ARTICULOS_YAMANIL[[#This Row],[CostoFlete]]</f>
        <v>803.3176666666667</v>
      </c>
      <c r="M59">
        <v>35</v>
      </c>
      <c r="N59" s="32">
        <f t="shared" si="13"/>
        <v>1250</v>
      </c>
      <c r="O59" s="21">
        <f>MROUND((ARTICULOS_YAMANIL[[#This Row],[Precio]]/0.6),50)</f>
        <v>2100</v>
      </c>
      <c r="P59" t="s">
        <v>8693</v>
      </c>
      <c r="Q59">
        <v>12</v>
      </c>
      <c r="R59" s="3">
        <f>ARTICULOS_YAMANIL[[#This Row],[Bulto]]*10</f>
        <v>60</v>
      </c>
      <c r="S59" t="s">
        <v>66</v>
      </c>
      <c r="T59" t="s">
        <v>10</v>
      </c>
      <c r="U59" t="s">
        <v>62</v>
      </c>
      <c r="V59" s="30" t="s">
        <v>10958</v>
      </c>
      <c r="W59" t="s">
        <v>8692</v>
      </c>
      <c r="X59">
        <v>1</v>
      </c>
      <c r="Y59">
        <v>0</v>
      </c>
      <c r="Z59"/>
      <c r="AB59" s="80">
        <f>ARTICULOS_YAMANIL[[#This Row],[Costo]]*ARTICULOS_YAMANIL[[#This Row],[Pedido]]</f>
        <v>0</v>
      </c>
      <c r="AD59"/>
      <c r="AH59" s="2" t="str">
        <f>IF(AND(ARTICULOS_YAMANIL[[#This Row],[FechaVenc]]=0,ARTICULOS_YAMANIL[[#This Row],[DiasVenc]]=0),"",ARTICULOS_YAMANIL[[#This Row],[FechaVenc]]-ARTICULOS_YAMANIL[[#This Row],[DiasVenc]])</f>
        <v/>
      </c>
      <c r="AK59"/>
      <c r="AM59"/>
      <c r="AO59" s="30" t="s">
        <v>8689</v>
      </c>
    </row>
    <row r="60" spans="1:41" x14ac:dyDescent="0.25">
      <c r="A60" s="1" t="s">
        <v>10978</v>
      </c>
      <c r="C60" t="str">
        <f t="shared" si="14"/>
        <v>BEB95000829</v>
      </c>
      <c r="D60" t="s">
        <v>8689</v>
      </c>
      <c r="E60" s="1" t="s">
        <v>10979</v>
      </c>
      <c r="F60" s="61">
        <f t="shared" si="20"/>
        <v>3958.6</v>
      </c>
      <c r="G60" s="7">
        <v>21</v>
      </c>
      <c r="H60" s="8" t="s">
        <v>8690</v>
      </c>
      <c r="I60">
        <v>6</v>
      </c>
      <c r="J60">
        <f>ARTICULOS_YAMANIL[[#This Row],[Bulto]]</f>
        <v>6</v>
      </c>
      <c r="K60">
        <f t="shared" si="15"/>
        <v>5</v>
      </c>
      <c r="L60" s="57">
        <f>((ARTICULOS_YAMANIL[[#This Row],[P. Compra]]*(1+ARTICULOS_YAMANIL[[#This Row],[IVA]]%))/ARTICULOS_YAMANIL[[#This Row],[UnidFact]])+ARTICULOS_YAMANIL[[#This Row],[CostoFlete]]</f>
        <v>803.3176666666667</v>
      </c>
      <c r="M60">
        <v>35</v>
      </c>
      <c r="N60" s="32">
        <f t="shared" si="13"/>
        <v>1250</v>
      </c>
      <c r="O60" s="21">
        <f>MROUND((ARTICULOS_YAMANIL[[#This Row],[Precio]]/0.6),50)</f>
        <v>2100</v>
      </c>
      <c r="P60" t="s">
        <v>8693</v>
      </c>
      <c r="Q60">
        <v>12</v>
      </c>
      <c r="R60" s="3">
        <f>ARTICULOS_YAMANIL[[#This Row],[Bulto]]*10</f>
        <v>60</v>
      </c>
      <c r="S60" t="s">
        <v>66</v>
      </c>
      <c r="T60" t="s">
        <v>10</v>
      </c>
      <c r="U60" t="s">
        <v>62</v>
      </c>
      <c r="V60" s="30" t="s">
        <v>10963</v>
      </c>
      <c r="W60" t="s">
        <v>8692</v>
      </c>
      <c r="X60">
        <v>1</v>
      </c>
      <c r="Y60">
        <v>27</v>
      </c>
      <c r="Z60"/>
      <c r="AB60" s="80">
        <f>ARTICULOS_YAMANIL[[#This Row],[Costo]]*ARTICULOS_YAMANIL[[#This Row],[Pedido]]</f>
        <v>0</v>
      </c>
      <c r="AD60"/>
      <c r="AH60" s="2" t="str">
        <f>IF(AND(ARTICULOS_YAMANIL[[#This Row],[FechaVenc]]=0,ARTICULOS_YAMANIL[[#This Row],[DiasVenc]]=0),"",ARTICULOS_YAMANIL[[#This Row],[FechaVenc]]-ARTICULOS_YAMANIL[[#This Row],[DiasVenc]])</f>
        <v/>
      </c>
      <c r="AK60"/>
      <c r="AM60"/>
      <c r="AO60" s="30" t="s">
        <v>8689</v>
      </c>
    </row>
    <row r="61" spans="1:41" x14ac:dyDescent="0.25">
      <c r="A61" s="1" t="s">
        <v>10980</v>
      </c>
      <c r="C61" t="str">
        <f t="shared" si="14"/>
        <v>BEB95064142</v>
      </c>
      <c r="D61" t="s">
        <v>8689</v>
      </c>
      <c r="E61" s="1" t="s">
        <v>10981</v>
      </c>
      <c r="F61" s="61">
        <f t="shared" si="20"/>
        <v>3958.6</v>
      </c>
      <c r="G61" s="7">
        <v>21</v>
      </c>
      <c r="H61" s="8" t="s">
        <v>8690</v>
      </c>
      <c r="I61">
        <v>6</v>
      </c>
      <c r="J61">
        <f>ARTICULOS_YAMANIL[[#This Row],[Bulto]]</f>
        <v>6</v>
      </c>
      <c r="K61">
        <f t="shared" si="15"/>
        <v>5</v>
      </c>
      <c r="L61" s="57">
        <f>((ARTICULOS_YAMANIL[[#This Row],[P. Compra]]*(1+ARTICULOS_YAMANIL[[#This Row],[IVA]]%))/ARTICULOS_YAMANIL[[#This Row],[UnidFact]])+ARTICULOS_YAMANIL[[#This Row],[CostoFlete]]</f>
        <v>803.3176666666667</v>
      </c>
      <c r="M61">
        <v>35</v>
      </c>
      <c r="N61" s="32">
        <f t="shared" si="13"/>
        <v>1250</v>
      </c>
      <c r="O61" s="21">
        <f>MROUND((ARTICULOS_YAMANIL[[#This Row],[Precio]]/0.6),50)</f>
        <v>2100</v>
      </c>
      <c r="P61" t="s">
        <v>8693</v>
      </c>
      <c r="Q61">
        <v>12</v>
      </c>
      <c r="R61" s="3">
        <f>ARTICULOS_YAMANIL[[#This Row],[Bulto]]*10</f>
        <v>60</v>
      </c>
      <c r="S61" t="s">
        <v>66</v>
      </c>
      <c r="T61" t="s">
        <v>10</v>
      </c>
      <c r="U61" t="s">
        <v>62</v>
      </c>
      <c r="V61" s="30" t="s">
        <v>10963</v>
      </c>
      <c r="W61" t="s">
        <v>8692</v>
      </c>
      <c r="X61">
        <v>1</v>
      </c>
      <c r="Y61">
        <v>7</v>
      </c>
      <c r="Z61"/>
      <c r="AB61" s="80">
        <f>ARTICULOS_YAMANIL[[#This Row],[Costo]]*ARTICULOS_YAMANIL[[#This Row],[Pedido]]</f>
        <v>0</v>
      </c>
      <c r="AD61"/>
      <c r="AH61" s="2" t="str">
        <f>IF(AND(ARTICULOS_YAMANIL[[#This Row],[FechaVenc]]=0,ARTICULOS_YAMANIL[[#This Row],[DiasVenc]]=0),"",ARTICULOS_YAMANIL[[#This Row],[FechaVenc]]-ARTICULOS_YAMANIL[[#This Row],[DiasVenc]])</f>
        <v/>
      </c>
      <c r="AK61"/>
      <c r="AM61"/>
      <c r="AO61" s="30" t="s">
        <v>8689</v>
      </c>
    </row>
    <row r="62" spans="1:41" x14ac:dyDescent="0.25">
      <c r="A62" s="1" t="s">
        <v>11022</v>
      </c>
      <c r="C62" t="str">
        <f t="shared" si="14"/>
        <v>BEB95641183</v>
      </c>
      <c r="D62" t="s">
        <v>8689</v>
      </c>
      <c r="E62" s="1" t="s">
        <v>11023</v>
      </c>
      <c r="F62" s="61">
        <v>4443.5</v>
      </c>
      <c r="G62" s="7">
        <v>21</v>
      </c>
      <c r="H62" s="8" t="s">
        <v>8690</v>
      </c>
      <c r="I62">
        <v>6</v>
      </c>
      <c r="J62">
        <f>ARTICULOS_YAMANIL[[#This Row],[Bulto]]</f>
        <v>6</v>
      </c>
      <c r="K62">
        <f t="shared" si="15"/>
        <v>5</v>
      </c>
      <c r="L62" s="57">
        <f>((ARTICULOS_YAMANIL[[#This Row],[P. Compra]]*(1+ARTICULOS_YAMANIL[[#This Row],[IVA]]%))/ARTICULOS_YAMANIL[[#This Row],[UnidFact]])+ARTICULOS_YAMANIL[[#This Row],[CostoFlete]]</f>
        <v>901.10583333333341</v>
      </c>
      <c r="M62">
        <v>35</v>
      </c>
      <c r="N62" s="32">
        <f t="shared" si="13"/>
        <v>1400</v>
      </c>
      <c r="O62" s="21">
        <f>MROUND((ARTICULOS_YAMANIL[[#This Row],[Precio]]/0.6),50)</f>
        <v>2350</v>
      </c>
      <c r="P62" t="s">
        <v>8693</v>
      </c>
      <c r="Q62">
        <v>12</v>
      </c>
      <c r="R62" s="3">
        <f>ARTICULOS_YAMANIL[[#This Row],[Bulto]]*10</f>
        <v>60</v>
      </c>
      <c r="S62" t="s">
        <v>66</v>
      </c>
      <c r="T62" t="s">
        <v>10</v>
      </c>
      <c r="U62" t="s">
        <v>54</v>
      </c>
      <c r="V62" s="30" t="s">
        <v>11024</v>
      </c>
      <c r="W62" t="s">
        <v>8692</v>
      </c>
      <c r="X62">
        <v>1</v>
      </c>
      <c r="Y62">
        <v>33</v>
      </c>
      <c r="Z62"/>
      <c r="AB62" s="80">
        <f>ARTICULOS_YAMANIL[[#This Row],[Costo]]*ARTICULOS_YAMANIL[[#This Row],[Pedido]]</f>
        <v>0</v>
      </c>
      <c r="AD62"/>
      <c r="AH62" s="2" t="str">
        <f>IF(AND(ARTICULOS_YAMANIL[[#This Row],[FechaVenc]]=0,ARTICULOS_YAMANIL[[#This Row],[DiasVenc]]=0),"",ARTICULOS_YAMANIL[[#This Row],[FechaVenc]]-ARTICULOS_YAMANIL[[#This Row],[DiasVenc]])</f>
        <v/>
      </c>
      <c r="AK62"/>
      <c r="AM62"/>
      <c r="AO62" s="30" t="s">
        <v>8689</v>
      </c>
    </row>
    <row r="63" spans="1:41" x14ac:dyDescent="0.25">
      <c r="A63" s="1" t="s">
        <v>11025</v>
      </c>
      <c r="C63" t="str">
        <f t="shared" si="14"/>
        <v>BEB95640018</v>
      </c>
      <c r="D63" t="s">
        <v>8689</v>
      </c>
      <c r="E63" s="1" t="s">
        <v>11026</v>
      </c>
      <c r="F63" s="61">
        <f>F62</f>
        <v>4443.5</v>
      </c>
      <c r="G63" s="7">
        <v>21</v>
      </c>
      <c r="H63" s="8" t="s">
        <v>8690</v>
      </c>
      <c r="I63">
        <v>6</v>
      </c>
      <c r="J63">
        <f>ARTICULOS_YAMANIL[[#This Row],[Bulto]]</f>
        <v>6</v>
      </c>
      <c r="K63">
        <f t="shared" si="15"/>
        <v>5</v>
      </c>
      <c r="L63" s="57">
        <f>((ARTICULOS_YAMANIL[[#This Row],[P. Compra]]*(1+ARTICULOS_YAMANIL[[#This Row],[IVA]]%))/ARTICULOS_YAMANIL[[#This Row],[UnidFact]])+ARTICULOS_YAMANIL[[#This Row],[CostoFlete]]</f>
        <v>901.10583333333341</v>
      </c>
      <c r="M63">
        <v>35</v>
      </c>
      <c r="N63" s="32">
        <f t="shared" si="13"/>
        <v>1400</v>
      </c>
      <c r="O63" s="21">
        <f>MROUND((ARTICULOS_YAMANIL[[#This Row],[Precio]]/0.6),50)</f>
        <v>2350</v>
      </c>
      <c r="P63" t="s">
        <v>8693</v>
      </c>
      <c r="Q63">
        <v>12</v>
      </c>
      <c r="R63" s="3">
        <f>ARTICULOS_YAMANIL[[#This Row],[Bulto]]*10</f>
        <v>60</v>
      </c>
      <c r="S63" t="s">
        <v>66</v>
      </c>
      <c r="T63" t="s">
        <v>10</v>
      </c>
      <c r="U63" t="s">
        <v>54</v>
      </c>
      <c r="V63" s="30" t="s">
        <v>11024</v>
      </c>
      <c r="W63" t="s">
        <v>8692</v>
      </c>
      <c r="X63">
        <v>1</v>
      </c>
      <c r="Y63">
        <v>35</v>
      </c>
      <c r="Z63"/>
      <c r="AB63" s="80">
        <f>ARTICULOS_YAMANIL[[#This Row],[Costo]]*ARTICULOS_YAMANIL[[#This Row],[Pedido]]</f>
        <v>0</v>
      </c>
      <c r="AD63"/>
      <c r="AH63" s="2" t="str">
        <f>IF(AND(ARTICULOS_YAMANIL[[#This Row],[FechaVenc]]=0,ARTICULOS_YAMANIL[[#This Row],[DiasVenc]]=0),"",ARTICULOS_YAMANIL[[#This Row],[FechaVenc]]-ARTICULOS_YAMANIL[[#This Row],[DiasVenc]])</f>
        <v/>
      </c>
      <c r="AK63"/>
      <c r="AM63"/>
      <c r="AO63" s="30" t="s">
        <v>8689</v>
      </c>
    </row>
    <row r="64" spans="1:41" x14ac:dyDescent="0.25">
      <c r="A64" s="1" t="s">
        <v>11027</v>
      </c>
      <c r="C64" t="str">
        <f t="shared" si="14"/>
        <v>BEB95640025</v>
      </c>
      <c r="D64" t="s">
        <v>8689</v>
      </c>
      <c r="E64" s="1" t="s">
        <v>11028</v>
      </c>
      <c r="F64" s="61">
        <f t="shared" ref="F64:F65" si="21">F63</f>
        <v>4443.5</v>
      </c>
      <c r="G64" s="7">
        <v>21</v>
      </c>
      <c r="H64" s="8" t="s">
        <v>8690</v>
      </c>
      <c r="I64">
        <v>6</v>
      </c>
      <c r="J64">
        <f>ARTICULOS_YAMANIL[[#This Row],[Bulto]]</f>
        <v>6</v>
      </c>
      <c r="K64">
        <f t="shared" si="15"/>
        <v>5</v>
      </c>
      <c r="L64" s="57">
        <f>((ARTICULOS_YAMANIL[[#This Row],[P. Compra]]*(1+ARTICULOS_YAMANIL[[#This Row],[IVA]]%))/ARTICULOS_YAMANIL[[#This Row],[UnidFact]])+ARTICULOS_YAMANIL[[#This Row],[CostoFlete]]</f>
        <v>901.10583333333341</v>
      </c>
      <c r="M64">
        <v>35</v>
      </c>
      <c r="N64" s="32">
        <f t="shared" si="13"/>
        <v>1400</v>
      </c>
      <c r="O64" s="21">
        <f>MROUND((ARTICULOS_YAMANIL[[#This Row],[Precio]]/0.6),50)</f>
        <v>2350</v>
      </c>
      <c r="P64" t="s">
        <v>8693</v>
      </c>
      <c r="Q64">
        <v>12</v>
      </c>
      <c r="R64" s="3">
        <f>ARTICULOS_YAMANIL[[#This Row],[Bulto]]*10</f>
        <v>60</v>
      </c>
      <c r="S64" t="s">
        <v>66</v>
      </c>
      <c r="T64" t="s">
        <v>10</v>
      </c>
      <c r="U64" t="s">
        <v>54</v>
      </c>
      <c r="V64" s="30" t="s">
        <v>11024</v>
      </c>
      <c r="W64" t="s">
        <v>8692</v>
      </c>
      <c r="X64">
        <v>1</v>
      </c>
      <c r="Y64">
        <v>30</v>
      </c>
      <c r="Z64"/>
      <c r="AB64" s="80">
        <f>ARTICULOS_YAMANIL[[#This Row],[Costo]]*ARTICULOS_YAMANIL[[#This Row],[Pedido]]</f>
        <v>0</v>
      </c>
      <c r="AD64"/>
      <c r="AH64" s="2" t="str">
        <f>IF(AND(ARTICULOS_YAMANIL[[#This Row],[FechaVenc]]=0,ARTICULOS_YAMANIL[[#This Row],[DiasVenc]]=0),"",ARTICULOS_YAMANIL[[#This Row],[FechaVenc]]-ARTICULOS_YAMANIL[[#This Row],[DiasVenc]])</f>
        <v/>
      </c>
      <c r="AK64"/>
      <c r="AM64"/>
      <c r="AO64" s="30" t="s">
        <v>8689</v>
      </c>
    </row>
    <row r="65" spans="1:41" x14ac:dyDescent="0.25">
      <c r="A65" s="24" t="s">
        <v>11751</v>
      </c>
      <c r="C65" t="str">
        <f t="shared" si="14"/>
        <v>BEB95649103</v>
      </c>
      <c r="D65" t="s">
        <v>8689</v>
      </c>
      <c r="E65" s="24" t="s">
        <v>11846</v>
      </c>
      <c r="F65" s="61">
        <f t="shared" si="21"/>
        <v>4443.5</v>
      </c>
      <c r="G65" s="7">
        <v>21</v>
      </c>
      <c r="H65" s="8" t="s">
        <v>8690</v>
      </c>
      <c r="I65">
        <v>6</v>
      </c>
      <c r="J65">
        <f>ARTICULOS_YAMANIL[[#This Row],[Bulto]]</f>
        <v>6</v>
      </c>
      <c r="K65">
        <f t="shared" si="15"/>
        <v>5</v>
      </c>
      <c r="L65" s="57">
        <f>((ARTICULOS_YAMANIL[[#This Row],[P. Compra]]*(1+ARTICULOS_YAMANIL[[#This Row],[IVA]]%))/ARTICULOS_YAMANIL[[#This Row],[UnidFact]])+ARTICULOS_YAMANIL[[#This Row],[CostoFlete]]</f>
        <v>901.10583333333341</v>
      </c>
      <c r="M65">
        <v>35</v>
      </c>
      <c r="N65" s="32">
        <f t="shared" si="13"/>
        <v>1400</v>
      </c>
      <c r="O65" s="21">
        <f>MROUND((ARTICULOS_YAMANIL[[#This Row],[Precio]]/0.6),50)</f>
        <v>2350</v>
      </c>
      <c r="P65" t="s">
        <v>8693</v>
      </c>
      <c r="Q65">
        <v>12</v>
      </c>
      <c r="R65" s="3">
        <f>ARTICULOS_YAMANIL[[#This Row],[Bulto]]*10</f>
        <v>60</v>
      </c>
      <c r="S65" t="s">
        <v>66</v>
      </c>
      <c r="T65" t="s">
        <v>10</v>
      </c>
      <c r="U65" t="s">
        <v>54</v>
      </c>
      <c r="V65" s="30" t="s">
        <v>11024</v>
      </c>
      <c r="W65" t="s">
        <v>8692</v>
      </c>
      <c r="X65">
        <v>2</v>
      </c>
      <c r="Y65">
        <v>11</v>
      </c>
      <c r="Z65"/>
      <c r="AB65" s="80">
        <f>ARTICULOS_YAMANIL[[#This Row],[Costo]]*ARTICULOS_YAMANIL[[#This Row],[Pedido]]</f>
        <v>0</v>
      </c>
      <c r="AD65"/>
      <c r="AH65" s="2" t="str">
        <f>IF(AND(ARTICULOS_YAMANIL[[#This Row],[FechaVenc]]=0,ARTICULOS_YAMANIL[[#This Row],[DiasVenc]]=0),"",ARTICULOS_YAMANIL[[#This Row],[FechaVenc]]-ARTICULOS_YAMANIL[[#This Row],[DiasVenc]])</f>
        <v/>
      </c>
      <c r="AK65"/>
      <c r="AM65"/>
      <c r="AO65" s="30" t="s">
        <v>8689</v>
      </c>
    </row>
    <row r="66" spans="1:41" x14ac:dyDescent="0.25">
      <c r="A66" s="1" t="s">
        <v>11038</v>
      </c>
      <c r="C66" t="str">
        <f t="shared" si="14"/>
        <v>BEB95645778</v>
      </c>
      <c r="D66" t="s">
        <v>8689</v>
      </c>
      <c r="E66" s="1" t="s">
        <v>11039</v>
      </c>
      <c r="F66" s="61">
        <v>3353</v>
      </c>
      <c r="G66" s="7">
        <v>21</v>
      </c>
      <c r="H66" s="8" t="s">
        <v>8690</v>
      </c>
      <c r="I66">
        <v>6</v>
      </c>
      <c r="J66">
        <f>ARTICULOS_YAMANIL[[#This Row],[Bulto]]</f>
        <v>6</v>
      </c>
      <c r="K66">
        <f t="shared" si="15"/>
        <v>5</v>
      </c>
      <c r="L66" s="57">
        <f>((ARTICULOS_YAMANIL[[#This Row],[P. Compra]]*(1+ARTICULOS_YAMANIL[[#This Row],[IVA]]%))/ARTICULOS_YAMANIL[[#This Row],[UnidFact]])+ARTICULOS_YAMANIL[[#This Row],[CostoFlete]]</f>
        <v>681.18833333333328</v>
      </c>
      <c r="M66">
        <v>35</v>
      </c>
      <c r="N66" s="32">
        <f t="shared" si="13"/>
        <v>1050</v>
      </c>
      <c r="O66" s="21">
        <f>MROUND((ARTICULOS_YAMANIL[[#This Row],[Precio]]/0.6),50)</f>
        <v>1750</v>
      </c>
      <c r="P66" t="s">
        <v>8693</v>
      </c>
      <c r="Q66">
        <v>12</v>
      </c>
      <c r="R66" s="3">
        <f>ARTICULOS_YAMANIL[[#This Row],[Bulto]]*10</f>
        <v>60</v>
      </c>
      <c r="S66" t="s">
        <v>66</v>
      </c>
      <c r="T66" t="s">
        <v>10</v>
      </c>
      <c r="U66" t="s">
        <v>5</v>
      </c>
      <c r="V66" s="30" t="s">
        <v>11040</v>
      </c>
      <c r="W66" t="s">
        <v>8692</v>
      </c>
      <c r="X66">
        <v>1</v>
      </c>
      <c r="Y66">
        <v>6</v>
      </c>
      <c r="Z66"/>
      <c r="AB66" s="80">
        <f>ARTICULOS_YAMANIL[[#This Row],[Costo]]*ARTICULOS_YAMANIL[[#This Row],[Pedido]]</f>
        <v>0</v>
      </c>
      <c r="AD66"/>
      <c r="AH66" s="2" t="str">
        <f>IF(AND(ARTICULOS_YAMANIL[[#This Row],[FechaVenc]]=0,ARTICULOS_YAMANIL[[#This Row],[DiasVenc]]=0),"",ARTICULOS_YAMANIL[[#This Row],[FechaVenc]]-ARTICULOS_YAMANIL[[#This Row],[DiasVenc]])</f>
        <v/>
      </c>
      <c r="AK66"/>
      <c r="AM66"/>
      <c r="AO66" s="30" t="s">
        <v>8689</v>
      </c>
    </row>
    <row r="72" spans="1:41" x14ac:dyDescent="0.25">
      <c r="F72" s="69" t="e">
        <f>#REF!*1.2</f>
        <v>#REF!</v>
      </c>
    </row>
    <row r="73" spans="1:41" x14ac:dyDescent="0.25">
      <c r="F73" s="69">
        <f>F2*1.2</f>
        <v>3861</v>
      </c>
    </row>
    <row r="74" spans="1:41" x14ac:dyDescent="0.25">
      <c r="F74" s="69">
        <f>F3*1.2</f>
        <v>4476</v>
      </c>
    </row>
    <row r="75" spans="1:41" x14ac:dyDescent="0.25">
      <c r="F75" s="69">
        <f>F4*1.2</f>
        <v>4476</v>
      </c>
    </row>
    <row r="76" spans="1:41" x14ac:dyDescent="0.25">
      <c r="F76" s="69">
        <f>F5*1.2</f>
        <v>4476</v>
      </c>
    </row>
    <row r="77" spans="1:41" x14ac:dyDescent="0.25">
      <c r="F77" s="69">
        <f>F7*1.2</f>
        <v>7527</v>
      </c>
    </row>
    <row r="78" spans="1:41" x14ac:dyDescent="0.25">
      <c r="F78" s="69">
        <f>F8*1.2</f>
        <v>7527</v>
      </c>
    </row>
    <row r="79" spans="1:41" x14ac:dyDescent="0.25">
      <c r="F79" s="69">
        <f>F10*1.2</f>
        <v>3032.4</v>
      </c>
    </row>
    <row r="80" spans="1:41" x14ac:dyDescent="0.25">
      <c r="F80" s="69">
        <f>F11*1.2</f>
        <v>3032.4</v>
      </c>
    </row>
    <row r="81" spans="6:6" x14ac:dyDescent="0.25">
      <c r="F81" s="69">
        <f>F12*1.2</f>
        <v>3032.4</v>
      </c>
    </row>
    <row r="82" spans="6:6" x14ac:dyDescent="0.25">
      <c r="F82" s="69">
        <f t="shared" ref="F82:F117" si="22">F15*1.2</f>
        <v>6981</v>
      </c>
    </row>
    <row r="83" spans="6:6" x14ac:dyDescent="0.25">
      <c r="F83" s="69">
        <f t="shared" si="22"/>
        <v>6981</v>
      </c>
    </row>
    <row r="84" spans="6:6" x14ac:dyDescent="0.25">
      <c r="F84" s="69">
        <f t="shared" si="22"/>
        <v>6981</v>
      </c>
    </row>
    <row r="85" spans="6:6" x14ac:dyDescent="0.25">
      <c r="F85" s="69">
        <f t="shared" si="22"/>
        <v>6981</v>
      </c>
    </row>
    <row r="86" spans="6:6" x14ac:dyDescent="0.25">
      <c r="F86" s="69">
        <f t="shared" si="22"/>
        <v>0</v>
      </c>
    </row>
    <row r="87" spans="6:6" x14ac:dyDescent="0.25">
      <c r="F87" s="69">
        <f t="shared" si="22"/>
        <v>0</v>
      </c>
    </row>
    <row r="88" spans="6:6" x14ac:dyDescent="0.25">
      <c r="F88" s="69">
        <f t="shared" si="22"/>
        <v>0</v>
      </c>
    </row>
    <row r="89" spans="6:6" x14ac:dyDescent="0.25">
      <c r="F89" s="69">
        <f t="shared" si="22"/>
        <v>0</v>
      </c>
    </row>
    <row r="90" spans="6:6" x14ac:dyDescent="0.25">
      <c r="F90" s="69">
        <f t="shared" si="22"/>
        <v>0</v>
      </c>
    </row>
    <row r="91" spans="6:6" x14ac:dyDescent="0.25">
      <c r="F91" s="69">
        <f t="shared" si="22"/>
        <v>4750.32</v>
      </c>
    </row>
    <row r="92" spans="6:6" x14ac:dyDescent="0.25">
      <c r="F92" s="69">
        <f t="shared" si="22"/>
        <v>4750.32</v>
      </c>
    </row>
    <row r="93" spans="6:6" x14ac:dyDescent="0.25">
      <c r="F93" s="69">
        <f t="shared" si="22"/>
        <v>4750.32</v>
      </c>
    </row>
    <row r="94" spans="6:6" x14ac:dyDescent="0.25">
      <c r="F94" s="69">
        <f t="shared" si="22"/>
        <v>4750.32</v>
      </c>
    </row>
    <row r="95" spans="6:6" x14ac:dyDescent="0.25">
      <c r="F95" s="69">
        <f t="shared" si="22"/>
        <v>4750.32</v>
      </c>
    </row>
    <row r="96" spans="6:6" x14ac:dyDescent="0.25">
      <c r="F96" s="69">
        <f t="shared" si="22"/>
        <v>4750.32</v>
      </c>
    </row>
    <row r="97" spans="6:6" x14ac:dyDescent="0.25">
      <c r="F97" s="69">
        <f t="shared" si="22"/>
        <v>4750.32</v>
      </c>
    </row>
    <row r="98" spans="6:6" x14ac:dyDescent="0.25">
      <c r="F98" s="69">
        <f t="shared" si="22"/>
        <v>4750.32</v>
      </c>
    </row>
    <row r="99" spans="6:6" x14ac:dyDescent="0.25">
      <c r="F99" s="69">
        <f t="shared" si="22"/>
        <v>4750.32</v>
      </c>
    </row>
    <row r="100" spans="6:6" x14ac:dyDescent="0.25">
      <c r="F100" s="69">
        <f t="shared" si="22"/>
        <v>5261.9327999999996</v>
      </c>
    </row>
    <row r="101" spans="6:6" x14ac:dyDescent="0.25">
      <c r="F101" s="69">
        <f t="shared" si="22"/>
        <v>11108.4</v>
      </c>
    </row>
    <row r="102" spans="6:6" x14ac:dyDescent="0.25">
      <c r="F102" s="69">
        <f t="shared" si="22"/>
        <v>11108.4</v>
      </c>
    </row>
    <row r="103" spans="6:6" x14ac:dyDescent="0.25">
      <c r="F103" s="69">
        <f t="shared" si="22"/>
        <v>11108.4</v>
      </c>
    </row>
    <row r="104" spans="6:6" x14ac:dyDescent="0.25">
      <c r="F104" s="69">
        <f t="shared" si="22"/>
        <v>11108.4</v>
      </c>
    </row>
    <row r="105" spans="6:6" x14ac:dyDescent="0.25">
      <c r="F105" s="69">
        <f t="shared" si="22"/>
        <v>12606</v>
      </c>
    </row>
    <row r="106" spans="6:6" x14ac:dyDescent="0.25">
      <c r="F106" s="69">
        <f t="shared" si="22"/>
        <v>12606</v>
      </c>
    </row>
    <row r="107" spans="6:6" x14ac:dyDescent="0.25">
      <c r="F107" s="69">
        <f t="shared" si="22"/>
        <v>12606</v>
      </c>
    </row>
    <row r="108" spans="6:6" x14ac:dyDescent="0.25">
      <c r="F108" s="69">
        <f t="shared" si="22"/>
        <v>12606</v>
      </c>
    </row>
    <row r="109" spans="6:6" x14ac:dyDescent="0.25">
      <c r="F109" s="69">
        <f t="shared" si="22"/>
        <v>12606</v>
      </c>
    </row>
    <row r="110" spans="6:6" x14ac:dyDescent="0.25">
      <c r="F110" s="69">
        <f t="shared" si="22"/>
        <v>12606</v>
      </c>
    </row>
    <row r="111" spans="6:6" x14ac:dyDescent="0.25">
      <c r="F111" s="69">
        <f t="shared" si="22"/>
        <v>12606</v>
      </c>
    </row>
    <row r="112" spans="6:6" x14ac:dyDescent="0.25">
      <c r="F112" s="69">
        <f t="shared" si="22"/>
        <v>12606</v>
      </c>
    </row>
    <row r="113" spans="6:6" x14ac:dyDescent="0.25">
      <c r="F113" s="69">
        <f t="shared" si="22"/>
        <v>20050.8</v>
      </c>
    </row>
    <row r="114" spans="6:6" x14ac:dyDescent="0.25">
      <c r="F114" s="69">
        <f t="shared" si="22"/>
        <v>20050.8</v>
      </c>
    </row>
    <row r="115" spans="6:6" x14ac:dyDescent="0.25">
      <c r="F115" s="69">
        <f t="shared" si="22"/>
        <v>20050.8</v>
      </c>
    </row>
    <row r="116" spans="6:6" x14ac:dyDescent="0.25">
      <c r="F116" s="69">
        <f t="shared" si="22"/>
        <v>20050.8</v>
      </c>
    </row>
    <row r="117" spans="6:6" x14ac:dyDescent="0.25">
      <c r="F117" s="69">
        <f t="shared" si="22"/>
        <v>20050.8</v>
      </c>
    </row>
    <row r="118" spans="6:6" x14ac:dyDescent="0.25">
      <c r="F118" s="69">
        <f t="shared" ref="F118:F136" si="23">F54*1.2</f>
        <v>4750.32</v>
      </c>
    </row>
    <row r="119" spans="6:6" x14ac:dyDescent="0.25">
      <c r="F119" s="69">
        <f t="shared" si="23"/>
        <v>4750.32</v>
      </c>
    </row>
    <row r="120" spans="6:6" x14ac:dyDescent="0.25">
      <c r="F120" s="69">
        <f t="shared" si="23"/>
        <v>4750.32</v>
      </c>
    </row>
    <row r="121" spans="6:6" x14ac:dyDescent="0.25">
      <c r="F121" s="69">
        <f t="shared" si="23"/>
        <v>4750.32</v>
      </c>
    </row>
    <row r="122" spans="6:6" x14ac:dyDescent="0.25">
      <c r="F122" s="69">
        <f t="shared" si="23"/>
        <v>4750.32</v>
      </c>
    </row>
    <row r="123" spans="6:6" x14ac:dyDescent="0.25">
      <c r="F123" s="69">
        <f t="shared" si="23"/>
        <v>4750.32</v>
      </c>
    </row>
    <row r="124" spans="6:6" x14ac:dyDescent="0.25">
      <c r="F124" s="69">
        <f t="shared" si="23"/>
        <v>4750.32</v>
      </c>
    </row>
    <row r="125" spans="6:6" x14ac:dyDescent="0.25">
      <c r="F125" s="69">
        <f t="shared" si="23"/>
        <v>4750.32</v>
      </c>
    </row>
    <row r="126" spans="6:6" x14ac:dyDescent="0.25">
      <c r="F126" s="69">
        <f t="shared" si="23"/>
        <v>5332.2</v>
      </c>
    </row>
    <row r="127" spans="6:6" x14ac:dyDescent="0.25">
      <c r="F127" s="69">
        <f t="shared" si="23"/>
        <v>5332.2</v>
      </c>
    </row>
    <row r="128" spans="6:6" x14ac:dyDescent="0.25">
      <c r="F128" s="69">
        <f t="shared" si="23"/>
        <v>5332.2</v>
      </c>
    </row>
    <row r="129" spans="6:6" x14ac:dyDescent="0.25">
      <c r="F129" s="69">
        <f t="shared" si="23"/>
        <v>5332.2</v>
      </c>
    </row>
    <row r="130" spans="6:6" x14ac:dyDescent="0.25">
      <c r="F130" s="69">
        <f t="shared" si="23"/>
        <v>4023.6</v>
      </c>
    </row>
    <row r="131" spans="6:6" x14ac:dyDescent="0.25">
      <c r="F131" s="69">
        <f t="shared" si="23"/>
        <v>0</v>
      </c>
    </row>
    <row r="132" spans="6:6" x14ac:dyDescent="0.25">
      <c r="F132" s="69">
        <f t="shared" si="23"/>
        <v>0</v>
      </c>
    </row>
    <row r="133" spans="6:6" x14ac:dyDescent="0.25">
      <c r="F133" s="69">
        <f t="shared" si="23"/>
        <v>0</v>
      </c>
    </row>
    <row r="134" spans="6:6" x14ac:dyDescent="0.25">
      <c r="F134" s="69">
        <f t="shared" si="23"/>
        <v>0</v>
      </c>
    </row>
    <row r="135" spans="6:6" x14ac:dyDescent="0.25">
      <c r="F135" s="69">
        <f t="shared" si="23"/>
        <v>0</v>
      </c>
    </row>
    <row r="136" spans="6:6" x14ac:dyDescent="0.25">
      <c r="F136" s="69" t="e">
        <f t="shared" si="23"/>
        <v>#REF!</v>
      </c>
    </row>
    <row r="137" spans="6:6" x14ac:dyDescent="0.25">
      <c r="F137" s="69">
        <f t="shared" ref="F137:F169" si="24">F73*1.2</f>
        <v>4633.2</v>
      </c>
    </row>
    <row r="138" spans="6:6" x14ac:dyDescent="0.25">
      <c r="F138" s="69">
        <f t="shared" si="24"/>
        <v>5371.2</v>
      </c>
    </row>
    <row r="139" spans="6:6" x14ac:dyDescent="0.25">
      <c r="F139" s="69">
        <f t="shared" si="24"/>
        <v>5371.2</v>
      </c>
    </row>
    <row r="140" spans="6:6" x14ac:dyDescent="0.25">
      <c r="F140" s="69">
        <f t="shared" si="24"/>
        <v>5371.2</v>
      </c>
    </row>
    <row r="141" spans="6:6" x14ac:dyDescent="0.25">
      <c r="F141" s="69">
        <f t="shared" si="24"/>
        <v>9032.4</v>
      </c>
    </row>
    <row r="142" spans="6:6" x14ac:dyDescent="0.25">
      <c r="F142" s="69">
        <f t="shared" si="24"/>
        <v>9032.4</v>
      </c>
    </row>
    <row r="143" spans="6:6" x14ac:dyDescent="0.25">
      <c r="F143" s="69">
        <f t="shared" si="24"/>
        <v>3638.88</v>
      </c>
    </row>
    <row r="144" spans="6:6" x14ac:dyDescent="0.25">
      <c r="F144" s="69">
        <f t="shared" si="24"/>
        <v>3638.88</v>
      </c>
    </row>
    <row r="145" spans="6:6" x14ac:dyDescent="0.25">
      <c r="F145" s="69">
        <f t="shared" si="24"/>
        <v>3638.88</v>
      </c>
    </row>
    <row r="146" spans="6:6" x14ac:dyDescent="0.25">
      <c r="F146" s="69">
        <f t="shared" si="24"/>
        <v>8377.1999999999989</v>
      </c>
    </row>
    <row r="147" spans="6:6" x14ac:dyDescent="0.25">
      <c r="F147" s="69">
        <f t="shared" si="24"/>
        <v>8377.1999999999989</v>
      </c>
    </row>
    <row r="148" spans="6:6" x14ac:dyDescent="0.25">
      <c r="F148" s="69">
        <f t="shared" si="24"/>
        <v>8377.1999999999989</v>
      </c>
    </row>
    <row r="149" spans="6:6" x14ac:dyDescent="0.25">
      <c r="F149" s="69">
        <f t="shared" si="24"/>
        <v>8377.1999999999989</v>
      </c>
    </row>
    <row r="150" spans="6:6" x14ac:dyDescent="0.25">
      <c r="F150" s="69">
        <f t="shared" si="24"/>
        <v>0</v>
      </c>
    </row>
    <row r="151" spans="6:6" x14ac:dyDescent="0.25">
      <c r="F151" s="69">
        <f t="shared" si="24"/>
        <v>0</v>
      </c>
    </row>
    <row r="152" spans="6:6" x14ac:dyDescent="0.25">
      <c r="F152" s="69">
        <f t="shared" si="24"/>
        <v>0</v>
      </c>
    </row>
    <row r="153" spans="6:6" x14ac:dyDescent="0.25">
      <c r="F153" s="69">
        <f t="shared" si="24"/>
        <v>0</v>
      </c>
    </row>
    <row r="154" spans="6:6" x14ac:dyDescent="0.25">
      <c r="F154" s="69">
        <f t="shared" si="24"/>
        <v>0</v>
      </c>
    </row>
    <row r="155" spans="6:6" x14ac:dyDescent="0.25">
      <c r="F155" s="69">
        <f t="shared" si="24"/>
        <v>5700.3839999999991</v>
      </c>
    </row>
    <row r="156" spans="6:6" x14ac:dyDescent="0.25">
      <c r="F156" s="69">
        <f t="shared" si="24"/>
        <v>5700.3839999999991</v>
      </c>
    </row>
    <row r="157" spans="6:6" x14ac:dyDescent="0.25">
      <c r="F157" s="69">
        <f t="shared" si="24"/>
        <v>5700.3839999999991</v>
      </c>
    </row>
    <row r="158" spans="6:6" x14ac:dyDescent="0.25">
      <c r="F158" s="69">
        <f t="shared" si="24"/>
        <v>5700.3839999999991</v>
      </c>
    </row>
    <row r="159" spans="6:6" x14ac:dyDescent="0.25">
      <c r="F159" s="69">
        <f t="shared" si="24"/>
        <v>5700.3839999999991</v>
      </c>
    </row>
    <row r="160" spans="6:6" x14ac:dyDescent="0.25">
      <c r="F160" s="69">
        <f t="shared" si="24"/>
        <v>5700.3839999999991</v>
      </c>
    </row>
    <row r="161" spans="6:6" x14ac:dyDescent="0.25">
      <c r="F161" s="69">
        <f t="shared" si="24"/>
        <v>5700.3839999999991</v>
      </c>
    </row>
    <row r="162" spans="6:6" x14ac:dyDescent="0.25">
      <c r="F162" s="69">
        <f t="shared" si="24"/>
        <v>5700.3839999999991</v>
      </c>
    </row>
    <row r="163" spans="6:6" x14ac:dyDescent="0.25">
      <c r="F163" s="69">
        <f t="shared" si="24"/>
        <v>5700.3839999999991</v>
      </c>
    </row>
    <row r="164" spans="6:6" x14ac:dyDescent="0.25">
      <c r="F164" s="69">
        <f t="shared" si="24"/>
        <v>6314.3193599999995</v>
      </c>
    </row>
    <row r="165" spans="6:6" x14ac:dyDescent="0.25">
      <c r="F165" s="69">
        <f t="shared" si="24"/>
        <v>13330.08</v>
      </c>
    </row>
    <row r="166" spans="6:6" x14ac:dyDescent="0.25">
      <c r="F166" s="69">
        <f t="shared" si="24"/>
        <v>13330.08</v>
      </c>
    </row>
    <row r="167" spans="6:6" x14ac:dyDescent="0.25">
      <c r="F167" s="69">
        <f t="shared" si="24"/>
        <v>13330.08</v>
      </c>
    </row>
    <row r="168" spans="6:6" x14ac:dyDescent="0.25">
      <c r="F168" s="69">
        <f t="shared" si="24"/>
        <v>13330.08</v>
      </c>
    </row>
    <row r="169" spans="6:6" x14ac:dyDescent="0.25">
      <c r="F169" s="69">
        <f t="shared" si="24"/>
        <v>15127.199999999999</v>
      </c>
    </row>
  </sheetData>
  <conditionalFormatting sqref="A1">
    <cfRule type="duplicateValues" dxfId="157" priority="3"/>
  </conditionalFormatting>
  <conditionalFormatting sqref="A10 C10">
    <cfRule type="duplicateValues" dxfId="156" priority="33"/>
    <cfRule type="duplicateValues" dxfId="155" priority="34"/>
  </conditionalFormatting>
  <conditionalFormatting sqref="A46">
    <cfRule type="duplicateValues" dxfId="154" priority="22"/>
  </conditionalFormatting>
  <conditionalFormatting sqref="A2:B66">
    <cfRule type="duplicateValues" dxfId="153" priority="1187"/>
  </conditionalFormatting>
  <conditionalFormatting sqref="A46:B46">
    <cfRule type="duplicateValues" dxfId="152" priority="23"/>
  </conditionalFormatting>
  <conditionalFormatting sqref="A55:B1048576 A45:B45 A43:A44 A36:B42 A2:B6 A46:A54 A11:A35 A7:A9">
    <cfRule type="duplicateValues" dxfId="151" priority="38"/>
  </conditionalFormatting>
  <conditionalFormatting sqref="A64:B64">
    <cfRule type="duplicateValues" dxfId="150" priority="20"/>
    <cfRule type="duplicateValues" dxfId="149" priority="21"/>
  </conditionalFormatting>
  <conditionalFormatting sqref="A65:B66">
    <cfRule type="duplicateValues" dxfId="148" priority="18"/>
    <cfRule type="duplicateValues" dxfId="147" priority="19"/>
  </conditionalFormatting>
  <conditionalFormatting sqref="A67:B1048576 A45:B45 A55:B60 A43:A44 A36:B42 A61:A66 A46:A54 A11:A35 A2:A9">
    <cfRule type="duplicateValues" dxfId="146" priority="1090"/>
  </conditionalFormatting>
  <conditionalFormatting sqref="A67:C1048576 A45:C45 B60 C46:C66 A46:A66 C11:C44 A11:A44 A2:A9 C2:C9">
    <cfRule type="duplicateValues" dxfId="145" priority="823"/>
    <cfRule type="duplicateValues" dxfId="144" priority="824"/>
  </conditionalFormatting>
  <conditionalFormatting sqref="B10:B12 A11:A12 A47:B63 A13:B44 A2:B9">
    <cfRule type="duplicateValues" dxfId="143" priority="753"/>
  </conditionalFormatting>
  <conditionalFormatting sqref="B43:B44 B47:B54 B7:B35">
    <cfRule type="duplicateValues" dxfId="142" priority="727"/>
    <cfRule type="duplicateValues" dxfId="141" priority="728"/>
  </conditionalFormatting>
  <conditionalFormatting sqref="B46">
    <cfRule type="duplicateValues" dxfId="140" priority="24"/>
    <cfRule type="duplicateValues" dxfId="139" priority="25"/>
  </conditionalFormatting>
  <conditionalFormatting sqref="B55:B60 B36:B42">
    <cfRule type="duplicateValues" dxfId="138" priority="656"/>
    <cfRule type="duplicateValues" dxfId="137" priority="657"/>
  </conditionalFormatting>
  <conditionalFormatting sqref="B60 A47:A66 A11:A44 A2:A9">
    <cfRule type="duplicateValues" dxfId="136" priority="788"/>
  </conditionalFormatting>
  <conditionalFormatting sqref="B61:B66 B2:B6">
    <cfRule type="duplicateValues" dxfId="135" priority="1130"/>
    <cfRule type="duplicateValues" dxfId="134" priority="1131"/>
  </conditionalFormatting>
  <conditionalFormatting sqref="B67:C1048576 B45:C45 B55:C60 C43:C44 B36:C42 C61:C66 C46:C54 C11:C35 C2:C9">
    <cfRule type="duplicateValues" dxfId="133" priority="1136"/>
    <cfRule type="duplicateValues" dxfId="132" priority="1137"/>
    <cfRule type="duplicateValues" dxfId="131" priority="1138"/>
    <cfRule type="duplicateValues" dxfId="130" priority="1139"/>
  </conditionalFormatting>
  <conditionalFormatting sqref="C1">
    <cfRule type="duplicateValues" dxfId="129" priority="2"/>
  </conditionalFormatting>
  <conditionalFormatting sqref="L1:L66 F67:F1048576">
    <cfRule type="cellIs" dxfId="128" priority="15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4BEB88B-2362-42E2-832A-50A0A74A783F}">
          <x14:formula1>
            <xm:f>LISTAS!$A:$A</xm:f>
          </x14:formula1>
          <xm:sqref>U45 S1:S66</xm:sqref>
        </x14:dataValidation>
        <x14:dataValidation type="list" allowBlank="1" showInputMessage="1" showErrorMessage="1" xr:uid="{09603E7D-DA49-43D2-B891-B15AF2AA99E7}">
          <x14:formula1>
            <xm:f>LISTAS!$E:$E</xm:f>
          </x14:formula1>
          <xm:sqref>AB67:AB1048576 U1:U66</xm:sqref>
        </x14:dataValidation>
        <x14:dataValidation type="list" allowBlank="1" showInputMessage="1" showErrorMessage="1" xr:uid="{E41C31B6-3E34-4498-91C9-29D138F20776}">
          <x14:formula1>
            <xm:f>LISTAS!$C:$C</xm:f>
          </x14:formula1>
          <xm:sqref>T2:T66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292D-025F-40F9-AEA6-5AAE2579BFA0}">
  <sheetPr>
    <pageSetUpPr fitToPage="1"/>
  </sheetPr>
  <dimension ref="A1:AQ32"/>
  <sheetViews>
    <sheetView workbookViewId="0">
      <pane xSplit="5" topLeftCell="F1" activePane="topRight" state="frozen"/>
      <selection activeCell="AD34" sqref="AD34"/>
      <selection pane="topRight" activeCell="A7" sqref="A7"/>
    </sheetView>
  </sheetViews>
  <sheetFormatPr baseColWidth="10" defaultColWidth="11.42578125" defaultRowHeight="15.75" x14ac:dyDescent="0.25"/>
  <cols>
    <col min="1" max="1" width="14" style="1" bestFit="1" customWidth="1"/>
    <col min="2" max="2" width="19.28515625" style="1" bestFit="1" customWidth="1"/>
    <col min="3" max="3" width="12.140625" style="1" bestFit="1" customWidth="1"/>
    <col min="4" max="4" width="7" bestFit="1" customWidth="1"/>
    <col min="5" max="5" width="43.140625" style="1" bestFit="1" customWidth="1"/>
    <col min="6" max="6" width="13.85546875" style="15" bestFit="1" customWidth="1"/>
    <col min="7" max="7" width="7" bestFit="1" customWidth="1"/>
    <col min="8" max="8" width="9" bestFit="1" customWidth="1"/>
    <col min="9" max="9" width="8" bestFit="1" customWidth="1"/>
    <col min="10" max="10" width="11.28515625" style="14" bestFit="1" customWidth="1"/>
    <col min="11" max="11" width="12.85546875" bestFit="1" customWidth="1"/>
    <col min="12" max="12" width="10.42578125" style="5" bestFit="1" customWidth="1"/>
    <col min="13" max="13" width="6.28515625" bestFit="1" customWidth="1"/>
    <col min="14" max="14" width="10.140625" style="30" bestFit="1" customWidth="1"/>
    <col min="15" max="15" width="10.7109375" bestFit="1" customWidth="1"/>
    <col min="16" max="16" width="12.7109375" bestFit="1" customWidth="1"/>
    <col min="17" max="17" width="10" bestFit="1" customWidth="1"/>
    <col min="18" max="18" width="11.140625" bestFit="1" customWidth="1"/>
    <col min="19" max="19" width="12.7109375" bestFit="1" customWidth="1"/>
    <col min="20" max="20" width="13.140625" bestFit="1" customWidth="1"/>
    <col min="21" max="21" width="12.140625" bestFit="1" customWidth="1"/>
    <col min="22" max="22" width="14.85546875" bestFit="1" customWidth="1"/>
    <col min="23" max="23" width="8.85546875" style="3" bestFit="1" customWidth="1"/>
    <col min="24" max="24" width="13.7109375" style="3" bestFit="1" customWidth="1"/>
    <col min="25" max="25" width="8.28515625" style="3" bestFit="1" customWidth="1"/>
    <col min="26" max="26" width="14.42578125" bestFit="1" customWidth="1"/>
    <col min="27" max="27" width="9.7109375" bestFit="1" customWidth="1"/>
    <col min="28" max="28" width="14.85546875" bestFit="1" customWidth="1"/>
    <col min="29" max="29" width="10.85546875" style="3" bestFit="1" customWidth="1"/>
    <col min="30" max="30" width="10" bestFit="1" customWidth="1"/>
    <col min="31" max="31" width="20.28515625" bestFit="1" customWidth="1"/>
    <col min="32" max="32" width="13.42578125" style="84" bestFit="1" customWidth="1"/>
    <col min="33" max="33" width="11.7109375" bestFit="1" customWidth="1"/>
    <col min="34" max="34" width="19" style="2" bestFit="1" customWidth="1"/>
    <col min="35" max="35" width="8.85546875" bestFit="1" customWidth="1"/>
    <col min="36" max="36" width="13.85546875" bestFit="1" customWidth="1"/>
    <col min="37" max="37" width="14.42578125" bestFit="1" customWidth="1"/>
    <col min="38" max="38" width="13.85546875" bestFit="1" customWidth="1"/>
    <col min="39" max="39" width="11.140625" bestFit="1" customWidth="1"/>
    <col min="40" max="40" width="13" bestFit="1" customWidth="1"/>
    <col min="41" max="41" width="10.85546875" style="2" bestFit="1" customWidth="1"/>
    <col min="42" max="42" width="5.140625" bestFit="1" customWidth="1"/>
    <col min="43" max="43" width="12" bestFit="1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11822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x14ac:dyDescent="0.25">
      <c r="A2" s="1" t="s">
        <v>11292</v>
      </c>
      <c r="C2" t="str">
        <f t="shared" ref="C2:C30" si="0">CONCATENATE(LEFT(T2,3),RIGHT(A2,8))</f>
        <v>CIG77974389</v>
      </c>
      <c r="D2" t="s">
        <v>8689</v>
      </c>
      <c r="E2" s="1" t="s">
        <v>11293</v>
      </c>
      <c r="F2" s="61">
        <v>3400</v>
      </c>
      <c r="G2" s="3">
        <v>0</v>
      </c>
      <c r="H2" s="3">
        <v>0</v>
      </c>
      <c r="I2">
        <v>10</v>
      </c>
      <c r="J2">
        <v>1</v>
      </c>
      <c r="L2" s="66">
        <f>((ARTICULOS_OSLE[[#This Row],[P. Compra]]*(1+ARTICULOS_OSLE[[#This Row],[IVA]]%))/ARTICULOS_OSLE[[#This Row],[UnidFact]])+ARTICULOS_OSLE[[#This Row],[CostoFlete]]</f>
        <v>3400</v>
      </c>
      <c r="M2">
        <v>20</v>
      </c>
      <c r="N2" s="63">
        <f t="shared" ref="N2:N30" si="1">IF(L2&gt;=5,MROUND(L2/(1-M2/100),50),10)</f>
        <v>4250</v>
      </c>
      <c r="O2" s="3">
        <f>MROUND((ARTICULOS_OSLE[[#This Row],[Precio]]/0.6),50)</f>
        <v>7100</v>
      </c>
      <c r="P2" t="s">
        <v>8693</v>
      </c>
      <c r="Q2">
        <v>3</v>
      </c>
      <c r="R2" s="3">
        <f>ARTICULOS_OSLE[[#This Row],[Bulto]]+ARTICULOS_OSLE[[#This Row],[Minimo]]</f>
        <v>13</v>
      </c>
      <c r="S2" t="s">
        <v>46</v>
      </c>
      <c r="T2" t="s">
        <v>15</v>
      </c>
      <c r="U2" t="s">
        <v>67</v>
      </c>
      <c r="V2" t="s">
        <v>11294</v>
      </c>
      <c r="W2" t="s">
        <v>8692</v>
      </c>
      <c r="X2">
        <v>1</v>
      </c>
      <c r="Y2" s="75">
        <v>0</v>
      </c>
      <c r="AA2">
        <v>0</v>
      </c>
      <c r="AB2" s="80">
        <f>ARTICULOS_OSLE[[#This Row],[Costo]]*ARTICULOS_OSLE[[#This Row],[Pedido]]</f>
        <v>0</v>
      </c>
      <c r="AC2"/>
      <c r="AF2" s="2"/>
      <c r="AH2" s="2" t="str">
        <f>IF(AND(ARTICULOS_OSLE[[#This Row],[FechaVenc]]=0,ARTICULOS_OSLE[[#This Row],[DiasVenc]]=0),"",ARTICULOS_OSLE[[#This Row],[FechaVenc]]-ARTICULOS_OSLE[[#This Row],[DiasVenc]])</f>
        <v/>
      </c>
      <c r="AO2" s="30" t="s">
        <v>8689</v>
      </c>
    </row>
    <row r="3" spans="1:43" ht="15.75" customHeight="1" x14ac:dyDescent="0.25">
      <c r="A3" s="1" t="s">
        <v>11295</v>
      </c>
      <c r="C3" t="str">
        <f t="shared" si="0"/>
        <v>CIG77929891</v>
      </c>
      <c r="D3" t="s">
        <v>8689</v>
      </c>
      <c r="E3" s="1" t="s">
        <v>11296</v>
      </c>
      <c r="F3" s="61">
        <f>F2</f>
        <v>3400</v>
      </c>
      <c r="G3" s="3">
        <v>0</v>
      </c>
      <c r="H3" s="3">
        <v>0</v>
      </c>
      <c r="I3">
        <v>10</v>
      </c>
      <c r="J3">
        <v>1</v>
      </c>
      <c r="L3" s="66">
        <f>((ARTICULOS_OSLE[[#This Row],[P. Compra]]*(1+ARTICULOS_OSLE[[#This Row],[IVA]]%))/ARTICULOS_OSLE[[#This Row],[UnidFact]])+ARTICULOS_OSLE[[#This Row],[CostoFlete]]</f>
        <v>3400</v>
      </c>
      <c r="M3">
        <v>20</v>
      </c>
      <c r="N3" s="63">
        <f t="shared" si="1"/>
        <v>4250</v>
      </c>
      <c r="O3" s="3">
        <f>MROUND((ARTICULOS_OSLE[[#This Row],[Precio]]/0.6),50)</f>
        <v>7100</v>
      </c>
      <c r="P3" t="s">
        <v>8693</v>
      </c>
      <c r="Q3">
        <v>3</v>
      </c>
      <c r="R3" s="3">
        <f>ARTICULOS_OSLE[[#This Row],[Bulto]]+ARTICULOS_OSLE[[#This Row],[Minimo]]</f>
        <v>13</v>
      </c>
      <c r="S3" t="s">
        <v>46</v>
      </c>
      <c r="T3" t="s">
        <v>15</v>
      </c>
      <c r="U3" t="s">
        <v>67</v>
      </c>
      <c r="V3" t="s">
        <v>11294</v>
      </c>
      <c r="W3" t="s">
        <v>8692</v>
      </c>
      <c r="X3">
        <v>1</v>
      </c>
      <c r="Y3" s="75">
        <v>5</v>
      </c>
      <c r="AA3">
        <v>0</v>
      </c>
      <c r="AB3" s="80">
        <f>ARTICULOS_OSLE[[#This Row],[Costo]]*ARTICULOS_OSLE[[#This Row],[Pedido]]</f>
        <v>0</v>
      </c>
      <c r="AC3"/>
      <c r="AF3" s="2"/>
      <c r="AH3" s="2" t="str">
        <f>IF(AND(ARTICULOS_OSLE[[#This Row],[FechaVenc]]=0,ARTICULOS_OSLE[[#This Row],[DiasVenc]]=0),"",ARTICULOS_OSLE[[#This Row],[FechaVenc]]-ARTICULOS_OSLE[[#This Row],[DiasVenc]])</f>
        <v/>
      </c>
      <c r="AO3" s="30" t="s">
        <v>8689</v>
      </c>
    </row>
    <row r="4" spans="1:43" ht="15.75" customHeight="1" x14ac:dyDescent="0.25">
      <c r="A4" s="1" t="s">
        <v>11297</v>
      </c>
      <c r="C4" t="str">
        <f t="shared" si="0"/>
        <v>CIG77918482</v>
      </c>
      <c r="D4" t="s">
        <v>8689</v>
      </c>
      <c r="E4" s="1" t="s">
        <v>11298</v>
      </c>
      <c r="F4" s="61">
        <v>3110</v>
      </c>
      <c r="G4" s="3">
        <v>0</v>
      </c>
      <c r="H4" s="3">
        <v>0</v>
      </c>
      <c r="I4">
        <v>10</v>
      </c>
      <c r="J4">
        <v>1</v>
      </c>
      <c r="L4" s="66">
        <f>((ARTICULOS_OSLE[[#This Row],[P. Compra]]*(1+ARTICULOS_OSLE[[#This Row],[IVA]]%))/ARTICULOS_OSLE[[#This Row],[UnidFact]])+ARTICULOS_OSLE[[#This Row],[CostoFlete]]</f>
        <v>3110</v>
      </c>
      <c r="M4">
        <v>20</v>
      </c>
      <c r="N4" s="63">
        <f t="shared" si="1"/>
        <v>3900</v>
      </c>
      <c r="O4" s="3">
        <f>MROUND((ARTICULOS_OSLE[[#This Row],[Precio]]/0.6),50)</f>
        <v>6500</v>
      </c>
      <c r="P4" t="s">
        <v>8693</v>
      </c>
      <c r="Q4">
        <v>3</v>
      </c>
      <c r="R4" s="3">
        <f>ARTICULOS_OSLE[[#This Row],[Bulto]]+ARTICULOS_OSLE[[#This Row],[Minimo]]</f>
        <v>13</v>
      </c>
      <c r="S4" t="s">
        <v>46</v>
      </c>
      <c r="T4" t="s">
        <v>15</v>
      </c>
      <c r="U4" t="s">
        <v>67</v>
      </c>
      <c r="V4" t="s">
        <v>11299</v>
      </c>
      <c r="W4" t="s">
        <v>8692</v>
      </c>
      <c r="X4">
        <v>1</v>
      </c>
      <c r="Y4" s="75">
        <v>10</v>
      </c>
      <c r="AA4">
        <v>0</v>
      </c>
      <c r="AB4" s="80">
        <f>ARTICULOS_OSLE[[#This Row],[Costo]]*ARTICULOS_OSLE[[#This Row],[Pedido]]</f>
        <v>0</v>
      </c>
      <c r="AC4"/>
      <c r="AF4" s="2"/>
      <c r="AH4" s="2" t="str">
        <f>IF(AND(ARTICULOS_OSLE[[#This Row],[FechaVenc]]=0,ARTICULOS_OSLE[[#This Row],[DiasVenc]]=0),"",ARTICULOS_OSLE[[#This Row],[FechaVenc]]-ARTICULOS_OSLE[[#This Row],[DiasVenc]])</f>
        <v/>
      </c>
      <c r="AO4" s="30" t="s">
        <v>8689</v>
      </c>
    </row>
    <row r="5" spans="1:43" x14ac:dyDescent="0.25">
      <c r="A5" s="1" t="s">
        <v>11300</v>
      </c>
      <c r="C5" t="str">
        <f t="shared" si="0"/>
        <v>CIG77905819</v>
      </c>
      <c r="D5" t="s">
        <v>8689</v>
      </c>
      <c r="E5" s="1" t="s">
        <v>11301</v>
      </c>
      <c r="F5" s="61">
        <f>F4</f>
        <v>3110</v>
      </c>
      <c r="G5" s="3">
        <v>0</v>
      </c>
      <c r="H5" s="3">
        <v>0</v>
      </c>
      <c r="I5">
        <v>10</v>
      </c>
      <c r="J5">
        <v>1</v>
      </c>
      <c r="L5" s="66">
        <f>((ARTICULOS_OSLE[[#This Row],[P. Compra]]*(1+ARTICULOS_OSLE[[#This Row],[IVA]]%))/ARTICULOS_OSLE[[#This Row],[UnidFact]])+ARTICULOS_OSLE[[#This Row],[CostoFlete]]</f>
        <v>3110</v>
      </c>
      <c r="M5">
        <v>20</v>
      </c>
      <c r="N5" s="63">
        <f t="shared" si="1"/>
        <v>3900</v>
      </c>
      <c r="O5" s="3">
        <f>MROUND((ARTICULOS_OSLE[[#This Row],[Precio]]/0.6),50)</f>
        <v>6500</v>
      </c>
      <c r="P5" t="s">
        <v>8693</v>
      </c>
      <c r="Q5">
        <v>3</v>
      </c>
      <c r="R5" s="3">
        <f>ARTICULOS_OSLE[[#This Row],[Bulto]]+ARTICULOS_OSLE[[#This Row],[Minimo]]</f>
        <v>13</v>
      </c>
      <c r="S5" t="s">
        <v>46</v>
      </c>
      <c r="T5" t="s">
        <v>15</v>
      </c>
      <c r="U5" t="s">
        <v>67</v>
      </c>
      <c r="V5" t="s">
        <v>11299</v>
      </c>
      <c r="W5" t="s">
        <v>8692</v>
      </c>
      <c r="X5">
        <v>1</v>
      </c>
      <c r="Y5" s="75">
        <v>0</v>
      </c>
      <c r="AA5">
        <v>0</v>
      </c>
      <c r="AB5" s="80">
        <f>ARTICULOS_OSLE[[#This Row],[Costo]]*ARTICULOS_OSLE[[#This Row],[Pedido]]</f>
        <v>0</v>
      </c>
      <c r="AC5"/>
      <c r="AF5" s="2"/>
      <c r="AH5" s="2" t="str">
        <f>IF(AND(ARTICULOS_OSLE[[#This Row],[FechaVenc]]=0,ARTICULOS_OSLE[[#This Row],[DiasVenc]]=0),"",ARTICULOS_OSLE[[#This Row],[FechaVenc]]-ARTICULOS_OSLE[[#This Row],[DiasVenc]])</f>
        <v/>
      </c>
      <c r="AO5" s="30" t="s">
        <v>8689</v>
      </c>
    </row>
    <row r="6" spans="1:43" ht="15.75" customHeight="1" x14ac:dyDescent="0.25">
      <c r="A6" s="1" t="s">
        <v>11302</v>
      </c>
      <c r="C6" t="str">
        <f t="shared" si="0"/>
        <v>CIG77916433</v>
      </c>
      <c r="D6" t="s">
        <v>8689</v>
      </c>
      <c r="E6" s="1" t="s">
        <v>11303</v>
      </c>
      <c r="F6" s="61">
        <v>2790</v>
      </c>
      <c r="G6" s="3">
        <v>0</v>
      </c>
      <c r="H6" s="3">
        <v>0</v>
      </c>
      <c r="I6">
        <v>10</v>
      </c>
      <c r="J6">
        <v>1</v>
      </c>
      <c r="L6" s="66">
        <f>((ARTICULOS_OSLE[[#This Row],[P. Compra]]*(1+ARTICULOS_OSLE[[#This Row],[IVA]]%))/ARTICULOS_OSLE[[#This Row],[UnidFact]])+ARTICULOS_OSLE[[#This Row],[CostoFlete]]</f>
        <v>2790</v>
      </c>
      <c r="M6">
        <v>20</v>
      </c>
      <c r="N6" s="63">
        <f t="shared" si="1"/>
        <v>3500</v>
      </c>
      <c r="O6" s="3">
        <f>MROUND((ARTICULOS_OSLE[[#This Row],[Precio]]/0.6),50)</f>
        <v>5850</v>
      </c>
      <c r="P6" t="s">
        <v>8693</v>
      </c>
      <c r="Q6">
        <v>3</v>
      </c>
      <c r="R6" s="3">
        <f>ARTICULOS_OSLE[[#This Row],[Bulto]]+ARTICULOS_OSLE[[#This Row],[Minimo]]</f>
        <v>13</v>
      </c>
      <c r="S6" t="s">
        <v>46</v>
      </c>
      <c r="T6" t="s">
        <v>15</v>
      </c>
      <c r="U6" t="s">
        <v>67</v>
      </c>
      <c r="V6" t="s">
        <v>11299</v>
      </c>
      <c r="W6" t="s">
        <v>8692</v>
      </c>
      <c r="X6">
        <v>1</v>
      </c>
      <c r="Y6" s="75">
        <v>4</v>
      </c>
      <c r="AA6">
        <v>5</v>
      </c>
      <c r="AB6" s="80">
        <f>ARTICULOS_OSLE[[#This Row],[Costo]]*ARTICULOS_OSLE[[#This Row],[Pedido]]</f>
        <v>13950</v>
      </c>
      <c r="AC6"/>
      <c r="AF6" s="2"/>
      <c r="AH6" s="2" t="str">
        <f>IF(AND(ARTICULOS_OSLE[[#This Row],[FechaVenc]]=0,ARTICULOS_OSLE[[#This Row],[DiasVenc]]=0),"",ARTICULOS_OSLE[[#This Row],[FechaVenc]]-ARTICULOS_OSLE[[#This Row],[DiasVenc]])</f>
        <v/>
      </c>
      <c r="AO6" s="30" t="s">
        <v>8689</v>
      </c>
    </row>
    <row r="7" spans="1:43" ht="15.75" customHeight="1" x14ac:dyDescent="0.25">
      <c r="A7" s="1" t="s">
        <v>11304</v>
      </c>
      <c r="C7" t="str">
        <f t="shared" si="0"/>
        <v>CIG77983343</v>
      </c>
      <c r="D7" t="s">
        <v>8689</v>
      </c>
      <c r="E7" s="1" t="s">
        <v>11305</v>
      </c>
      <c r="F7" s="61">
        <v>1860</v>
      </c>
      <c r="G7" s="3">
        <v>0</v>
      </c>
      <c r="H7" s="3">
        <v>0</v>
      </c>
      <c r="I7">
        <v>10</v>
      </c>
      <c r="J7">
        <v>1</v>
      </c>
      <c r="L7" s="66">
        <f>((ARTICULOS_OSLE[[#This Row],[P. Compra]]*(1+ARTICULOS_OSLE[[#This Row],[IVA]]%))/ARTICULOS_OSLE[[#This Row],[UnidFact]])+ARTICULOS_OSLE[[#This Row],[CostoFlete]]</f>
        <v>1860</v>
      </c>
      <c r="M7">
        <v>20</v>
      </c>
      <c r="N7" s="63">
        <f t="shared" si="1"/>
        <v>2350</v>
      </c>
      <c r="O7" s="3">
        <f>MROUND((ARTICULOS_OSLE[[#This Row],[Precio]]/0.6),50)</f>
        <v>3900</v>
      </c>
      <c r="P7" t="s">
        <v>8693</v>
      </c>
      <c r="Q7">
        <v>3</v>
      </c>
      <c r="R7" s="3">
        <f>ARTICULOS_OSLE[[#This Row],[Bulto]]+ARTICULOS_OSLE[[#This Row],[Minimo]]</f>
        <v>13</v>
      </c>
      <c r="S7" t="s">
        <v>46</v>
      </c>
      <c r="T7" t="s">
        <v>15</v>
      </c>
      <c r="U7" t="s">
        <v>67</v>
      </c>
      <c r="V7" t="s">
        <v>11299</v>
      </c>
      <c r="W7" t="s">
        <v>8692</v>
      </c>
      <c r="X7">
        <v>1</v>
      </c>
      <c r="Y7" s="75">
        <v>0</v>
      </c>
      <c r="AA7">
        <v>10</v>
      </c>
      <c r="AB7" s="80">
        <f>ARTICULOS_OSLE[[#This Row],[Costo]]*ARTICULOS_OSLE[[#This Row],[Pedido]]</f>
        <v>18600</v>
      </c>
      <c r="AC7"/>
      <c r="AF7" s="2"/>
      <c r="AH7" s="2" t="str">
        <f>IF(AND(ARTICULOS_OSLE[[#This Row],[FechaVenc]]=0,ARTICULOS_OSLE[[#This Row],[DiasVenc]]=0),"",ARTICULOS_OSLE[[#This Row],[FechaVenc]]-ARTICULOS_OSLE[[#This Row],[DiasVenc]])</f>
        <v/>
      </c>
      <c r="AO7" s="30" t="s">
        <v>8689</v>
      </c>
    </row>
    <row r="8" spans="1:43" ht="15.75" customHeight="1" x14ac:dyDescent="0.25">
      <c r="A8" s="1" t="s">
        <v>11314</v>
      </c>
      <c r="C8" t="str">
        <f t="shared" si="0"/>
        <v>CIG77941015</v>
      </c>
      <c r="D8" t="s">
        <v>8689</v>
      </c>
      <c r="E8" s="1" t="s">
        <v>11315</v>
      </c>
      <c r="F8" s="61">
        <v>2800</v>
      </c>
      <c r="G8" s="3">
        <v>0</v>
      </c>
      <c r="H8" s="3">
        <v>0</v>
      </c>
      <c r="I8">
        <v>10</v>
      </c>
      <c r="J8">
        <v>1</v>
      </c>
      <c r="L8" s="66">
        <f>((ARTICULOS_OSLE[[#This Row],[P. Compra]]*(1+ARTICULOS_OSLE[[#This Row],[IVA]]%))/ARTICULOS_OSLE[[#This Row],[UnidFact]])+ARTICULOS_OSLE[[#This Row],[CostoFlete]]</f>
        <v>2800</v>
      </c>
      <c r="M8">
        <v>20</v>
      </c>
      <c r="N8" s="63">
        <f t="shared" si="1"/>
        <v>3500</v>
      </c>
      <c r="O8" s="3">
        <f>MROUND((ARTICULOS_OSLE[[#This Row],[Precio]]/0.6),50)</f>
        <v>5850</v>
      </c>
      <c r="P8" t="s">
        <v>8693</v>
      </c>
      <c r="Q8">
        <v>3</v>
      </c>
      <c r="R8" s="3">
        <f>ARTICULOS_OSLE[[#This Row],[Bulto]]+ARTICULOS_OSLE[[#This Row],[Minimo]]</f>
        <v>13</v>
      </c>
      <c r="S8" t="s">
        <v>46</v>
      </c>
      <c r="T8" t="s">
        <v>15</v>
      </c>
      <c r="U8" t="s">
        <v>67</v>
      </c>
      <c r="V8" t="s">
        <v>11299</v>
      </c>
      <c r="W8" t="s">
        <v>8692</v>
      </c>
      <c r="X8">
        <v>1</v>
      </c>
      <c r="Y8" s="75">
        <v>0</v>
      </c>
      <c r="AA8">
        <v>0</v>
      </c>
      <c r="AB8" s="80">
        <f>ARTICULOS_OSLE[[#This Row],[Costo]]*ARTICULOS_OSLE[[#This Row],[Pedido]]</f>
        <v>0</v>
      </c>
      <c r="AC8"/>
      <c r="AF8" s="2"/>
      <c r="AH8" s="2" t="str">
        <f>IF(AND(ARTICULOS_OSLE[[#This Row],[FechaVenc]]=0,ARTICULOS_OSLE[[#This Row],[DiasVenc]]=0),"",ARTICULOS_OSLE[[#This Row],[FechaVenc]]-ARTICULOS_OSLE[[#This Row],[DiasVenc]])</f>
        <v/>
      </c>
      <c r="AO8" s="30" t="s">
        <v>8689</v>
      </c>
    </row>
    <row r="9" spans="1:43" ht="15.75" customHeight="1" x14ac:dyDescent="0.25">
      <c r="A9" s="1" t="s">
        <v>11306</v>
      </c>
      <c r="C9" t="str">
        <f t="shared" si="0"/>
        <v>CIG77968401</v>
      </c>
      <c r="D9" t="s">
        <v>8689</v>
      </c>
      <c r="E9" s="1" t="s">
        <v>11307</v>
      </c>
      <c r="F9" s="61">
        <f>F8</f>
        <v>2800</v>
      </c>
      <c r="G9" s="3">
        <v>0</v>
      </c>
      <c r="H9" s="3">
        <v>0</v>
      </c>
      <c r="I9">
        <v>10</v>
      </c>
      <c r="J9">
        <v>1</v>
      </c>
      <c r="L9" s="66">
        <f>((ARTICULOS_OSLE[[#This Row],[P. Compra]]*(1+ARTICULOS_OSLE[[#This Row],[IVA]]%))/ARTICULOS_OSLE[[#This Row],[UnidFact]])+ARTICULOS_OSLE[[#This Row],[CostoFlete]]</f>
        <v>2800</v>
      </c>
      <c r="M9">
        <v>20</v>
      </c>
      <c r="N9" s="63">
        <f t="shared" si="1"/>
        <v>3500</v>
      </c>
      <c r="O9" s="3">
        <f>MROUND((ARTICULOS_OSLE[[#This Row],[Precio]]/0.6),50)</f>
        <v>5850</v>
      </c>
      <c r="P9" t="s">
        <v>8693</v>
      </c>
      <c r="Q9">
        <v>3</v>
      </c>
      <c r="R9" s="3">
        <f>ARTICULOS_OSLE[[#This Row],[Bulto]]+ARTICULOS_OSLE[[#This Row],[Minimo]]</f>
        <v>13</v>
      </c>
      <c r="S9" t="s">
        <v>46</v>
      </c>
      <c r="T9" t="s">
        <v>15</v>
      </c>
      <c r="U9" t="s">
        <v>67</v>
      </c>
      <c r="V9" t="s">
        <v>11299</v>
      </c>
      <c r="W9" t="s">
        <v>8692</v>
      </c>
      <c r="X9">
        <v>1</v>
      </c>
      <c r="Y9" s="75">
        <v>0</v>
      </c>
      <c r="AA9">
        <v>0</v>
      </c>
      <c r="AB9" s="80">
        <f>ARTICULOS_OSLE[[#This Row],[Costo]]*ARTICULOS_OSLE[[#This Row],[Pedido]]</f>
        <v>0</v>
      </c>
      <c r="AC9"/>
      <c r="AF9" s="2"/>
      <c r="AH9" s="2" t="str">
        <f>IF(AND(ARTICULOS_OSLE[[#This Row],[FechaVenc]]=0,ARTICULOS_OSLE[[#This Row],[DiasVenc]]=0),"",ARTICULOS_OSLE[[#This Row],[FechaVenc]]-ARTICULOS_OSLE[[#This Row],[DiasVenc]])</f>
        <v/>
      </c>
      <c r="AO9" s="30" t="s">
        <v>8689</v>
      </c>
    </row>
    <row r="10" spans="1:43" x14ac:dyDescent="0.25">
      <c r="A10" s="1" t="s">
        <v>11308</v>
      </c>
      <c r="C10" t="str">
        <f t="shared" si="0"/>
        <v>CIG77979667</v>
      </c>
      <c r="D10" t="s">
        <v>8689</v>
      </c>
      <c r="E10" s="1" t="s">
        <v>11309</v>
      </c>
      <c r="F10" s="61">
        <f>F9</f>
        <v>2800</v>
      </c>
      <c r="G10" s="3">
        <v>0</v>
      </c>
      <c r="H10" s="3">
        <v>0</v>
      </c>
      <c r="I10">
        <v>10</v>
      </c>
      <c r="J10">
        <v>1</v>
      </c>
      <c r="L10" s="66">
        <f>((ARTICULOS_OSLE[[#This Row],[P. Compra]]*(1+ARTICULOS_OSLE[[#This Row],[IVA]]%))/ARTICULOS_OSLE[[#This Row],[UnidFact]])+ARTICULOS_OSLE[[#This Row],[CostoFlete]]</f>
        <v>2800</v>
      </c>
      <c r="M10">
        <v>20</v>
      </c>
      <c r="N10" s="63">
        <f t="shared" si="1"/>
        <v>3500</v>
      </c>
      <c r="O10" s="3">
        <f>MROUND((ARTICULOS_OSLE[[#This Row],[Precio]]/0.6),50)</f>
        <v>5850</v>
      </c>
      <c r="P10" t="s">
        <v>8693</v>
      </c>
      <c r="Q10">
        <v>3</v>
      </c>
      <c r="R10" s="3">
        <f>ARTICULOS_OSLE[[#This Row],[Bulto]]+ARTICULOS_OSLE[[#This Row],[Minimo]]</f>
        <v>13</v>
      </c>
      <c r="S10" t="s">
        <v>46</v>
      </c>
      <c r="T10" t="s">
        <v>15</v>
      </c>
      <c r="U10" t="s">
        <v>67</v>
      </c>
      <c r="V10" t="s">
        <v>11299</v>
      </c>
      <c r="W10" t="s">
        <v>8692</v>
      </c>
      <c r="X10">
        <v>1</v>
      </c>
      <c r="Y10" s="75">
        <v>0</v>
      </c>
      <c r="AA10">
        <v>0</v>
      </c>
      <c r="AB10" s="80">
        <f>ARTICULOS_OSLE[[#This Row],[Costo]]*ARTICULOS_OSLE[[#This Row],[Pedido]]</f>
        <v>0</v>
      </c>
      <c r="AC10"/>
      <c r="AF10" s="2"/>
      <c r="AH10" s="2" t="str">
        <f>IF(AND(ARTICULOS_OSLE[[#This Row],[FechaVenc]]=0,ARTICULOS_OSLE[[#This Row],[DiasVenc]]=0),"",ARTICULOS_OSLE[[#This Row],[FechaVenc]]-ARTICULOS_OSLE[[#This Row],[DiasVenc]])</f>
        <v/>
      </c>
      <c r="AO10" s="30" t="s">
        <v>8689</v>
      </c>
    </row>
    <row r="11" spans="1:43" x14ac:dyDescent="0.25">
      <c r="A11" s="1" t="s">
        <v>11310</v>
      </c>
      <c r="C11" t="str">
        <f t="shared" si="0"/>
        <v>CIG77947550</v>
      </c>
      <c r="D11" t="s">
        <v>8689</v>
      </c>
      <c r="E11" s="1" t="s">
        <v>11311</v>
      </c>
      <c r="F11" s="61">
        <f>F10</f>
        <v>2800</v>
      </c>
      <c r="G11" s="3">
        <v>0</v>
      </c>
      <c r="H11" s="3">
        <v>0</v>
      </c>
      <c r="I11">
        <v>10</v>
      </c>
      <c r="J11">
        <v>1</v>
      </c>
      <c r="L11" s="66">
        <f>((ARTICULOS_OSLE[[#This Row],[P. Compra]]*(1+ARTICULOS_OSLE[[#This Row],[IVA]]%))/ARTICULOS_OSLE[[#This Row],[UnidFact]])+ARTICULOS_OSLE[[#This Row],[CostoFlete]]</f>
        <v>2800</v>
      </c>
      <c r="M11">
        <v>20</v>
      </c>
      <c r="N11" s="63">
        <f t="shared" si="1"/>
        <v>3500</v>
      </c>
      <c r="O11" s="3">
        <f>MROUND((ARTICULOS_OSLE[[#This Row],[Precio]]/0.6),50)</f>
        <v>5850</v>
      </c>
      <c r="P11" t="s">
        <v>8693</v>
      </c>
      <c r="Q11">
        <v>3</v>
      </c>
      <c r="R11" s="3">
        <f>ARTICULOS_OSLE[[#This Row],[Bulto]]+ARTICULOS_OSLE[[#This Row],[Minimo]]</f>
        <v>13</v>
      </c>
      <c r="S11" t="s">
        <v>46</v>
      </c>
      <c r="T11" t="s">
        <v>15</v>
      </c>
      <c r="U11" t="s">
        <v>67</v>
      </c>
      <c r="V11" t="s">
        <v>11299</v>
      </c>
      <c r="W11" t="s">
        <v>8692</v>
      </c>
      <c r="X11">
        <v>1</v>
      </c>
      <c r="Y11" s="75">
        <v>0</v>
      </c>
      <c r="AA11">
        <v>0</v>
      </c>
      <c r="AB11" s="80">
        <f>ARTICULOS_OSLE[[#This Row],[Costo]]*ARTICULOS_OSLE[[#This Row],[Pedido]]</f>
        <v>0</v>
      </c>
      <c r="AC11"/>
      <c r="AF11" s="2"/>
      <c r="AH11" s="2" t="str">
        <f>IF(AND(ARTICULOS_OSLE[[#This Row],[FechaVenc]]=0,ARTICULOS_OSLE[[#This Row],[DiasVenc]]=0),"",ARTICULOS_OSLE[[#This Row],[FechaVenc]]-ARTICULOS_OSLE[[#This Row],[DiasVenc]])</f>
        <v/>
      </c>
      <c r="AO11" s="30" t="s">
        <v>8689</v>
      </c>
    </row>
    <row r="12" spans="1:43" ht="15.75" customHeight="1" x14ac:dyDescent="0.25">
      <c r="A12" s="1" t="s">
        <v>11312</v>
      </c>
      <c r="C12" t="str">
        <f t="shared" si="0"/>
        <v>CIG77978141</v>
      </c>
      <c r="D12" t="s">
        <v>8689</v>
      </c>
      <c r="E12" s="1" t="s">
        <v>11313</v>
      </c>
      <c r="F12" s="61">
        <v>1690</v>
      </c>
      <c r="G12" s="3">
        <v>0</v>
      </c>
      <c r="H12" s="3">
        <v>0</v>
      </c>
      <c r="I12">
        <v>10</v>
      </c>
      <c r="J12">
        <v>1</v>
      </c>
      <c r="L12" s="66">
        <f>((ARTICULOS_OSLE[[#This Row],[P. Compra]]*(1+ARTICULOS_OSLE[[#This Row],[IVA]]%))/ARTICULOS_OSLE[[#This Row],[UnidFact]])+ARTICULOS_OSLE[[#This Row],[CostoFlete]]</f>
        <v>1690</v>
      </c>
      <c r="M12">
        <v>20</v>
      </c>
      <c r="N12" s="63">
        <f t="shared" si="1"/>
        <v>2100</v>
      </c>
      <c r="O12" s="3">
        <f>MROUND((ARTICULOS_OSLE[[#This Row],[Precio]]/0.6),50)</f>
        <v>3500</v>
      </c>
      <c r="P12" t="s">
        <v>8693</v>
      </c>
      <c r="Q12">
        <v>3</v>
      </c>
      <c r="R12" s="3">
        <f>ARTICULOS_OSLE[[#This Row],[Bulto]]+ARTICULOS_OSLE[[#This Row],[Minimo]]</f>
        <v>13</v>
      </c>
      <c r="S12" t="s">
        <v>46</v>
      </c>
      <c r="T12" t="s">
        <v>15</v>
      </c>
      <c r="U12" t="s">
        <v>67</v>
      </c>
      <c r="V12" t="s">
        <v>11299</v>
      </c>
      <c r="W12" t="s">
        <v>8692</v>
      </c>
      <c r="X12">
        <v>1</v>
      </c>
      <c r="Y12" s="75">
        <v>7</v>
      </c>
      <c r="AA12">
        <v>0</v>
      </c>
      <c r="AB12" s="80">
        <f>ARTICULOS_OSLE[[#This Row],[Costo]]*ARTICULOS_OSLE[[#This Row],[Pedido]]</f>
        <v>0</v>
      </c>
      <c r="AC12"/>
      <c r="AF12" s="2"/>
      <c r="AH12" s="2" t="str">
        <f>IF(AND(ARTICULOS_OSLE[[#This Row],[FechaVenc]]=0,ARTICULOS_OSLE[[#This Row],[DiasVenc]]=0),"",ARTICULOS_OSLE[[#This Row],[FechaVenc]]-ARTICULOS_OSLE[[#This Row],[DiasVenc]])</f>
        <v/>
      </c>
      <c r="AO12" s="30" t="s">
        <v>8689</v>
      </c>
    </row>
    <row r="13" spans="1:43" x14ac:dyDescent="0.25">
      <c r="A13" s="1" t="s">
        <v>11316</v>
      </c>
      <c r="C13" t="str">
        <f t="shared" si="0"/>
        <v>CIG77912954</v>
      </c>
      <c r="D13" t="s">
        <v>8689</v>
      </c>
      <c r="E13" s="1" t="s">
        <v>11317</v>
      </c>
      <c r="F13" s="61">
        <v>2730</v>
      </c>
      <c r="G13" s="3">
        <v>0</v>
      </c>
      <c r="H13" s="3">
        <v>0</v>
      </c>
      <c r="I13">
        <v>10</v>
      </c>
      <c r="J13">
        <v>1</v>
      </c>
      <c r="L13" s="66">
        <f>((ARTICULOS_OSLE[[#This Row],[P. Compra]]*(1+ARTICULOS_OSLE[[#This Row],[IVA]]%))/ARTICULOS_OSLE[[#This Row],[UnidFact]])+ARTICULOS_OSLE[[#This Row],[CostoFlete]]</f>
        <v>2730</v>
      </c>
      <c r="M13">
        <v>20</v>
      </c>
      <c r="N13" s="63">
        <f t="shared" si="1"/>
        <v>3400</v>
      </c>
      <c r="O13" s="3">
        <f>MROUND((ARTICULOS_OSLE[[#This Row],[Precio]]/0.6),50)</f>
        <v>5650</v>
      </c>
      <c r="P13" t="s">
        <v>8693</v>
      </c>
      <c r="Q13">
        <v>3</v>
      </c>
      <c r="R13" s="3">
        <f>ARTICULOS_OSLE[[#This Row],[Bulto]]+ARTICULOS_OSLE[[#This Row],[Minimo]]</f>
        <v>13</v>
      </c>
      <c r="S13" t="s">
        <v>46</v>
      </c>
      <c r="T13" t="s">
        <v>15</v>
      </c>
      <c r="U13" t="s">
        <v>67</v>
      </c>
      <c r="V13" t="s">
        <v>11294</v>
      </c>
      <c r="W13" t="s">
        <v>8692</v>
      </c>
      <c r="X13">
        <v>1</v>
      </c>
      <c r="Y13" s="75">
        <v>0</v>
      </c>
      <c r="AA13">
        <v>10</v>
      </c>
      <c r="AB13" s="80">
        <f>ARTICULOS_OSLE[[#This Row],[Costo]]*ARTICULOS_OSLE[[#This Row],[Pedido]]</f>
        <v>27300</v>
      </c>
      <c r="AC13"/>
      <c r="AF13" s="2"/>
      <c r="AH13" s="2" t="str">
        <f>IF(AND(ARTICULOS_OSLE[[#This Row],[FechaVenc]]=0,ARTICULOS_OSLE[[#This Row],[DiasVenc]]=0),"",ARTICULOS_OSLE[[#This Row],[FechaVenc]]-ARTICULOS_OSLE[[#This Row],[DiasVenc]])</f>
        <v/>
      </c>
      <c r="AO13" s="30" t="s">
        <v>8689</v>
      </c>
    </row>
    <row r="14" spans="1:43" x14ac:dyDescent="0.25">
      <c r="A14" s="1" t="s">
        <v>11318</v>
      </c>
      <c r="C14" t="str">
        <f t="shared" si="0"/>
        <v>CIG77912879</v>
      </c>
      <c r="D14" t="s">
        <v>8689</v>
      </c>
      <c r="E14" s="1" t="s">
        <v>11319</v>
      </c>
      <c r="F14" s="61">
        <v>2400</v>
      </c>
      <c r="G14" s="3">
        <v>0</v>
      </c>
      <c r="H14" s="3">
        <v>0</v>
      </c>
      <c r="I14">
        <v>10</v>
      </c>
      <c r="J14">
        <v>1</v>
      </c>
      <c r="L14" s="66">
        <f>((ARTICULOS_OSLE[[#This Row],[P. Compra]]*(1+ARTICULOS_OSLE[[#This Row],[IVA]]%))/ARTICULOS_OSLE[[#This Row],[UnidFact]])+ARTICULOS_OSLE[[#This Row],[CostoFlete]]</f>
        <v>2400</v>
      </c>
      <c r="M14">
        <v>20</v>
      </c>
      <c r="N14" s="63">
        <f t="shared" si="1"/>
        <v>3000</v>
      </c>
      <c r="O14" s="3">
        <f>MROUND((ARTICULOS_OSLE[[#This Row],[Precio]]/0.6),50)</f>
        <v>5000</v>
      </c>
      <c r="P14" t="s">
        <v>8693</v>
      </c>
      <c r="Q14">
        <v>3</v>
      </c>
      <c r="R14" s="3">
        <f>ARTICULOS_OSLE[[#This Row],[Bulto]]+ARTICULOS_OSLE[[#This Row],[Minimo]]</f>
        <v>13</v>
      </c>
      <c r="S14" t="s">
        <v>46</v>
      </c>
      <c r="T14" t="s">
        <v>15</v>
      </c>
      <c r="U14" t="s">
        <v>67</v>
      </c>
      <c r="V14" t="s">
        <v>11294</v>
      </c>
      <c r="W14" t="s">
        <v>8692</v>
      </c>
      <c r="X14">
        <v>1</v>
      </c>
      <c r="Y14" s="75">
        <v>0</v>
      </c>
      <c r="AA14">
        <v>10</v>
      </c>
      <c r="AB14" s="80">
        <f>ARTICULOS_OSLE[[#This Row],[Costo]]*ARTICULOS_OSLE[[#This Row],[Pedido]]</f>
        <v>24000</v>
      </c>
      <c r="AC14"/>
      <c r="AH14" s="2" t="str">
        <f>IF(AND(ARTICULOS_OSLE[[#This Row],[FechaVenc]]=0,ARTICULOS_OSLE[[#This Row],[DiasVenc]]=0),"",ARTICULOS_OSLE[[#This Row],[FechaVenc]]-ARTICULOS_OSLE[[#This Row],[DiasVenc]])</f>
        <v/>
      </c>
      <c r="AI14" s="3"/>
      <c r="AN14" s="2"/>
      <c r="AO14" s="30" t="s">
        <v>8689</v>
      </c>
    </row>
    <row r="15" spans="1:43" x14ac:dyDescent="0.25">
      <c r="A15" s="1" t="s">
        <v>11320</v>
      </c>
      <c r="C15" t="str">
        <f t="shared" si="0"/>
        <v>CIG77981813</v>
      </c>
      <c r="D15" t="s">
        <v>8689</v>
      </c>
      <c r="E15" s="1" t="s">
        <v>11321</v>
      </c>
      <c r="F15" s="61">
        <v>1620</v>
      </c>
      <c r="G15" s="3">
        <v>0</v>
      </c>
      <c r="H15" s="3">
        <v>0</v>
      </c>
      <c r="I15">
        <v>10</v>
      </c>
      <c r="J15">
        <v>1</v>
      </c>
      <c r="L15" s="66">
        <f>((ARTICULOS_OSLE[[#This Row],[P. Compra]]*(1+ARTICULOS_OSLE[[#This Row],[IVA]]%))/ARTICULOS_OSLE[[#This Row],[UnidFact]])+ARTICULOS_OSLE[[#This Row],[CostoFlete]]</f>
        <v>1620</v>
      </c>
      <c r="M15">
        <v>20</v>
      </c>
      <c r="N15" s="63">
        <f t="shared" si="1"/>
        <v>2050</v>
      </c>
      <c r="O15" s="3">
        <f>MROUND((ARTICULOS_OSLE[[#This Row],[Precio]]/0.6),50)</f>
        <v>3400</v>
      </c>
      <c r="P15" t="s">
        <v>8693</v>
      </c>
      <c r="Q15">
        <v>3</v>
      </c>
      <c r="R15" s="3">
        <f>ARTICULOS_OSLE[[#This Row],[Bulto]]+ARTICULOS_OSLE[[#This Row],[Minimo]]</f>
        <v>13</v>
      </c>
      <c r="S15" t="s">
        <v>46</v>
      </c>
      <c r="T15" t="s">
        <v>15</v>
      </c>
      <c r="U15" t="s">
        <v>67</v>
      </c>
      <c r="V15" t="s">
        <v>11294</v>
      </c>
      <c r="W15" t="s">
        <v>8692</v>
      </c>
      <c r="X15">
        <v>1</v>
      </c>
      <c r="Y15" s="75">
        <v>0</v>
      </c>
      <c r="AA15">
        <v>10</v>
      </c>
      <c r="AB15" s="80">
        <f>ARTICULOS_OSLE[[#This Row],[Costo]]*ARTICULOS_OSLE[[#This Row],[Pedido]]</f>
        <v>16200</v>
      </c>
      <c r="AC15"/>
      <c r="AF15" s="2"/>
      <c r="AH15" s="2" t="str">
        <f>IF(AND(ARTICULOS_OSLE[[#This Row],[FechaVenc]]=0,ARTICULOS_OSLE[[#This Row],[DiasVenc]]=0),"",ARTICULOS_OSLE[[#This Row],[FechaVenc]]-ARTICULOS_OSLE[[#This Row],[DiasVenc]])</f>
        <v/>
      </c>
      <c r="AO15" s="30" t="s">
        <v>8689</v>
      </c>
    </row>
    <row r="16" spans="1:43" x14ac:dyDescent="0.25">
      <c r="A16" s="1" t="s">
        <v>11324</v>
      </c>
      <c r="C16" t="str">
        <f t="shared" si="0"/>
        <v>CIG77940735</v>
      </c>
      <c r="D16" t="s">
        <v>8689</v>
      </c>
      <c r="E16" s="1" t="s">
        <v>11325</v>
      </c>
      <c r="F16" s="61">
        <v>2790</v>
      </c>
      <c r="G16" s="3">
        <v>0</v>
      </c>
      <c r="H16" s="3">
        <v>0</v>
      </c>
      <c r="I16">
        <v>10</v>
      </c>
      <c r="J16">
        <v>1</v>
      </c>
      <c r="L16" s="66">
        <f>((ARTICULOS_OSLE[[#This Row],[P. Compra]]*(1+ARTICULOS_OSLE[[#This Row],[IVA]]%))/ARTICULOS_OSLE[[#This Row],[UnidFact]])+ARTICULOS_OSLE[[#This Row],[CostoFlete]]</f>
        <v>2790</v>
      </c>
      <c r="M16">
        <v>20</v>
      </c>
      <c r="N16" s="63">
        <f t="shared" si="1"/>
        <v>3500</v>
      </c>
      <c r="O16" s="3">
        <f>MROUND((ARTICULOS_OSLE[[#This Row],[Precio]]/0.6),50)</f>
        <v>5850</v>
      </c>
      <c r="P16" t="s">
        <v>8693</v>
      </c>
      <c r="Q16">
        <v>3</v>
      </c>
      <c r="R16" s="3">
        <f>ARTICULOS_OSLE[[#This Row],[Bulto]]+ARTICULOS_OSLE[[#This Row],[Minimo]]</f>
        <v>13</v>
      </c>
      <c r="S16" t="s">
        <v>46</v>
      </c>
      <c r="T16" t="s">
        <v>15</v>
      </c>
      <c r="U16" t="s">
        <v>67</v>
      </c>
      <c r="V16" t="s">
        <v>11294</v>
      </c>
      <c r="W16" t="s">
        <v>8692</v>
      </c>
      <c r="X16">
        <v>1</v>
      </c>
      <c r="Y16" s="75">
        <v>2</v>
      </c>
      <c r="AA16">
        <v>10</v>
      </c>
      <c r="AB16" s="80">
        <f>ARTICULOS_OSLE[[#This Row],[Costo]]*ARTICULOS_OSLE[[#This Row],[Pedido]]</f>
        <v>27900</v>
      </c>
      <c r="AC16"/>
      <c r="AF16" s="2"/>
      <c r="AH16" s="2" t="str">
        <f>IF(AND(ARTICULOS_OSLE[[#This Row],[FechaVenc]]=0,ARTICULOS_OSLE[[#This Row],[DiasVenc]]=0),"",ARTICULOS_OSLE[[#This Row],[FechaVenc]]-ARTICULOS_OSLE[[#This Row],[DiasVenc]])</f>
        <v/>
      </c>
      <c r="AO16" s="30" t="s">
        <v>8689</v>
      </c>
    </row>
    <row r="17" spans="1:41" ht="15.75" customHeight="1" x14ac:dyDescent="0.25">
      <c r="A17" s="1" t="s">
        <v>11322</v>
      </c>
      <c r="C17" t="str">
        <f t="shared" si="0"/>
        <v>CIG77971913</v>
      </c>
      <c r="D17" t="s">
        <v>8689</v>
      </c>
      <c r="E17" s="1" t="s">
        <v>11323</v>
      </c>
      <c r="F17" s="61">
        <v>1670</v>
      </c>
      <c r="G17" s="3">
        <v>0</v>
      </c>
      <c r="H17" s="3">
        <v>0</v>
      </c>
      <c r="I17">
        <v>10</v>
      </c>
      <c r="J17">
        <v>1</v>
      </c>
      <c r="L17" s="66">
        <f>((ARTICULOS_OSLE[[#This Row],[P. Compra]]*(1+ARTICULOS_OSLE[[#This Row],[IVA]]%))/ARTICULOS_OSLE[[#This Row],[UnidFact]])+ARTICULOS_OSLE[[#This Row],[CostoFlete]]</f>
        <v>1670</v>
      </c>
      <c r="M17">
        <v>20</v>
      </c>
      <c r="N17" s="63">
        <f t="shared" si="1"/>
        <v>2100</v>
      </c>
      <c r="O17" s="3">
        <f>MROUND((ARTICULOS_OSLE[[#This Row],[Precio]]/0.6),50)</f>
        <v>3500</v>
      </c>
      <c r="P17" t="s">
        <v>8693</v>
      </c>
      <c r="Q17">
        <v>3</v>
      </c>
      <c r="R17" s="3">
        <f>ARTICULOS_OSLE[[#This Row],[Bulto]]+ARTICULOS_OSLE[[#This Row],[Minimo]]</f>
        <v>13</v>
      </c>
      <c r="S17" t="s">
        <v>46</v>
      </c>
      <c r="T17" t="s">
        <v>15</v>
      </c>
      <c r="U17" t="s">
        <v>67</v>
      </c>
      <c r="V17" t="s">
        <v>11294</v>
      </c>
      <c r="W17" t="s">
        <v>8692</v>
      </c>
      <c r="X17">
        <v>1</v>
      </c>
      <c r="Y17" s="75">
        <v>0</v>
      </c>
      <c r="AA17">
        <v>10</v>
      </c>
      <c r="AB17" s="80">
        <f>ARTICULOS_OSLE[[#This Row],[Costo]]*ARTICULOS_OSLE[[#This Row],[Pedido]]</f>
        <v>16700</v>
      </c>
      <c r="AC17"/>
      <c r="AF17" s="2"/>
      <c r="AH17" s="2" t="str">
        <f>IF(AND(ARTICULOS_OSLE[[#This Row],[FechaVenc]]=0,ARTICULOS_OSLE[[#This Row],[DiasVenc]]=0),"",ARTICULOS_OSLE[[#This Row],[FechaVenc]]-ARTICULOS_OSLE[[#This Row],[DiasVenc]])</f>
        <v/>
      </c>
      <c r="AO17" s="30" t="s">
        <v>8689</v>
      </c>
    </row>
    <row r="18" spans="1:41" ht="15.75" customHeight="1" x14ac:dyDescent="0.25">
      <c r="A18" s="1" t="s">
        <v>11328</v>
      </c>
      <c r="C18" t="str">
        <f t="shared" si="0"/>
        <v>CIG77987297</v>
      </c>
      <c r="D18" t="s">
        <v>8689</v>
      </c>
      <c r="E18" s="1" t="s">
        <v>11329</v>
      </c>
      <c r="F18" s="61">
        <v>2270</v>
      </c>
      <c r="G18" s="3">
        <v>0</v>
      </c>
      <c r="H18" s="3">
        <v>0</v>
      </c>
      <c r="I18">
        <v>10</v>
      </c>
      <c r="J18">
        <v>1</v>
      </c>
      <c r="L18" s="66">
        <f>((ARTICULOS_OSLE[[#This Row],[P. Compra]]*(1+ARTICULOS_OSLE[[#This Row],[IVA]]%))/ARTICULOS_OSLE[[#This Row],[UnidFact]])+ARTICULOS_OSLE[[#This Row],[CostoFlete]]</f>
        <v>2270</v>
      </c>
      <c r="M18">
        <v>20</v>
      </c>
      <c r="N18" s="63">
        <f t="shared" si="1"/>
        <v>2850</v>
      </c>
      <c r="O18" s="3">
        <f>MROUND((ARTICULOS_OSLE[[#This Row],[Precio]]/0.6),50)</f>
        <v>4750</v>
      </c>
      <c r="P18" t="s">
        <v>8693</v>
      </c>
      <c r="Q18">
        <v>3</v>
      </c>
      <c r="R18" s="3">
        <f>ARTICULOS_OSLE[[#This Row],[Bulto]]+ARTICULOS_OSLE[[#This Row],[Minimo]]</f>
        <v>13</v>
      </c>
      <c r="S18" t="s">
        <v>46</v>
      </c>
      <c r="T18" t="s">
        <v>15</v>
      </c>
      <c r="U18" t="s">
        <v>67</v>
      </c>
      <c r="V18" t="s">
        <v>11299</v>
      </c>
      <c r="W18" t="s">
        <v>8692</v>
      </c>
      <c r="X18">
        <v>1</v>
      </c>
      <c r="Y18" s="75">
        <v>0</v>
      </c>
      <c r="AA18">
        <v>5</v>
      </c>
      <c r="AB18" s="80">
        <f>ARTICULOS_OSLE[[#This Row],[Costo]]*ARTICULOS_OSLE[[#This Row],[Pedido]]</f>
        <v>11350</v>
      </c>
      <c r="AC18"/>
      <c r="AF18" s="2"/>
      <c r="AH18" s="2" t="str">
        <f>IF(AND(ARTICULOS_OSLE[[#This Row],[FechaVenc]]=0,ARTICULOS_OSLE[[#This Row],[DiasVenc]]=0),"",ARTICULOS_OSLE[[#This Row],[FechaVenc]]-ARTICULOS_OSLE[[#This Row],[DiasVenc]])</f>
        <v/>
      </c>
      <c r="AO18" s="30" t="s">
        <v>8689</v>
      </c>
    </row>
    <row r="19" spans="1:41" ht="15.75" customHeight="1" x14ac:dyDescent="0.25">
      <c r="A19" s="1" t="s">
        <v>11330</v>
      </c>
      <c r="C19" t="str">
        <f t="shared" si="0"/>
        <v>CIG77987310</v>
      </c>
      <c r="D19" t="s">
        <v>8689</v>
      </c>
      <c r="E19" s="1" t="s">
        <v>11331</v>
      </c>
      <c r="F19" s="61">
        <v>1930</v>
      </c>
      <c r="G19" s="3">
        <v>0</v>
      </c>
      <c r="H19" s="3">
        <v>0</v>
      </c>
      <c r="I19">
        <v>10</v>
      </c>
      <c r="J19">
        <v>1</v>
      </c>
      <c r="L19" s="66">
        <f>((ARTICULOS_OSLE[[#This Row],[P. Compra]]*(1+ARTICULOS_OSLE[[#This Row],[IVA]]%))/ARTICULOS_OSLE[[#This Row],[UnidFact]])+ARTICULOS_OSLE[[#This Row],[CostoFlete]]</f>
        <v>1930</v>
      </c>
      <c r="M19">
        <v>20</v>
      </c>
      <c r="N19" s="63">
        <f t="shared" si="1"/>
        <v>2400</v>
      </c>
      <c r="O19" s="3">
        <f>MROUND((ARTICULOS_OSLE[[#This Row],[Precio]]/0.6),50)</f>
        <v>4000</v>
      </c>
      <c r="P19" t="s">
        <v>8693</v>
      </c>
      <c r="Q19">
        <v>3</v>
      </c>
      <c r="R19" s="3">
        <f>ARTICULOS_OSLE[[#This Row],[Bulto]]+ARTICULOS_OSLE[[#This Row],[Minimo]]</f>
        <v>13</v>
      </c>
      <c r="S19" t="s">
        <v>46</v>
      </c>
      <c r="T19" t="s">
        <v>15</v>
      </c>
      <c r="U19" t="s">
        <v>67</v>
      </c>
      <c r="V19" t="s">
        <v>11299</v>
      </c>
      <c r="W19" t="s">
        <v>8692</v>
      </c>
      <c r="X19">
        <v>1</v>
      </c>
      <c r="Y19" s="75">
        <v>0</v>
      </c>
      <c r="AA19">
        <v>0</v>
      </c>
      <c r="AB19" s="80">
        <f>ARTICULOS_OSLE[[#This Row],[Costo]]*ARTICULOS_OSLE[[#This Row],[Pedido]]</f>
        <v>0</v>
      </c>
      <c r="AC19"/>
      <c r="AF19" s="2"/>
      <c r="AH19" s="2" t="str">
        <f>IF(AND(ARTICULOS_OSLE[[#This Row],[FechaVenc]]=0,ARTICULOS_OSLE[[#This Row],[DiasVenc]]=0),"",ARTICULOS_OSLE[[#This Row],[FechaVenc]]-ARTICULOS_OSLE[[#This Row],[DiasVenc]])</f>
        <v/>
      </c>
      <c r="AO19" s="30" t="s">
        <v>8689</v>
      </c>
    </row>
    <row r="20" spans="1:41" ht="15.75" customHeight="1" x14ac:dyDescent="0.25">
      <c r="A20" s="24" t="s">
        <v>12592</v>
      </c>
      <c r="C20" t="str">
        <f t="shared" si="0"/>
        <v>CIG77987303</v>
      </c>
      <c r="D20" t="s">
        <v>8689</v>
      </c>
      <c r="E20" s="1" t="s">
        <v>11332</v>
      </c>
      <c r="F20" s="61">
        <f>F19</f>
        <v>1930</v>
      </c>
      <c r="G20" s="3">
        <v>0</v>
      </c>
      <c r="H20" s="3">
        <v>0</v>
      </c>
      <c r="I20">
        <v>10</v>
      </c>
      <c r="J20">
        <v>1</v>
      </c>
      <c r="L20" s="66">
        <f>((ARTICULOS_OSLE[[#This Row],[P. Compra]]*(1+ARTICULOS_OSLE[[#This Row],[IVA]]%))/ARTICULOS_OSLE[[#This Row],[UnidFact]])+ARTICULOS_OSLE[[#This Row],[CostoFlete]]</f>
        <v>1930</v>
      </c>
      <c r="M20">
        <v>20</v>
      </c>
      <c r="N20" s="63">
        <f t="shared" si="1"/>
        <v>2400</v>
      </c>
      <c r="O20" s="3">
        <f>MROUND((ARTICULOS_OSLE[[#This Row],[Precio]]/0.6),50)</f>
        <v>4000</v>
      </c>
      <c r="P20" t="s">
        <v>8693</v>
      </c>
      <c r="Q20">
        <v>3</v>
      </c>
      <c r="R20" s="3">
        <f>ARTICULOS_OSLE[[#This Row],[Bulto]]+ARTICULOS_OSLE[[#This Row],[Minimo]]</f>
        <v>13</v>
      </c>
      <c r="S20" t="s">
        <v>46</v>
      </c>
      <c r="T20" t="s">
        <v>15</v>
      </c>
      <c r="U20" t="s">
        <v>67</v>
      </c>
      <c r="V20" t="s">
        <v>11299</v>
      </c>
      <c r="W20" t="s">
        <v>8692</v>
      </c>
      <c r="X20">
        <v>1</v>
      </c>
      <c r="Y20" s="75">
        <v>0</v>
      </c>
      <c r="AA20">
        <v>0</v>
      </c>
      <c r="AB20" s="80">
        <f>ARTICULOS_OSLE[[#This Row],[Costo]]*ARTICULOS_OSLE[[#This Row],[Pedido]]</f>
        <v>0</v>
      </c>
      <c r="AC20"/>
      <c r="AF20" s="2"/>
      <c r="AH20" s="2" t="str">
        <f>IF(AND(ARTICULOS_OSLE[[#This Row],[FechaVenc]]=0,ARTICULOS_OSLE[[#This Row],[DiasVenc]]=0),"",ARTICULOS_OSLE[[#This Row],[FechaVenc]]-ARTICULOS_OSLE[[#This Row],[DiasVenc]])</f>
        <v/>
      </c>
      <c r="AO20" s="30" t="s">
        <v>8689</v>
      </c>
    </row>
    <row r="21" spans="1:41" ht="15.75" customHeight="1" x14ac:dyDescent="0.25">
      <c r="A21" s="1" t="s">
        <v>11326</v>
      </c>
      <c r="C21" t="str">
        <f t="shared" si="0"/>
        <v>CIG77988225</v>
      </c>
      <c r="D21" t="s">
        <v>8689</v>
      </c>
      <c r="E21" s="1" t="s">
        <v>11327</v>
      </c>
      <c r="F21" s="61">
        <v>2300</v>
      </c>
      <c r="G21" s="3">
        <v>0</v>
      </c>
      <c r="H21" s="3">
        <v>0</v>
      </c>
      <c r="I21">
        <v>10</v>
      </c>
      <c r="J21">
        <v>1</v>
      </c>
      <c r="L21" s="66">
        <f>((ARTICULOS_OSLE[[#This Row],[P. Compra]]*(1+ARTICULOS_OSLE[[#This Row],[IVA]]%))/ARTICULOS_OSLE[[#This Row],[UnidFact]])+ARTICULOS_OSLE[[#This Row],[CostoFlete]]</f>
        <v>2300</v>
      </c>
      <c r="M21">
        <v>20</v>
      </c>
      <c r="N21" s="63">
        <f t="shared" si="1"/>
        <v>2900</v>
      </c>
      <c r="O21" s="3">
        <f>MROUND((ARTICULOS_OSLE[[#This Row],[Precio]]/0.6),50)</f>
        <v>4850</v>
      </c>
      <c r="P21" t="s">
        <v>8693</v>
      </c>
      <c r="Q21">
        <v>3</v>
      </c>
      <c r="R21" s="3">
        <f>ARTICULOS_OSLE[[#This Row],[Bulto]]+ARTICULOS_OSLE[[#This Row],[Minimo]]</f>
        <v>13</v>
      </c>
      <c r="S21" t="s">
        <v>46</v>
      </c>
      <c r="T21" t="s">
        <v>15</v>
      </c>
      <c r="U21" t="s">
        <v>67</v>
      </c>
      <c r="V21" t="s">
        <v>11299</v>
      </c>
      <c r="W21" t="s">
        <v>8692</v>
      </c>
      <c r="X21">
        <v>1</v>
      </c>
      <c r="Y21" s="75">
        <v>0</v>
      </c>
      <c r="AA21">
        <v>5</v>
      </c>
      <c r="AB21" s="80">
        <f>ARTICULOS_OSLE[[#This Row],[Costo]]*ARTICULOS_OSLE[[#This Row],[Pedido]]</f>
        <v>11500</v>
      </c>
      <c r="AC21"/>
      <c r="AF21" s="2"/>
      <c r="AH21" s="2" t="str">
        <f>IF(AND(ARTICULOS_OSLE[[#This Row],[FechaVenc]]=0,ARTICULOS_OSLE[[#This Row],[DiasVenc]]=0),"",ARTICULOS_OSLE[[#This Row],[FechaVenc]]-ARTICULOS_OSLE[[#This Row],[DiasVenc]])</f>
        <v/>
      </c>
      <c r="AO21" s="30" t="s">
        <v>8689</v>
      </c>
    </row>
    <row r="22" spans="1:41" x14ac:dyDescent="0.25">
      <c r="A22" s="1" t="s">
        <v>11336</v>
      </c>
      <c r="C22" t="str">
        <f t="shared" si="0"/>
        <v>CIG77953513</v>
      </c>
      <c r="D22" t="s">
        <v>8689</v>
      </c>
      <c r="E22" s="1" t="s">
        <v>11337</v>
      </c>
      <c r="F22" s="61">
        <v>1650</v>
      </c>
      <c r="G22" s="3">
        <v>0</v>
      </c>
      <c r="H22" s="3">
        <v>0</v>
      </c>
      <c r="I22">
        <v>10</v>
      </c>
      <c r="J22">
        <v>1</v>
      </c>
      <c r="L22" s="66">
        <f>((ARTICULOS_OSLE[[#This Row],[P. Compra]]*(1+ARTICULOS_OSLE[[#This Row],[IVA]]%))/ARTICULOS_OSLE[[#This Row],[UnidFact]])+ARTICULOS_OSLE[[#This Row],[CostoFlete]]</f>
        <v>1650</v>
      </c>
      <c r="M22">
        <v>20</v>
      </c>
      <c r="N22" s="63">
        <f t="shared" si="1"/>
        <v>2050</v>
      </c>
      <c r="O22" s="3">
        <f>MROUND((ARTICULOS_OSLE[[#This Row],[Precio]]/0.6),50)</f>
        <v>3400</v>
      </c>
      <c r="P22" t="s">
        <v>8693</v>
      </c>
      <c r="Q22">
        <v>3</v>
      </c>
      <c r="R22" s="3">
        <f>ARTICULOS_OSLE[[#This Row],[Bulto]]+ARTICULOS_OSLE[[#This Row],[Minimo]]</f>
        <v>13</v>
      </c>
      <c r="S22" t="s">
        <v>46</v>
      </c>
      <c r="T22" t="s">
        <v>15</v>
      </c>
      <c r="U22" t="s">
        <v>67</v>
      </c>
      <c r="V22" t="s">
        <v>11335</v>
      </c>
      <c r="W22" t="s">
        <v>8692</v>
      </c>
      <c r="X22">
        <v>1</v>
      </c>
      <c r="Y22" s="75">
        <v>0</v>
      </c>
      <c r="AA22">
        <v>10</v>
      </c>
      <c r="AB22" s="80">
        <f>ARTICULOS_OSLE[[#This Row],[Costo]]*ARTICULOS_OSLE[[#This Row],[Pedido]]</f>
        <v>16500</v>
      </c>
      <c r="AC22"/>
      <c r="AF22" s="2"/>
      <c r="AH22" s="2" t="str">
        <f>IF(AND(ARTICULOS_OSLE[[#This Row],[FechaVenc]]=0,ARTICULOS_OSLE[[#This Row],[DiasVenc]]=0),"",ARTICULOS_OSLE[[#This Row],[FechaVenc]]-ARTICULOS_OSLE[[#This Row],[DiasVenc]])</f>
        <v/>
      </c>
      <c r="AO22" s="30" t="s">
        <v>8689</v>
      </c>
    </row>
    <row r="23" spans="1:41" x14ac:dyDescent="0.25">
      <c r="A23" s="1" t="s">
        <v>11338</v>
      </c>
      <c r="C23" t="str">
        <f t="shared" si="0"/>
        <v>CIG77953483</v>
      </c>
      <c r="D23" t="s">
        <v>8689</v>
      </c>
      <c r="E23" s="1" t="s">
        <v>11339</v>
      </c>
      <c r="F23" s="61">
        <v>1140</v>
      </c>
      <c r="G23" s="3">
        <v>0</v>
      </c>
      <c r="H23" s="3">
        <v>0</v>
      </c>
      <c r="I23">
        <v>10</v>
      </c>
      <c r="J23">
        <v>1</v>
      </c>
      <c r="L23" s="66">
        <f>((ARTICULOS_OSLE[[#This Row],[P. Compra]]*(1+ARTICULOS_OSLE[[#This Row],[IVA]]%))/ARTICULOS_OSLE[[#This Row],[UnidFact]])+ARTICULOS_OSLE[[#This Row],[CostoFlete]]</f>
        <v>1140</v>
      </c>
      <c r="M23">
        <v>20</v>
      </c>
      <c r="N23" s="63">
        <f t="shared" si="1"/>
        <v>1450</v>
      </c>
      <c r="O23" s="3">
        <f>MROUND((ARTICULOS_OSLE[[#This Row],[Precio]]/0.6),50)</f>
        <v>2400</v>
      </c>
      <c r="P23" t="s">
        <v>8693</v>
      </c>
      <c r="Q23">
        <v>3</v>
      </c>
      <c r="R23" s="3">
        <f>ARTICULOS_OSLE[[#This Row],[Bulto]]+ARTICULOS_OSLE[[#This Row],[Minimo]]</f>
        <v>13</v>
      </c>
      <c r="S23" t="s">
        <v>46</v>
      </c>
      <c r="T23" t="s">
        <v>15</v>
      </c>
      <c r="U23" t="s">
        <v>67</v>
      </c>
      <c r="V23" t="s">
        <v>11335</v>
      </c>
      <c r="W23" t="s">
        <v>8692</v>
      </c>
      <c r="X23">
        <v>1</v>
      </c>
      <c r="Y23" s="75">
        <v>1</v>
      </c>
      <c r="AA23">
        <v>10</v>
      </c>
      <c r="AB23" s="80">
        <f>ARTICULOS_OSLE[[#This Row],[Costo]]*ARTICULOS_OSLE[[#This Row],[Pedido]]</f>
        <v>11400</v>
      </c>
      <c r="AC23"/>
      <c r="AF23" s="2"/>
      <c r="AH23" s="2" t="str">
        <f>IF(AND(ARTICULOS_OSLE[[#This Row],[FechaVenc]]=0,ARTICULOS_OSLE[[#This Row],[DiasVenc]]=0),"",ARTICULOS_OSLE[[#This Row],[FechaVenc]]-ARTICULOS_OSLE[[#This Row],[DiasVenc]])</f>
        <v/>
      </c>
      <c r="AO23" s="30" t="s">
        <v>8689</v>
      </c>
    </row>
    <row r="24" spans="1:41" x14ac:dyDescent="0.25">
      <c r="A24" s="1" t="s">
        <v>11340</v>
      </c>
      <c r="C24" t="str">
        <f t="shared" si="0"/>
        <v>CIG77982476</v>
      </c>
      <c r="D24" t="s">
        <v>8689</v>
      </c>
      <c r="E24" s="1" t="s">
        <v>11341</v>
      </c>
      <c r="F24" s="61">
        <v>2300</v>
      </c>
      <c r="G24" s="3">
        <v>0</v>
      </c>
      <c r="H24" s="3">
        <v>0</v>
      </c>
      <c r="I24">
        <v>10</v>
      </c>
      <c r="J24">
        <v>1</v>
      </c>
      <c r="L24" s="66">
        <f>((ARTICULOS_OSLE[[#This Row],[P. Compra]]*(1+ARTICULOS_OSLE[[#This Row],[IVA]]%))/ARTICULOS_OSLE[[#This Row],[UnidFact]])+ARTICULOS_OSLE[[#This Row],[CostoFlete]]</f>
        <v>2300</v>
      </c>
      <c r="M24">
        <v>20</v>
      </c>
      <c r="N24" s="63">
        <f t="shared" si="1"/>
        <v>2900</v>
      </c>
      <c r="O24" s="3">
        <f>MROUND((ARTICULOS_OSLE[[#This Row],[Precio]]/0.6),50)</f>
        <v>4850</v>
      </c>
      <c r="P24" t="s">
        <v>8693</v>
      </c>
      <c r="Q24">
        <v>3</v>
      </c>
      <c r="R24" s="3">
        <f>ARTICULOS_OSLE[[#This Row],[Bulto]]+ARTICULOS_OSLE[[#This Row],[Minimo]]</f>
        <v>13</v>
      </c>
      <c r="S24" t="s">
        <v>46</v>
      </c>
      <c r="T24" t="s">
        <v>15</v>
      </c>
      <c r="U24" t="s">
        <v>67</v>
      </c>
      <c r="V24" t="s">
        <v>11335</v>
      </c>
      <c r="W24" t="s">
        <v>8692</v>
      </c>
      <c r="X24">
        <v>1</v>
      </c>
      <c r="Y24" s="75">
        <v>0</v>
      </c>
      <c r="AA24">
        <v>0</v>
      </c>
      <c r="AB24" s="80">
        <f>ARTICULOS_OSLE[[#This Row],[Costo]]*ARTICULOS_OSLE[[#This Row],[Pedido]]</f>
        <v>0</v>
      </c>
      <c r="AC24"/>
      <c r="AF24" s="2"/>
      <c r="AH24" s="2" t="str">
        <f>IF(AND(ARTICULOS_OSLE[[#This Row],[FechaVenc]]=0,ARTICULOS_OSLE[[#This Row],[DiasVenc]]=0),"",ARTICULOS_OSLE[[#This Row],[FechaVenc]]-ARTICULOS_OSLE[[#This Row],[DiasVenc]])</f>
        <v/>
      </c>
      <c r="AO24" s="30" t="s">
        <v>8689</v>
      </c>
    </row>
    <row r="25" spans="1:41" ht="15.75" customHeight="1" x14ac:dyDescent="0.25">
      <c r="A25" s="1" t="s">
        <v>11333</v>
      </c>
      <c r="C25" t="str">
        <f t="shared" si="0"/>
        <v>CIG77953476</v>
      </c>
      <c r="D25" t="s">
        <v>8689</v>
      </c>
      <c r="E25" s="1" t="s">
        <v>11334</v>
      </c>
      <c r="F25" s="61">
        <f>F24</f>
        <v>2300</v>
      </c>
      <c r="G25" s="3">
        <v>0</v>
      </c>
      <c r="H25" s="3">
        <v>0</v>
      </c>
      <c r="I25">
        <v>10</v>
      </c>
      <c r="J25">
        <v>1</v>
      </c>
      <c r="L25" s="66">
        <f>((ARTICULOS_OSLE[[#This Row],[P. Compra]]*(1+ARTICULOS_OSLE[[#This Row],[IVA]]%))/ARTICULOS_OSLE[[#This Row],[UnidFact]])+ARTICULOS_OSLE[[#This Row],[CostoFlete]]</f>
        <v>2300</v>
      </c>
      <c r="M25">
        <v>20</v>
      </c>
      <c r="N25" s="63">
        <f t="shared" si="1"/>
        <v>2900</v>
      </c>
      <c r="O25" s="3">
        <f>MROUND((ARTICULOS_OSLE[[#This Row],[Precio]]/0.6),50)</f>
        <v>4850</v>
      </c>
      <c r="P25" t="s">
        <v>8693</v>
      </c>
      <c r="Q25">
        <v>3</v>
      </c>
      <c r="R25" s="3">
        <f>ARTICULOS_OSLE[[#This Row],[Bulto]]+ARTICULOS_OSLE[[#This Row],[Minimo]]</f>
        <v>13</v>
      </c>
      <c r="S25" t="s">
        <v>46</v>
      </c>
      <c r="T25" t="s">
        <v>15</v>
      </c>
      <c r="U25" t="s">
        <v>67</v>
      </c>
      <c r="V25" t="s">
        <v>11335</v>
      </c>
      <c r="W25" t="s">
        <v>8692</v>
      </c>
      <c r="X25">
        <v>1</v>
      </c>
      <c r="Y25" s="75">
        <v>0</v>
      </c>
      <c r="AA25">
        <v>5</v>
      </c>
      <c r="AB25" s="80">
        <f>ARTICULOS_OSLE[[#This Row],[Costo]]*ARTICULOS_OSLE[[#This Row],[Pedido]]</f>
        <v>11500</v>
      </c>
      <c r="AC25"/>
      <c r="AF25" s="2"/>
      <c r="AH25" s="2" t="str">
        <f>IF(AND(ARTICULOS_OSLE[[#This Row],[FechaVenc]]=0,ARTICULOS_OSLE[[#This Row],[DiasVenc]]=0),"",ARTICULOS_OSLE[[#This Row],[FechaVenc]]-ARTICULOS_OSLE[[#This Row],[DiasVenc]])</f>
        <v/>
      </c>
      <c r="AO25" s="30" t="s">
        <v>8689</v>
      </c>
    </row>
    <row r="26" spans="1:41" ht="15.75" customHeight="1" x14ac:dyDescent="0.25">
      <c r="A26" s="1" t="s">
        <v>11342</v>
      </c>
      <c r="C26" t="str">
        <f t="shared" si="0"/>
        <v>CIG77973887</v>
      </c>
      <c r="D26" t="s">
        <v>8689</v>
      </c>
      <c r="E26" s="1" t="s">
        <v>11343</v>
      </c>
      <c r="F26" s="61">
        <f>F25</f>
        <v>2300</v>
      </c>
      <c r="G26" s="3">
        <v>0</v>
      </c>
      <c r="H26" s="3">
        <v>0</v>
      </c>
      <c r="I26">
        <v>10</v>
      </c>
      <c r="J26">
        <v>1</v>
      </c>
      <c r="L26" s="66">
        <f>((ARTICULOS_OSLE[[#This Row],[P. Compra]]*(1+ARTICULOS_OSLE[[#This Row],[IVA]]%))/ARTICULOS_OSLE[[#This Row],[UnidFact]])+ARTICULOS_OSLE[[#This Row],[CostoFlete]]</f>
        <v>2300</v>
      </c>
      <c r="M26">
        <v>20</v>
      </c>
      <c r="N26" s="63">
        <f t="shared" si="1"/>
        <v>2900</v>
      </c>
      <c r="O26" s="3">
        <f>MROUND((ARTICULOS_OSLE[[#This Row],[Precio]]/0.6),50)</f>
        <v>4850</v>
      </c>
      <c r="P26" t="s">
        <v>8693</v>
      </c>
      <c r="Q26">
        <v>3</v>
      </c>
      <c r="R26" s="3">
        <f>ARTICULOS_OSLE[[#This Row],[Bulto]]+ARTICULOS_OSLE[[#This Row],[Minimo]]</f>
        <v>13</v>
      </c>
      <c r="S26" t="s">
        <v>46</v>
      </c>
      <c r="T26" t="s">
        <v>15</v>
      </c>
      <c r="U26" t="s">
        <v>67</v>
      </c>
      <c r="V26" t="s">
        <v>11335</v>
      </c>
      <c r="W26" t="s">
        <v>8692</v>
      </c>
      <c r="X26">
        <v>1</v>
      </c>
      <c r="Y26" s="75">
        <v>0</v>
      </c>
      <c r="AA26">
        <v>0</v>
      </c>
      <c r="AB26" s="80">
        <f>ARTICULOS_OSLE[[#This Row],[Costo]]*ARTICULOS_OSLE[[#This Row],[Pedido]]</f>
        <v>0</v>
      </c>
      <c r="AC26"/>
      <c r="AF26" s="2"/>
      <c r="AH26" s="2" t="str">
        <f>IF(AND(ARTICULOS_OSLE[[#This Row],[FechaVenc]]=0,ARTICULOS_OSLE[[#This Row],[DiasVenc]]=0),"",ARTICULOS_OSLE[[#This Row],[FechaVenc]]-ARTICULOS_OSLE[[#This Row],[DiasVenc]])</f>
        <v/>
      </c>
      <c r="AO26" s="30" t="s">
        <v>8689</v>
      </c>
    </row>
    <row r="27" spans="1:41" x14ac:dyDescent="0.25">
      <c r="A27" s="1" t="s">
        <v>11344</v>
      </c>
      <c r="C27" t="str">
        <f t="shared" si="0"/>
        <v>CIG77953957</v>
      </c>
      <c r="D27" t="s">
        <v>8689</v>
      </c>
      <c r="E27" s="1" t="s">
        <v>11345</v>
      </c>
      <c r="F27" s="61">
        <f>F26</f>
        <v>2300</v>
      </c>
      <c r="G27" s="3">
        <v>0</v>
      </c>
      <c r="H27" s="3">
        <v>0</v>
      </c>
      <c r="I27">
        <v>10</v>
      </c>
      <c r="J27">
        <v>1</v>
      </c>
      <c r="L27" s="66">
        <f>((ARTICULOS_OSLE[[#This Row],[P. Compra]]*(1+ARTICULOS_OSLE[[#This Row],[IVA]]%))/ARTICULOS_OSLE[[#This Row],[UnidFact]])+ARTICULOS_OSLE[[#This Row],[CostoFlete]]</f>
        <v>2300</v>
      </c>
      <c r="M27">
        <v>20</v>
      </c>
      <c r="N27" s="63">
        <f t="shared" si="1"/>
        <v>2900</v>
      </c>
      <c r="O27" s="3">
        <f>MROUND((ARTICULOS_OSLE[[#This Row],[Precio]]/0.6),50)</f>
        <v>4850</v>
      </c>
      <c r="P27" t="s">
        <v>8693</v>
      </c>
      <c r="Q27">
        <v>3</v>
      </c>
      <c r="R27" s="3">
        <f>ARTICULOS_OSLE[[#This Row],[Bulto]]+ARTICULOS_OSLE[[#This Row],[Minimo]]</f>
        <v>13</v>
      </c>
      <c r="S27" t="s">
        <v>46</v>
      </c>
      <c r="T27" t="s">
        <v>15</v>
      </c>
      <c r="U27" t="s">
        <v>67</v>
      </c>
      <c r="V27" t="s">
        <v>11335</v>
      </c>
      <c r="W27" t="s">
        <v>8692</v>
      </c>
      <c r="X27">
        <v>1</v>
      </c>
      <c r="Y27" s="75">
        <v>0</v>
      </c>
      <c r="AA27">
        <v>5</v>
      </c>
      <c r="AB27" s="80">
        <f>ARTICULOS_OSLE[[#This Row],[Costo]]*ARTICULOS_OSLE[[#This Row],[Pedido]]</f>
        <v>11500</v>
      </c>
      <c r="AC27"/>
      <c r="AF27" s="2"/>
      <c r="AH27" s="2" t="str">
        <f>IF(AND(ARTICULOS_OSLE[[#This Row],[FechaVenc]]=0,ARTICULOS_OSLE[[#This Row],[DiasVenc]]=0),"",ARTICULOS_OSLE[[#This Row],[FechaVenc]]-ARTICULOS_OSLE[[#This Row],[DiasVenc]])</f>
        <v/>
      </c>
      <c r="AO27" s="30" t="s">
        <v>8689</v>
      </c>
    </row>
    <row r="28" spans="1:41" x14ac:dyDescent="0.25">
      <c r="A28" s="1" t="s">
        <v>11346</v>
      </c>
      <c r="C28" t="str">
        <f t="shared" si="0"/>
        <v>CIG77983916</v>
      </c>
      <c r="D28" t="s">
        <v>8689</v>
      </c>
      <c r="E28" s="1" t="s">
        <v>11347</v>
      </c>
      <c r="F28" s="61">
        <v>1770</v>
      </c>
      <c r="G28" s="3">
        <v>0</v>
      </c>
      <c r="H28" s="3">
        <v>0</v>
      </c>
      <c r="I28">
        <v>10</v>
      </c>
      <c r="J28">
        <v>1</v>
      </c>
      <c r="L28" s="66">
        <f>((ARTICULOS_OSLE[[#This Row],[P. Compra]]*(1+ARTICULOS_OSLE[[#This Row],[IVA]]%))/ARTICULOS_OSLE[[#This Row],[UnidFact]])+ARTICULOS_OSLE[[#This Row],[CostoFlete]]</f>
        <v>1770</v>
      </c>
      <c r="M28">
        <v>20</v>
      </c>
      <c r="N28" s="63">
        <f t="shared" si="1"/>
        <v>2200</v>
      </c>
      <c r="O28" s="3">
        <f>MROUND((ARTICULOS_OSLE[[#This Row],[Precio]]/0.6),50)</f>
        <v>3650</v>
      </c>
      <c r="P28" t="s">
        <v>8693</v>
      </c>
      <c r="Q28">
        <v>3</v>
      </c>
      <c r="R28" s="3">
        <f>ARTICULOS_OSLE[[#This Row],[Bulto]]+ARTICULOS_OSLE[[#This Row],[Minimo]]</f>
        <v>13</v>
      </c>
      <c r="S28" t="s">
        <v>46</v>
      </c>
      <c r="T28" t="s">
        <v>15</v>
      </c>
      <c r="U28" t="s">
        <v>67</v>
      </c>
      <c r="V28" t="s">
        <v>11335</v>
      </c>
      <c r="W28" t="s">
        <v>8692</v>
      </c>
      <c r="X28">
        <v>1</v>
      </c>
      <c r="Y28" s="75">
        <v>0</v>
      </c>
      <c r="AA28">
        <v>0</v>
      </c>
      <c r="AB28" s="80">
        <f>ARTICULOS_OSLE[[#This Row],[Costo]]*ARTICULOS_OSLE[[#This Row],[Pedido]]</f>
        <v>0</v>
      </c>
      <c r="AC28"/>
      <c r="AF28" s="2"/>
      <c r="AH28" s="2" t="str">
        <f>IF(AND(ARTICULOS_OSLE[[#This Row],[FechaVenc]]=0,ARTICULOS_OSLE[[#This Row],[DiasVenc]]=0),"",ARTICULOS_OSLE[[#This Row],[FechaVenc]]-ARTICULOS_OSLE[[#This Row],[DiasVenc]])</f>
        <v/>
      </c>
      <c r="AO28" s="30" t="s">
        <v>8689</v>
      </c>
    </row>
    <row r="29" spans="1:41" x14ac:dyDescent="0.25">
      <c r="A29" s="1" t="s">
        <v>11348</v>
      </c>
      <c r="C29" t="str">
        <f t="shared" si="0"/>
        <v>CIG77953964</v>
      </c>
      <c r="D29" t="s">
        <v>8689</v>
      </c>
      <c r="E29" s="1" t="s">
        <v>11349</v>
      </c>
      <c r="F29" s="61">
        <v>1390</v>
      </c>
      <c r="G29" s="3">
        <v>0</v>
      </c>
      <c r="H29" s="3">
        <v>0</v>
      </c>
      <c r="I29">
        <v>10</v>
      </c>
      <c r="J29">
        <v>1</v>
      </c>
      <c r="L29" s="66">
        <f>((ARTICULOS_OSLE[[#This Row],[P. Compra]]*(1+ARTICULOS_OSLE[[#This Row],[IVA]]%))/ARTICULOS_OSLE[[#This Row],[UnidFact]])+ARTICULOS_OSLE[[#This Row],[CostoFlete]]</f>
        <v>1390</v>
      </c>
      <c r="M29">
        <v>20</v>
      </c>
      <c r="N29" s="63">
        <f t="shared" si="1"/>
        <v>1750</v>
      </c>
      <c r="O29" s="3">
        <f>MROUND((ARTICULOS_OSLE[[#This Row],[Precio]]/0.6),50)</f>
        <v>2900</v>
      </c>
      <c r="P29" t="s">
        <v>8693</v>
      </c>
      <c r="Q29">
        <v>3</v>
      </c>
      <c r="R29" s="3">
        <f>ARTICULOS_OSLE[[#This Row],[Bulto]]+ARTICULOS_OSLE[[#This Row],[Minimo]]</f>
        <v>13</v>
      </c>
      <c r="S29" t="s">
        <v>46</v>
      </c>
      <c r="T29" t="s">
        <v>15</v>
      </c>
      <c r="U29" t="s">
        <v>67</v>
      </c>
      <c r="V29" t="s">
        <v>11335</v>
      </c>
      <c r="W29" t="s">
        <v>8692</v>
      </c>
      <c r="X29">
        <v>1</v>
      </c>
      <c r="Y29" s="75">
        <v>3</v>
      </c>
      <c r="AA29">
        <v>10</v>
      </c>
      <c r="AB29" s="80">
        <f>ARTICULOS_OSLE[[#This Row],[Costo]]*ARTICULOS_OSLE[[#This Row],[Pedido]]</f>
        <v>13900</v>
      </c>
      <c r="AC29"/>
      <c r="AF29" s="2"/>
      <c r="AH29" s="2" t="str">
        <f>IF(AND(ARTICULOS_OSLE[[#This Row],[FechaVenc]]=0,ARTICULOS_OSLE[[#This Row],[DiasVenc]]=0),"",ARTICULOS_OSLE[[#This Row],[FechaVenc]]-ARTICULOS_OSLE[[#This Row],[DiasVenc]])</f>
        <v/>
      </c>
      <c r="AO29" s="30" t="s">
        <v>8689</v>
      </c>
    </row>
    <row r="30" spans="1:41" x14ac:dyDescent="0.25">
      <c r="A30" s="1" t="s">
        <v>11350</v>
      </c>
      <c r="C30" t="str">
        <f t="shared" si="0"/>
        <v>CIG77966759</v>
      </c>
      <c r="D30" t="s">
        <v>8689</v>
      </c>
      <c r="E30" s="1" t="s">
        <v>11351</v>
      </c>
      <c r="F30" s="61">
        <v>1650</v>
      </c>
      <c r="G30" s="3">
        <v>0</v>
      </c>
      <c r="H30" s="3">
        <v>0</v>
      </c>
      <c r="I30">
        <v>10</v>
      </c>
      <c r="J30">
        <v>1</v>
      </c>
      <c r="L30" s="66">
        <f>((ARTICULOS_OSLE[[#This Row],[P. Compra]]*(1+ARTICULOS_OSLE[[#This Row],[IVA]]%))/ARTICULOS_OSLE[[#This Row],[UnidFact]])+ARTICULOS_OSLE[[#This Row],[CostoFlete]]</f>
        <v>1650</v>
      </c>
      <c r="M30">
        <v>20</v>
      </c>
      <c r="N30" s="63">
        <f t="shared" si="1"/>
        <v>2050</v>
      </c>
      <c r="O30" s="3">
        <f>MROUND((ARTICULOS_OSLE[[#This Row],[Precio]]/0.6),50)</f>
        <v>3400</v>
      </c>
      <c r="P30" t="s">
        <v>8693</v>
      </c>
      <c r="Q30">
        <v>3</v>
      </c>
      <c r="R30" s="3">
        <f>ARTICULOS_OSLE[[#This Row],[Bulto]]+ARTICULOS_OSLE[[#This Row],[Minimo]]</f>
        <v>13</v>
      </c>
      <c r="S30" t="s">
        <v>46</v>
      </c>
      <c r="T30" t="s">
        <v>15</v>
      </c>
      <c r="U30" t="s">
        <v>67</v>
      </c>
      <c r="V30" t="s">
        <v>11352</v>
      </c>
      <c r="W30" t="s">
        <v>8692</v>
      </c>
      <c r="X30">
        <v>1</v>
      </c>
      <c r="Y30" s="75">
        <v>3</v>
      </c>
      <c r="AA30">
        <v>0</v>
      </c>
      <c r="AB30" s="80">
        <f>ARTICULOS_OSLE[[#This Row],[Costo]]*ARTICULOS_OSLE[[#This Row],[Pedido]]</f>
        <v>0</v>
      </c>
      <c r="AC30"/>
      <c r="AF30" s="2"/>
      <c r="AH30" s="2" t="str">
        <f>IF(AND(ARTICULOS_OSLE[[#This Row],[FechaVenc]]=0,ARTICULOS_OSLE[[#This Row],[DiasVenc]]=0),"",ARTICULOS_OSLE[[#This Row],[FechaVenc]]-ARTICULOS_OSLE[[#This Row],[DiasVenc]])</f>
        <v/>
      </c>
      <c r="AO30" s="30" t="s">
        <v>8689</v>
      </c>
    </row>
    <row r="31" spans="1:41" x14ac:dyDescent="0.25">
      <c r="A31" t="s">
        <v>12041</v>
      </c>
      <c r="B31"/>
      <c r="C31"/>
      <c r="E31"/>
      <c r="F31" s="104"/>
      <c r="J31"/>
      <c r="L31" s="106"/>
      <c r="N31" s="107"/>
      <c r="W31"/>
      <c r="X31"/>
      <c r="Y31"/>
      <c r="AB31" s="80">
        <f>SUBTOTAL(109,ARTICULOS_OSLE[Total Pedido])</f>
        <v>232300</v>
      </c>
      <c r="AC31"/>
      <c r="AF31"/>
      <c r="AH31"/>
      <c r="AO31"/>
    </row>
    <row r="32" spans="1:41" x14ac:dyDescent="0.25">
      <c r="AB32" s="80">
        <f>ARTICULOS_OSLE[[#Totals],[Total Pedido]]*0.75</f>
        <v>174225</v>
      </c>
    </row>
  </sheetData>
  <phoneticPr fontId="5" type="noConversion"/>
  <conditionalFormatting sqref="A1">
    <cfRule type="duplicateValues" dxfId="127" priority="6"/>
  </conditionalFormatting>
  <conditionalFormatting sqref="A16:C16 A14:C14">
    <cfRule type="duplicateValues" dxfId="126" priority="2"/>
    <cfRule type="duplicateValues" dxfId="125" priority="3"/>
  </conditionalFormatting>
  <conditionalFormatting sqref="A32:C1048576 A2:C30">
    <cfRule type="duplicateValues" dxfId="124" priority="1203"/>
    <cfRule type="duplicateValues" dxfId="123" priority="1204"/>
  </conditionalFormatting>
  <conditionalFormatting sqref="C1">
    <cfRule type="duplicateValues" dxfId="122" priority="5"/>
  </conditionalFormatting>
  <conditionalFormatting sqref="L1:L30 F32:F1048576">
    <cfRule type="cellIs" dxfId="121" priority="17" operator="greaterThan">
      <formula>0</formula>
    </cfRule>
  </conditionalFormatting>
  <pageMargins left="7.874015748031496E-2" right="0.05" top="7.874015748031496E-2" bottom="7.874015748031496E-2" header="0" footer="0"/>
  <pageSetup scale="10" fitToHeight="0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9ACFD98-9313-429C-89F0-F934C4627445}">
          <x14:formula1>
            <xm:f>LISTAS!$E:$E</xm:f>
          </x14:formula1>
          <xm:sqref>U1:U30</xm:sqref>
        </x14:dataValidation>
        <x14:dataValidation type="list" allowBlank="1" showInputMessage="1" showErrorMessage="1" xr:uid="{AAED3317-D321-44E5-AFA3-164AD2EF12BE}">
          <x14:formula1>
            <xm:f>LISTAS!$A:$A</xm:f>
          </x14:formula1>
          <xm:sqref>S1:S30</xm:sqref>
        </x14:dataValidation>
        <x14:dataValidation type="list" allowBlank="1" showInputMessage="1" showErrorMessage="1" xr:uid="{A7ACBF82-C574-40D1-A096-1B027553ADD5}">
          <x14:formula1>
            <xm:f>LISTAS!$C:$C</xm:f>
          </x14:formula1>
          <xm:sqref>T2:T30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AB1C-2CD2-43EE-A340-AEFB73BDC722}">
  <dimension ref="A1:AQ28"/>
  <sheetViews>
    <sheetView workbookViewId="0">
      <pane xSplit="5" topLeftCell="F1" activePane="topRight" state="frozen"/>
      <selection activeCell="AD34" sqref="AD34"/>
      <selection pane="topRight" activeCell="E23" sqref="E23"/>
    </sheetView>
  </sheetViews>
  <sheetFormatPr baseColWidth="10" defaultColWidth="11.42578125" defaultRowHeight="15" x14ac:dyDescent="0.2"/>
  <cols>
    <col min="1" max="1" width="14.28515625" style="1" customWidth="1"/>
    <col min="2" max="2" width="7.5703125" style="1" customWidth="1"/>
    <col min="3" max="3" width="14.28515625" style="1" customWidth="1"/>
    <col min="4" max="4" width="7.42578125" customWidth="1"/>
    <col min="5" max="5" width="52.28515625" style="1" customWidth="1"/>
    <col min="6" max="6" width="11.42578125" style="15"/>
    <col min="8" max="8" width="5.140625" bestFit="1" customWidth="1"/>
    <col min="9" max="9" width="10.28515625" bestFit="1" customWidth="1"/>
    <col min="10" max="10" width="11.42578125" style="58"/>
    <col min="13" max="13" width="12.42578125" customWidth="1"/>
    <col min="14" max="14" width="10.28515625" bestFit="1" customWidth="1"/>
    <col min="15" max="15" width="10.7109375" bestFit="1" customWidth="1"/>
    <col min="16" max="16" width="13.5703125" customWidth="1"/>
    <col min="17" max="17" width="9.42578125" style="5" bestFit="1" customWidth="1"/>
    <col min="18" max="18" width="9.7109375" style="3" bestFit="1" customWidth="1"/>
    <col min="19" max="19" width="9.28515625" style="4" bestFit="1" customWidth="1"/>
    <col min="20" max="20" width="10.28515625" style="3" bestFit="1" customWidth="1"/>
    <col min="21" max="21" width="10.7109375" style="3" bestFit="1" customWidth="1"/>
    <col min="22" max="22" width="12.5703125" bestFit="1" customWidth="1"/>
    <col min="23" max="23" width="8.85546875" bestFit="1" customWidth="1"/>
    <col min="24" max="24" width="12" bestFit="1" customWidth="1"/>
    <col min="25" max="25" width="11.28515625" style="3" bestFit="1" customWidth="1"/>
    <col min="28" max="28" width="13.7109375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ht="15.75" x14ac:dyDescent="0.25">
      <c r="A2" s="143" t="s">
        <v>12635</v>
      </c>
      <c r="C2" t="str">
        <f t="shared" ref="C2:C17" si="0">CONCATENATE(LEFT(T2,3),RIGHT(A2,8))</f>
        <v>CIG77988379</v>
      </c>
      <c r="D2" t="s">
        <v>8689</v>
      </c>
      <c r="E2" s="24" t="s">
        <v>12559</v>
      </c>
      <c r="F2" s="61">
        <v>2790</v>
      </c>
      <c r="G2" s="3">
        <v>0</v>
      </c>
      <c r="H2" s="4" t="s">
        <v>8690</v>
      </c>
      <c r="I2">
        <v>10</v>
      </c>
      <c r="J2">
        <v>1</v>
      </c>
      <c r="L2" s="66">
        <f>((ARTICULOS_DICOSPA[[#This Row],[P. Compra]]*(1+ARTICULOS_DICOSPA[[#This Row],[IVA]]%))/ARTICULOS_DICOSPA[[#This Row],[UnidFact]])+ARTICULOS_DICOSPA[[#This Row],[CostoFlete]]</f>
        <v>2790</v>
      </c>
      <c r="M2">
        <v>20</v>
      </c>
      <c r="N2" s="63">
        <f>IF(L2&gt;=5,MROUND(L2/(1-M2/100),50),10)</f>
        <v>3500</v>
      </c>
      <c r="O2" s="3">
        <f>MROUND((ARTICULOS_DICOSPA[[#This Row],[Precio]]/0.6),50)</f>
        <v>5850</v>
      </c>
      <c r="P2" t="s">
        <v>8693</v>
      </c>
      <c r="Q2">
        <v>3</v>
      </c>
      <c r="R2" s="3">
        <f>ARTICULOS_DICOSPA[[#This Row],[Bulto]]+ARTICULOS_DICOSPA[[#This Row],[Minimo]]</f>
        <v>13</v>
      </c>
      <c r="S2" t="s">
        <v>12</v>
      </c>
      <c r="T2" t="s">
        <v>15</v>
      </c>
      <c r="U2" t="s">
        <v>67</v>
      </c>
      <c r="V2" s="30" t="s">
        <v>11357</v>
      </c>
      <c r="W2" t="s">
        <v>8692</v>
      </c>
      <c r="X2">
        <v>1</v>
      </c>
      <c r="Y2" s="3">
        <v>4</v>
      </c>
      <c r="AB2" s="80">
        <f>ARTICULOS_DICOSPA[[#This Row],[Costo]]*ARTICULOS_DICOSPA[[#This Row],[Pedido]]</f>
        <v>0</v>
      </c>
      <c r="AH2" s="2" t="str">
        <f>IF(AND(ARTICULOS_DICOSPA[[#This Row],[FechaVenc]]=0,ARTICULOS_DICOSPA[[#This Row],[DiasVenc]]=0),"",ARTICULOS_DICOSPA[[#This Row],[FechaVenc]]-ARTICULOS_DICOSPA[[#This Row],[DiasVenc]])</f>
        <v/>
      </c>
      <c r="AO2" s="30" t="s">
        <v>8689</v>
      </c>
    </row>
    <row r="3" spans="1:43" ht="15.75" x14ac:dyDescent="0.25">
      <c r="A3" s="137">
        <v>77987587</v>
      </c>
      <c r="C3" t="str">
        <f t="shared" si="0"/>
        <v>CIG77987587</v>
      </c>
      <c r="D3" t="s">
        <v>8689</v>
      </c>
      <c r="E3" s="1" t="s">
        <v>11365</v>
      </c>
      <c r="F3" s="61">
        <v>2800</v>
      </c>
      <c r="G3" s="3">
        <v>0</v>
      </c>
      <c r="H3" s="4" t="s">
        <v>8690</v>
      </c>
      <c r="I3">
        <v>10</v>
      </c>
      <c r="J3">
        <v>1</v>
      </c>
      <c r="L3" s="66">
        <f>((ARTICULOS_DICOSPA[[#This Row],[P. Compra]]*(1+ARTICULOS_DICOSPA[[#This Row],[IVA]]%))/ARTICULOS_DICOSPA[[#This Row],[UnidFact]])+ARTICULOS_DICOSPA[[#This Row],[CostoFlete]]</f>
        <v>2800</v>
      </c>
      <c r="M3">
        <v>20</v>
      </c>
      <c r="N3" s="63">
        <f t="shared" ref="N3:N28" si="1">IF(L3&gt;=5,MROUND(L3/(1-M3/100),50),10)</f>
        <v>3500</v>
      </c>
      <c r="O3" s="3">
        <f>MROUND((ARTICULOS_DICOSPA[[#This Row],[Precio]]/0.6),50)</f>
        <v>5850</v>
      </c>
      <c r="P3" t="s">
        <v>8693</v>
      </c>
      <c r="Q3">
        <v>3</v>
      </c>
      <c r="R3" s="3">
        <f>ARTICULOS_DICOSPA[[#This Row],[Bulto]]+ARTICULOS_DICOSPA[[#This Row],[Minimo]]</f>
        <v>13</v>
      </c>
      <c r="S3" t="s">
        <v>12</v>
      </c>
      <c r="T3" t="s">
        <v>15</v>
      </c>
      <c r="U3" t="s">
        <v>67</v>
      </c>
      <c r="V3" s="30" t="s">
        <v>11357</v>
      </c>
      <c r="W3" t="s">
        <v>8692</v>
      </c>
      <c r="X3">
        <v>1</v>
      </c>
      <c r="Y3" s="3">
        <v>4</v>
      </c>
      <c r="AB3" s="80">
        <f>ARTICULOS_DICOSPA[[#This Row],[Costo]]*ARTICULOS_DICOSPA[[#This Row],[Pedido]]</f>
        <v>0</v>
      </c>
      <c r="AH3" s="2" t="str">
        <f>IF(AND(ARTICULOS_DICOSPA[[#This Row],[FechaVenc]]=0,ARTICULOS_DICOSPA[[#This Row],[DiasVenc]]=0),"",ARTICULOS_DICOSPA[[#This Row],[FechaVenc]]-ARTICULOS_DICOSPA[[#This Row],[DiasVenc]])</f>
        <v/>
      </c>
      <c r="AO3" s="30" t="s">
        <v>8689</v>
      </c>
    </row>
    <row r="4" spans="1:43" ht="15.75" x14ac:dyDescent="0.25">
      <c r="A4" s="137">
        <v>77987600</v>
      </c>
      <c r="C4" t="str">
        <f t="shared" si="0"/>
        <v>CIG77987600</v>
      </c>
      <c r="D4" t="s">
        <v>8689</v>
      </c>
      <c r="E4" s="1" t="s">
        <v>11366</v>
      </c>
      <c r="F4" s="61">
        <v>2800</v>
      </c>
      <c r="G4" s="3">
        <v>0</v>
      </c>
      <c r="H4" s="4" t="s">
        <v>8690</v>
      </c>
      <c r="I4">
        <v>10</v>
      </c>
      <c r="J4">
        <v>1</v>
      </c>
      <c r="L4" s="66">
        <f>((ARTICULOS_DICOSPA[[#This Row],[P. Compra]]*(1+ARTICULOS_DICOSPA[[#This Row],[IVA]]%))/ARTICULOS_DICOSPA[[#This Row],[UnidFact]])+ARTICULOS_DICOSPA[[#This Row],[CostoFlete]]</f>
        <v>2800</v>
      </c>
      <c r="M4">
        <v>20</v>
      </c>
      <c r="N4" s="63">
        <f t="shared" si="1"/>
        <v>3500</v>
      </c>
      <c r="O4" s="3">
        <f>MROUND((ARTICULOS_DICOSPA[[#This Row],[Precio]]/0.6),50)</f>
        <v>5850</v>
      </c>
      <c r="P4" t="s">
        <v>8693</v>
      </c>
      <c r="Q4">
        <v>3</v>
      </c>
      <c r="R4" s="3">
        <f>ARTICULOS_DICOSPA[[#This Row],[Bulto]]+ARTICULOS_DICOSPA[[#This Row],[Minimo]]</f>
        <v>13</v>
      </c>
      <c r="S4" t="s">
        <v>12</v>
      </c>
      <c r="T4" t="s">
        <v>15</v>
      </c>
      <c r="U4" t="s">
        <v>67</v>
      </c>
      <c r="V4" s="30" t="s">
        <v>11357</v>
      </c>
      <c r="W4" t="s">
        <v>8692</v>
      </c>
      <c r="X4">
        <v>1</v>
      </c>
      <c r="Y4" s="3">
        <v>6</v>
      </c>
      <c r="AB4" s="80">
        <f>ARTICULOS_DICOSPA[[#This Row],[Costo]]*ARTICULOS_DICOSPA[[#This Row],[Pedido]]</f>
        <v>0</v>
      </c>
      <c r="AH4" s="2" t="str">
        <f>IF(AND(ARTICULOS_DICOSPA[[#This Row],[FechaVenc]]=0,ARTICULOS_DICOSPA[[#This Row],[DiasVenc]]=0),"",ARTICULOS_DICOSPA[[#This Row],[FechaVenc]]-ARTICULOS_DICOSPA[[#This Row],[DiasVenc]])</f>
        <v/>
      </c>
      <c r="AO4" s="30" t="s">
        <v>8689</v>
      </c>
    </row>
    <row r="5" spans="1:43" ht="15.75" x14ac:dyDescent="0.25">
      <c r="A5" s="137">
        <v>77987594</v>
      </c>
      <c r="C5" t="str">
        <f t="shared" si="0"/>
        <v>CIG77987594</v>
      </c>
      <c r="D5" t="s">
        <v>8689</v>
      </c>
      <c r="E5" s="1" t="s">
        <v>11367</v>
      </c>
      <c r="F5" s="61">
        <v>2800</v>
      </c>
      <c r="G5" s="3">
        <v>0</v>
      </c>
      <c r="H5" s="4" t="s">
        <v>8690</v>
      </c>
      <c r="I5">
        <v>10</v>
      </c>
      <c r="J5">
        <v>1</v>
      </c>
      <c r="L5" s="66">
        <f>((ARTICULOS_DICOSPA[[#This Row],[P. Compra]]*(1+ARTICULOS_DICOSPA[[#This Row],[IVA]]%))/ARTICULOS_DICOSPA[[#This Row],[UnidFact]])+ARTICULOS_DICOSPA[[#This Row],[CostoFlete]]</f>
        <v>2800</v>
      </c>
      <c r="M5">
        <v>20</v>
      </c>
      <c r="N5" s="63">
        <f t="shared" si="1"/>
        <v>3500</v>
      </c>
      <c r="O5" s="3">
        <f>MROUND((ARTICULOS_DICOSPA[[#This Row],[Precio]]/0.6),50)</f>
        <v>5850</v>
      </c>
      <c r="P5" t="s">
        <v>8693</v>
      </c>
      <c r="Q5">
        <v>3</v>
      </c>
      <c r="R5" s="3">
        <f>ARTICULOS_DICOSPA[[#This Row],[Bulto]]+ARTICULOS_DICOSPA[[#This Row],[Minimo]]</f>
        <v>13</v>
      </c>
      <c r="S5" t="s">
        <v>12</v>
      </c>
      <c r="T5" t="s">
        <v>15</v>
      </c>
      <c r="U5" t="s">
        <v>67</v>
      </c>
      <c r="V5" s="30" t="s">
        <v>11357</v>
      </c>
      <c r="W5" t="s">
        <v>8692</v>
      </c>
      <c r="X5">
        <v>1</v>
      </c>
      <c r="Y5" s="3">
        <v>5</v>
      </c>
      <c r="AB5" s="80">
        <f>ARTICULOS_DICOSPA[[#This Row],[Costo]]*ARTICULOS_DICOSPA[[#This Row],[Pedido]]</f>
        <v>0</v>
      </c>
      <c r="AH5" s="2" t="str">
        <f>IF(AND(ARTICULOS_DICOSPA[[#This Row],[FechaVenc]]=0,ARTICULOS_DICOSPA[[#This Row],[DiasVenc]]=0),"",ARTICULOS_DICOSPA[[#This Row],[FechaVenc]]-ARTICULOS_DICOSPA[[#This Row],[DiasVenc]])</f>
        <v/>
      </c>
      <c r="AO5" s="30" t="s">
        <v>8689</v>
      </c>
    </row>
    <row r="6" spans="1:43" ht="15.75" x14ac:dyDescent="0.25">
      <c r="A6" s="137">
        <v>77977090</v>
      </c>
      <c r="C6" t="str">
        <f t="shared" si="0"/>
        <v>CIG77977090</v>
      </c>
      <c r="D6" t="s">
        <v>8689</v>
      </c>
      <c r="E6" s="1" t="s">
        <v>11364</v>
      </c>
      <c r="F6" s="61">
        <v>3400</v>
      </c>
      <c r="G6" s="3">
        <v>0</v>
      </c>
      <c r="H6" s="4" t="s">
        <v>8690</v>
      </c>
      <c r="I6">
        <v>10</v>
      </c>
      <c r="J6">
        <v>1</v>
      </c>
      <c r="L6" s="66">
        <f>((ARTICULOS_DICOSPA[[#This Row],[P. Compra]]*(1+ARTICULOS_DICOSPA[[#This Row],[IVA]]%))/ARTICULOS_DICOSPA[[#This Row],[UnidFact]])+ARTICULOS_DICOSPA[[#This Row],[CostoFlete]]</f>
        <v>3400</v>
      </c>
      <c r="M6">
        <v>20</v>
      </c>
      <c r="N6" s="63">
        <f t="shared" si="1"/>
        <v>4250</v>
      </c>
      <c r="O6" s="3">
        <f>MROUND((ARTICULOS_DICOSPA[[#This Row],[Precio]]/0.6),50)</f>
        <v>7100</v>
      </c>
      <c r="P6" t="s">
        <v>8693</v>
      </c>
      <c r="Q6">
        <v>3</v>
      </c>
      <c r="R6" s="3">
        <f>ARTICULOS_DICOSPA[[#This Row],[Bulto]]+ARTICULOS_DICOSPA[[#This Row],[Minimo]]</f>
        <v>13</v>
      </c>
      <c r="S6" t="s">
        <v>12</v>
      </c>
      <c r="T6" t="s">
        <v>15</v>
      </c>
      <c r="U6" t="s">
        <v>67</v>
      </c>
      <c r="V6" s="30" t="s">
        <v>11357</v>
      </c>
      <c r="W6" t="s">
        <v>8692</v>
      </c>
      <c r="X6">
        <v>1</v>
      </c>
      <c r="Y6" s="3">
        <v>3</v>
      </c>
      <c r="AB6" s="80">
        <f>ARTICULOS_DICOSPA[[#This Row],[Costo]]*ARTICULOS_DICOSPA[[#This Row],[Pedido]]</f>
        <v>0</v>
      </c>
      <c r="AH6" s="2" t="str">
        <f>IF(AND(ARTICULOS_DICOSPA[[#This Row],[FechaVenc]]=0,ARTICULOS_DICOSPA[[#This Row],[DiasVenc]]=0),"",ARTICULOS_DICOSPA[[#This Row],[FechaVenc]]-ARTICULOS_DICOSPA[[#This Row],[DiasVenc]])</f>
        <v/>
      </c>
      <c r="AO6" s="30" t="s">
        <v>8689</v>
      </c>
    </row>
    <row r="7" spans="1:43" ht="15.75" x14ac:dyDescent="0.25">
      <c r="A7" s="137">
        <v>77985927</v>
      </c>
      <c r="B7" s="24"/>
      <c r="C7" s="30" t="str">
        <f t="shared" si="0"/>
        <v>CIG77985927</v>
      </c>
      <c r="D7" t="s">
        <v>8689</v>
      </c>
      <c r="E7" s="24" t="s">
        <v>11359</v>
      </c>
      <c r="F7" s="61">
        <v>1690</v>
      </c>
      <c r="G7" s="3">
        <v>0</v>
      </c>
      <c r="H7" s="4" t="s">
        <v>8690</v>
      </c>
      <c r="I7">
        <v>10</v>
      </c>
      <c r="J7">
        <v>1</v>
      </c>
      <c r="L7" s="66">
        <f>((ARTICULOS_DICOSPA[[#This Row],[P. Compra]]*(1+ARTICULOS_DICOSPA[[#This Row],[IVA]]%))/ARTICULOS_DICOSPA[[#This Row],[UnidFact]])+ARTICULOS_DICOSPA[[#This Row],[CostoFlete]]</f>
        <v>1690</v>
      </c>
      <c r="M7">
        <v>20</v>
      </c>
      <c r="N7" s="63">
        <f t="shared" si="1"/>
        <v>2100</v>
      </c>
      <c r="O7" s="3">
        <f>MROUND((ARTICULOS_DICOSPA[[#This Row],[Precio]]/0.6),50)</f>
        <v>3500</v>
      </c>
      <c r="P7" t="s">
        <v>8693</v>
      </c>
      <c r="Q7">
        <v>3</v>
      </c>
      <c r="R7" s="3">
        <f>ARTICULOS_DICOSPA[[#This Row],[Bulto]]+ARTICULOS_DICOSPA[[#This Row],[Minimo]]</f>
        <v>13</v>
      </c>
      <c r="S7" t="s">
        <v>12</v>
      </c>
      <c r="T7" t="s">
        <v>15</v>
      </c>
      <c r="U7" t="s">
        <v>67</v>
      </c>
      <c r="V7" s="30" t="s">
        <v>11357</v>
      </c>
      <c r="W7" t="s">
        <v>8692</v>
      </c>
      <c r="X7">
        <v>1</v>
      </c>
      <c r="Y7" s="3">
        <v>7</v>
      </c>
      <c r="AB7" s="80">
        <f>ARTICULOS_DICOSPA[[#This Row],[Costo]]*ARTICULOS_DICOSPA[[#This Row],[Pedido]]</f>
        <v>0</v>
      </c>
      <c r="AH7" s="2" t="str">
        <f>IF(AND(ARTICULOS_DICOSPA[[#This Row],[FechaVenc]]=0,ARTICULOS_DICOSPA[[#This Row],[DiasVenc]]=0),"",ARTICULOS_DICOSPA[[#This Row],[FechaVenc]]-ARTICULOS_DICOSPA[[#This Row],[DiasVenc]])</f>
        <v/>
      </c>
      <c r="AO7" s="30" t="s">
        <v>8689</v>
      </c>
    </row>
    <row r="8" spans="1:43" ht="15.75" x14ac:dyDescent="0.25">
      <c r="A8" s="137">
        <v>77985897</v>
      </c>
      <c r="C8" t="str">
        <f t="shared" si="0"/>
        <v>CIG77985897</v>
      </c>
      <c r="D8" t="s">
        <v>8689</v>
      </c>
      <c r="E8" s="1" t="s">
        <v>11360</v>
      </c>
      <c r="F8" s="61">
        <v>1690</v>
      </c>
      <c r="G8" s="3">
        <v>0</v>
      </c>
      <c r="H8" s="4" t="s">
        <v>8690</v>
      </c>
      <c r="I8">
        <v>10</v>
      </c>
      <c r="J8">
        <v>1</v>
      </c>
      <c r="L8" s="66">
        <f>((ARTICULOS_DICOSPA[[#This Row],[P. Compra]]*(1+ARTICULOS_DICOSPA[[#This Row],[IVA]]%))/ARTICULOS_DICOSPA[[#This Row],[UnidFact]])+ARTICULOS_DICOSPA[[#This Row],[CostoFlete]]</f>
        <v>1690</v>
      </c>
      <c r="M8">
        <v>20</v>
      </c>
      <c r="N8" s="63">
        <f t="shared" si="1"/>
        <v>2100</v>
      </c>
      <c r="O8" s="3">
        <f>MROUND((ARTICULOS_DICOSPA[[#This Row],[Precio]]/0.6),50)</f>
        <v>3500</v>
      </c>
      <c r="P8" t="s">
        <v>8693</v>
      </c>
      <c r="Q8">
        <v>3</v>
      </c>
      <c r="R8" s="3">
        <f>ARTICULOS_DICOSPA[[#This Row],[Bulto]]+ARTICULOS_DICOSPA[[#This Row],[Minimo]]</f>
        <v>13</v>
      </c>
      <c r="S8" t="s">
        <v>12</v>
      </c>
      <c r="T8" t="s">
        <v>15</v>
      </c>
      <c r="U8" t="s">
        <v>67</v>
      </c>
      <c r="V8" s="30" t="s">
        <v>11357</v>
      </c>
      <c r="W8" t="s">
        <v>8692</v>
      </c>
      <c r="X8">
        <v>1</v>
      </c>
      <c r="Y8" s="3">
        <v>14</v>
      </c>
      <c r="AB8" s="80">
        <f>ARTICULOS_DICOSPA[[#This Row],[Costo]]*ARTICULOS_DICOSPA[[#This Row],[Pedido]]</f>
        <v>0</v>
      </c>
      <c r="AH8" s="2" t="str">
        <f>IF(AND(ARTICULOS_DICOSPA[[#This Row],[FechaVenc]]=0,ARTICULOS_DICOSPA[[#This Row],[DiasVenc]]=0),"",ARTICULOS_DICOSPA[[#This Row],[FechaVenc]]-ARTICULOS_DICOSPA[[#This Row],[DiasVenc]])</f>
        <v/>
      </c>
      <c r="AO8" s="30" t="s">
        <v>8689</v>
      </c>
    </row>
    <row r="9" spans="1:43" ht="15.75" x14ac:dyDescent="0.25">
      <c r="A9" s="137">
        <v>77976956</v>
      </c>
      <c r="C9" t="str">
        <f t="shared" si="0"/>
        <v>CIG77976956</v>
      </c>
      <c r="D9" t="s">
        <v>8689</v>
      </c>
      <c r="E9" s="24" t="s">
        <v>11369</v>
      </c>
      <c r="F9" s="61">
        <v>2400</v>
      </c>
      <c r="G9" s="3">
        <v>0</v>
      </c>
      <c r="H9" s="4" t="s">
        <v>8690</v>
      </c>
      <c r="I9">
        <v>10</v>
      </c>
      <c r="J9">
        <v>1</v>
      </c>
      <c r="L9" s="66">
        <f>((ARTICULOS_DICOSPA[[#This Row],[P. Compra]]*(1+ARTICULOS_DICOSPA[[#This Row],[IVA]]%))/ARTICULOS_DICOSPA[[#This Row],[UnidFact]])+ARTICULOS_DICOSPA[[#This Row],[CostoFlete]]</f>
        <v>2400</v>
      </c>
      <c r="M9">
        <v>20</v>
      </c>
      <c r="N9" s="63">
        <f t="shared" si="1"/>
        <v>3000</v>
      </c>
      <c r="O9" s="3">
        <f>MROUND((ARTICULOS_DICOSPA[[#This Row],[Precio]]/0.6),50)</f>
        <v>5000</v>
      </c>
      <c r="P9" t="s">
        <v>8693</v>
      </c>
      <c r="Q9">
        <v>3</v>
      </c>
      <c r="R9" s="3">
        <f>ARTICULOS_DICOSPA[[#This Row],[Bulto]]+ARTICULOS_DICOSPA[[#This Row],[Minimo]]</f>
        <v>13</v>
      </c>
      <c r="S9" t="s">
        <v>12</v>
      </c>
      <c r="T9" t="s">
        <v>15</v>
      </c>
      <c r="U9" t="s">
        <v>67</v>
      </c>
      <c r="V9" s="30" t="s">
        <v>11357</v>
      </c>
      <c r="W9" t="s">
        <v>8692</v>
      </c>
      <c r="X9">
        <v>1</v>
      </c>
      <c r="Y9" s="3">
        <v>29</v>
      </c>
      <c r="AB9" s="80">
        <f>ARTICULOS_DICOSPA[[#This Row],[Costo]]*ARTICULOS_DICOSPA[[#This Row],[Pedido]]</f>
        <v>0</v>
      </c>
      <c r="AH9" s="2" t="str">
        <f>IF(AND(ARTICULOS_DICOSPA[[#This Row],[FechaVenc]]=0,ARTICULOS_DICOSPA[[#This Row],[DiasVenc]]=0),"",ARTICULOS_DICOSPA[[#This Row],[FechaVenc]]-ARTICULOS_DICOSPA[[#This Row],[DiasVenc]])</f>
        <v/>
      </c>
      <c r="AO9" s="30" t="s">
        <v>8689</v>
      </c>
    </row>
    <row r="10" spans="1:43" ht="15.75" x14ac:dyDescent="0.25">
      <c r="A10" s="137">
        <v>77976994</v>
      </c>
      <c r="C10" t="str">
        <f t="shared" si="0"/>
        <v>CIG77976994</v>
      </c>
      <c r="D10" t="s">
        <v>8689</v>
      </c>
      <c r="E10" s="24" t="s">
        <v>11358</v>
      </c>
      <c r="F10" s="61">
        <v>1670</v>
      </c>
      <c r="G10" s="3">
        <v>0</v>
      </c>
      <c r="H10" s="4" t="s">
        <v>8690</v>
      </c>
      <c r="I10">
        <v>10</v>
      </c>
      <c r="J10">
        <v>1</v>
      </c>
      <c r="L10" s="66">
        <f>((ARTICULOS_DICOSPA[[#This Row],[P. Compra]]*(1+ARTICULOS_DICOSPA[[#This Row],[IVA]]%))/ARTICULOS_DICOSPA[[#This Row],[UnidFact]])+ARTICULOS_DICOSPA[[#This Row],[CostoFlete]]</f>
        <v>1670</v>
      </c>
      <c r="M10">
        <v>20</v>
      </c>
      <c r="N10" s="63">
        <f t="shared" si="1"/>
        <v>2100</v>
      </c>
      <c r="O10" s="3">
        <f>MROUND((ARTICULOS_DICOSPA[[#This Row],[Precio]]/0.6),50)</f>
        <v>3500</v>
      </c>
      <c r="P10" t="s">
        <v>8693</v>
      </c>
      <c r="Q10">
        <v>3</v>
      </c>
      <c r="R10" s="3">
        <f>ARTICULOS_DICOSPA[[#This Row],[Bulto]]+ARTICULOS_DICOSPA[[#This Row],[Minimo]]</f>
        <v>13</v>
      </c>
      <c r="S10" t="s">
        <v>12</v>
      </c>
      <c r="T10" t="s">
        <v>15</v>
      </c>
      <c r="U10" t="s">
        <v>67</v>
      </c>
      <c r="V10" s="30" t="s">
        <v>11357</v>
      </c>
      <c r="W10" t="s">
        <v>8692</v>
      </c>
      <c r="X10">
        <v>1</v>
      </c>
      <c r="Y10" s="3">
        <v>6</v>
      </c>
      <c r="AB10" s="80">
        <f>ARTICULOS_DICOSPA[[#This Row],[Costo]]*ARTICULOS_DICOSPA[[#This Row],[Pedido]]</f>
        <v>0</v>
      </c>
      <c r="AH10" s="2" t="str">
        <f>IF(AND(ARTICULOS_DICOSPA[[#This Row],[FechaVenc]]=0,ARTICULOS_DICOSPA[[#This Row],[DiasVenc]]=0),"",ARTICULOS_DICOSPA[[#This Row],[FechaVenc]]-ARTICULOS_DICOSPA[[#This Row],[DiasVenc]])</f>
        <v/>
      </c>
      <c r="AO10" s="30" t="s">
        <v>8689</v>
      </c>
    </row>
    <row r="11" spans="1:43" ht="15.75" x14ac:dyDescent="0.25">
      <c r="A11" s="137">
        <v>77976529</v>
      </c>
      <c r="C11" t="str">
        <f t="shared" si="0"/>
        <v>CIG77976529</v>
      </c>
      <c r="D11" t="s">
        <v>8689</v>
      </c>
      <c r="E11" s="1" t="s">
        <v>11361</v>
      </c>
      <c r="F11" s="61">
        <v>2730</v>
      </c>
      <c r="G11" s="3">
        <v>0</v>
      </c>
      <c r="H11" s="4" t="s">
        <v>8690</v>
      </c>
      <c r="I11">
        <v>10</v>
      </c>
      <c r="J11">
        <v>1</v>
      </c>
      <c r="L11" s="66">
        <f>((ARTICULOS_DICOSPA[[#This Row],[P. Compra]]*(1+ARTICULOS_DICOSPA[[#This Row],[IVA]]%))/ARTICULOS_DICOSPA[[#This Row],[UnidFact]])+ARTICULOS_DICOSPA[[#This Row],[CostoFlete]]</f>
        <v>2730</v>
      </c>
      <c r="M11">
        <v>20</v>
      </c>
      <c r="N11" s="63">
        <f t="shared" si="1"/>
        <v>3400</v>
      </c>
      <c r="O11" s="3">
        <f>MROUND((ARTICULOS_DICOSPA[[#This Row],[Precio]]/0.6),50)</f>
        <v>5650</v>
      </c>
      <c r="P11" t="s">
        <v>8693</v>
      </c>
      <c r="Q11">
        <v>3</v>
      </c>
      <c r="R11" s="3">
        <f>ARTICULOS_DICOSPA[[#This Row],[Bulto]]+ARTICULOS_DICOSPA[[#This Row],[Minimo]]</f>
        <v>13</v>
      </c>
      <c r="S11" t="s">
        <v>12</v>
      </c>
      <c r="T11" t="s">
        <v>15</v>
      </c>
      <c r="U11" t="s">
        <v>67</v>
      </c>
      <c r="V11" s="30" t="s">
        <v>11357</v>
      </c>
      <c r="W11" t="s">
        <v>8692</v>
      </c>
      <c r="X11">
        <v>1</v>
      </c>
      <c r="Y11" s="3">
        <v>6</v>
      </c>
      <c r="AB11" s="80">
        <f>ARTICULOS_DICOSPA[[#This Row],[Costo]]*ARTICULOS_DICOSPA[[#This Row],[Pedido]]</f>
        <v>0</v>
      </c>
      <c r="AH11" s="2" t="str">
        <f>IF(AND(ARTICULOS_DICOSPA[[#This Row],[FechaVenc]]=0,ARTICULOS_DICOSPA[[#This Row],[DiasVenc]]=0),"",ARTICULOS_DICOSPA[[#This Row],[FechaVenc]]-ARTICULOS_DICOSPA[[#This Row],[DiasVenc]])</f>
        <v/>
      </c>
      <c r="AO11" s="30" t="s">
        <v>8689</v>
      </c>
    </row>
    <row r="12" spans="1:43" ht="15.75" x14ac:dyDescent="0.25">
      <c r="A12" s="137">
        <v>77976512</v>
      </c>
      <c r="C12" t="str">
        <f t="shared" si="0"/>
        <v>CIG77976512</v>
      </c>
      <c r="D12" t="s">
        <v>8689</v>
      </c>
      <c r="E12" s="1" t="s">
        <v>11368</v>
      </c>
      <c r="F12" s="61">
        <v>2400</v>
      </c>
      <c r="G12" s="3">
        <v>0</v>
      </c>
      <c r="H12" s="4" t="s">
        <v>8690</v>
      </c>
      <c r="I12">
        <v>10</v>
      </c>
      <c r="J12">
        <v>1</v>
      </c>
      <c r="L12" s="66">
        <f>((ARTICULOS_DICOSPA[[#This Row],[P. Compra]]*(1+ARTICULOS_DICOSPA[[#This Row],[IVA]]%))/ARTICULOS_DICOSPA[[#This Row],[UnidFact]])+ARTICULOS_DICOSPA[[#This Row],[CostoFlete]]</f>
        <v>2400</v>
      </c>
      <c r="M12">
        <v>20</v>
      </c>
      <c r="N12" s="63">
        <f t="shared" si="1"/>
        <v>3000</v>
      </c>
      <c r="O12" s="3">
        <f>MROUND((ARTICULOS_DICOSPA[[#This Row],[Precio]]/0.6),50)</f>
        <v>5000</v>
      </c>
      <c r="P12" t="s">
        <v>8693</v>
      </c>
      <c r="Q12">
        <v>3</v>
      </c>
      <c r="R12" s="3">
        <f>ARTICULOS_DICOSPA[[#This Row],[Bulto]]+ARTICULOS_DICOSPA[[#This Row],[Minimo]]</f>
        <v>13</v>
      </c>
      <c r="S12" t="s">
        <v>12</v>
      </c>
      <c r="T12" t="s">
        <v>15</v>
      </c>
      <c r="U12" t="s">
        <v>67</v>
      </c>
      <c r="V12" s="30" t="s">
        <v>11357</v>
      </c>
      <c r="W12" t="s">
        <v>8692</v>
      </c>
      <c r="X12">
        <v>1</v>
      </c>
      <c r="Y12" s="3">
        <v>28</v>
      </c>
      <c r="AB12" s="80">
        <f>ARTICULOS_DICOSPA[[#This Row],[Costo]]*ARTICULOS_DICOSPA[[#This Row],[Pedido]]</f>
        <v>0</v>
      </c>
      <c r="AH12" s="2" t="str">
        <f>IF(AND(ARTICULOS_DICOSPA[[#This Row],[FechaVenc]]=0,ARTICULOS_DICOSPA[[#This Row],[DiasVenc]]=0),"",ARTICULOS_DICOSPA[[#This Row],[FechaVenc]]-ARTICULOS_DICOSPA[[#This Row],[DiasVenc]])</f>
        <v/>
      </c>
      <c r="AO12" s="30" t="s">
        <v>8689</v>
      </c>
    </row>
    <row r="13" spans="1:43" ht="15.75" x14ac:dyDescent="0.25">
      <c r="A13" s="137">
        <v>77976505</v>
      </c>
      <c r="C13" t="str">
        <f t="shared" si="0"/>
        <v>CIG77976505</v>
      </c>
      <c r="D13" t="s">
        <v>8689</v>
      </c>
      <c r="E13" s="1" t="s">
        <v>11356</v>
      </c>
      <c r="F13" s="61">
        <v>1620</v>
      </c>
      <c r="G13" s="3">
        <v>0</v>
      </c>
      <c r="H13" s="4" t="s">
        <v>8690</v>
      </c>
      <c r="I13">
        <v>10</v>
      </c>
      <c r="J13">
        <v>1</v>
      </c>
      <c r="L13" s="66">
        <f>((ARTICULOS_DICOSPA[[#This Row],[P. Compra]]*(1+ARTICULOS_DICOSPA[[#This Row],[IVA]]%))/ARTICULOS_DICOSPA[[#This Row],[UnidFact]])+ARTICULOS_DICOSPA[[#This Row],[CostoFlete]]</f>
        <v>1620</v>
      </c>
      <c r="M13">
        <v>20</v>
      </c>
      <c r="N13" s="63">
        <f t="shared" si="1"/>
        <v>2050</v>
      </c>
      <c r="O13" s="3">
        <f>MROUND((ARTICULOS_DICOSPA[[#This Row],[Precio]]/0.6),50)</f>
        <v>3400</v>
      </c>
      <c r="P13" t="s">
        <v>8693</v>
      </c>
      <c r="Q13">
        <v>3</v>
      </c>
      <c r="R13" s="3">
        <f>ARTICULOS_DICOSPA[[#This Row],[Bulto]]+ARTICULOS_DICOSPA[[#This Row],[Minimo]]</f>
        <v>13</v>
      </c>
      <c r="S13" t="s">
        <v>12</v>
      </c>
      <c r="T13" t="s">
        <v>15</v>
      </c>
      <c r="U13" t="s">
        <v>67</v>
      </c>
      <c r="V13" s="30" t="s">
        <v>11357</v>
      </c>
      <c r="W13" t="s">
        <v>8692</v>
      </c>
      <c r="X13">
        <v>1</v>
      </c>
      <c r="Y13" s="3">
        <v>13</v>
      </c>
      <c r="AB13" s="80">
        <f>ARTICULOS_DICOSPA[[#This Row],[Costo]]*ARTICULOS_DICOSPA[[#This Row],[Pedido]]</f>
        <v>0</v>
      </c>
      <c r="AH13" s="2" t="str">
        <f>IF(AND(ARTICULOS_DICOSPA[[#This Row],[FechaVenc]]=0,ARTICULOS_DICOSPA[[#This Row],[DiasVenc]]=0),"",ARTICULOS_DICOSPA[[#This Row],[FechaVenc]]-ARTICULOS_DICOSPA[[#This Row],[DiasVenc]])</f>
        <v/>
      </c>
      <c r="AO13" s="30" t="s">
        <v>8689</v>
      </c>
    </row>
    <row r="14" spans="1:43" ht="15.75" x14ac:dyDescent="0.25">
      <c r="A14" s="137">
        <v>77976970</v>
      </c>
      <c r="C14" t="str">
        <f t="shared" si="0"/>
        <v>CIG77976970</v>
      </c>
      <c r="D14" t="s">
        <v>8689</v>
      </c>
      <c r="E14" s="1" t="s">
        <v>11370</v>
      </c>
      <c r="F14" s="61">
        <v>2400</v>
      </c>
      <c r="G14" s="3">
        <v>0</v>
      </c>
      <c r="H14" s="4" t="s">
        <v>8690</v>
      </c>
      <c r="I14">
        <v>10</v>
      </c>
      <c r="J14">
        <v>1</v>
      </c>
      <c r="L14" s="66">
        <f>((ARTICULOS_DICOSPA[[#This Row],[P. Compra]]*(1+ARTICULOS_DICOSPA[[#This Row],[IVA]]%))/ARTICULOS_DICOSPA[[#This Row],[UnidFact]])+ARTICULOS_DICOSPA[[#This Row],[CostoFlete]]</f>
        <v>2400</v>
      </c>
      <c r="M14">
        <v>20</v>
      </c>
      <c r="N14" s="63">
        <f t="shared" si="1"/>
        <v>3000</v>
      </c>
      <c r="O14" s="3">
        <f>MROUND((ARTICULOS_DICOSPA[[#This Row],[Precio]]/0.6),50)</f>
        <v>5000</v>
      </c>
      <c r="P14" t="s">
        <v>8693</v>
      </c>
      <c r="Q14">
        <v>3</v>
      </c>
      <c r="R14" s="3">
        <f>ARTICULOS_DICOSPA[[#This Row],[Bulto]]+ARTICULOS_DICOSPA[[#This Row],[Minimo]]</f>
        <v>13</v>
      </c>
      <c r="S14" t="s">
        <v>12</v>
      </c>
      <c r="T14" t="s">
        <v>15</v>
      </c>
      <c r="U14" t="s">
        <v>67</v>
      </c>
      <c r="V14" s="30" t="s">
        <v>11357</v>
      </c>
      <c r="W14" t="s">
        <v>8692</v>
      </c>
      <c r="X14">
        <v>1</v>
      </c>
      <c r="Y14" s="3">
        <v>11</v>
      </c>
      <c r="AB14" s="80">
        <f>ARTICULOS_DICOSPA[[#This Row],[Costo]]*ARTICULOS_DICOSPA[[#This Row],[Pedido]]</f>
        <v>0</v>
      </c>
      <c r="AH14" s="2" t="str">
        <f>IF(AND(ARTICULOS_DICOSPA[[#This Row],[FechaVenc]]=0,ARTICULOS_DICOSPA[[#This Row],[DiasVenc]]=0),"",ARTICULOS_DICOSPA[[#This Row],[FechaVenc]]-ARTICULOS_DICOSPA[[#This Row],[DiasVenc]])</f>
        <v/>
      </c>
      <c r="AO14" s="30" t="s">
        <v>8689</v>
      </c>
    </row>
    <row r="15" spans="1:43" ht="15.75" x14ac:dyDescent="0.25">
      <c r="A15" s="137">
        <v>77990946</v>
      </c>
      <c r="C15" t="str">
        <f t="shared" si="0"/>
        <v>CIG77990946</v>
      </c>
      <c r="D15" t="s">
        <v>8689</v>
      </c>
      <c r="E15" s="1" t="s">
        <v>12560</v>
      </c>
      <c r="F15" s="61">
        <v>1060</v>
      </c>
      <c r="G15" s="3">
        <v>0</v>
      </c>
      <c r="H15" s="4" t="s">
        <v>8690</v>
      </c>
      <c r="I15">
        <v>10</v>
      </c>
      <c r="J15">
        <v>1</v>
      </c>
      <c r="L15" s="66">
        <f>((ARTICULOS_DICOSPA[[#This Row],[P. Compra]]*(1+ARTICULOS_DICOSPA[[#This Row],[IVA]]%))/ARTICULOS_DICOSPA[[#This Row],[UnidFact]])+ARTICULOS_DICOSPA[[#This Row],[CostoFlete]]</f>
        <v>1060</v>
      </c>
      <c r="M15">
        <v>20</v>
      </c>
      <c r="N15" s="63">
        <f t="shared" si="1"/>
        <v>1350</v>
      </c>
      <c r="O15" s="3">
        <f>MROUND((ARTICULOS_DICOSPA[[#This Row],[Precio]]/0.6),50)</f>
        <v>2250</v>
      </c>
      <c r="P15" t="s">
        <v>8693</v>
      </c>
      <c r="Q15">
        <v>3</v>
      </c>
      <c r="R15" s="3">
        <f>ARTICULOS_DICOSPA[[#This Row],[Bulto]]+ARTICULOS_DICOSPA[[#This Row],[Minimo]]</f>
        <v>13</v>
      </c>
      <c r="S15" t="s">
        <v>12</v>
      </c>
      <c r="T15" t="s">
        <v>15</v>
      </c>
      <c r="U15" t="s">
        <v>67</v>
      </c>
      <c r="V15" s="30" t="s">
        <v>11357</v>
      </c>
      <c r="W15" t="s">
        <v>8692</v>
      </c>
      <c r="X15">
        <v>1</v>
      </c>
      <c r="Y15" s="3">
        <v>33</v>
      </c>
      <c r="AB15" s="80">
        <f>ARTICULOS_DICOSPA[[#This Row],[Costo]]*ARTICULOS_DICOSPA[[#This Row],[Pedido]]</f>
        <v>0</v>
      </c>
      <c r="AH15" s="2" t="str">
        <f>IF(AND(ARTICULOS_DICOSPA[[#This Row],[FechaVenc]]=0,ARTICULOS_DICOSPA[[#This Row],[DiasVenc]]=0),"",ARTICULOS_DICOSPA[[#This Row],[FechaVenc]]-ARTICULOS_DICOSPA[[#This Row],[DiasVenc]])</f>
        <v/>
      </c>
      <c r="AO15" s="30" t="s">
        <v>8689</v>
      </c>
    </row>
    <row r="16" spans="1:43" ht="15.75" x14ac:dyDescent="0.25">
      <c r="A16" s="143" t="s">
        <v>12638</v>
      </c>
      <c r="C16" t="str">
        <f t="shared" si="0"/>
        <v>CIG77990921</v>
      </c>
      <c r="D16" t="s">
        <v>8689</v>
      </c>
      <c r="E16" s="1" t="s">
        <v>12561</v>
      </c>
      <c r="F16" s="61">
        <v>1650</v>
      </c>
      <c r="G16" s="3">
        <v>0</v>
      </c>
      <c r="H16" s="4" t="s">
        <v>8690</v>
      </c>
      <c r="I16">
        <v>10</v>
      </c>
      <c r="J16">
        <v>1</v>
      </c>
      <c r="L16" s="66">
        <f>((ARTICULOS_DICOSPA[[#This Row],[P. Compra]]*(1+ARTICULOS_DICOSPA[[#This Row],[IVA]]%))/ARTICULOS_DICOSPA[[#This Row],[UnidFact]])+ARTICULOS_DICOSPA[[#This Row],[CostoFlete]]</f>
        <v>1650</v>
      </c>
      <c r="M16">
        <v>20</v>
      </c>
      <c r="N16" s="63">
        <f t="shared" si="1"/>
        <v>2050</v>
      </c>
      <c r="O16" s="3">
        <f>MROUND((ARTICULOS_DICOSPA[[#This Row],[Precio]]/0.6),50)</f>
        <v>3400</v>
      </c>
      <c r="P16" t="s">
        <v>8693</v>
      </c>
      <c r="Q16">
        <v>3</v>
      </c>
      <c r="R16" s="3">
        <f>ARTICULOS_DICOSPA[[#This Row],[Bulto]]+ARTICULOS_DICOSPA[[#This Row],[Minimo]]</f>
        <v>13</v>
      </c>
      <c r="S16" t="s">
        <v>12</v>
      </c>
      <c r="T16" t="s">
        <v>15</v>
      </c>
      <c r="U16" t="s">
        <v>67</v>
      </c>
      <c r="V16" s="30" t="s">
        <v>11357</v>
      </c>
      <c r="W16" t="s">
        <v>8692</v>
      </c>
      <c r="X16">
        <v>1</v>
      </c>
      <c r="Y16" s="3">
        <v>33</v>
      </c>
      <c r="AB16" s="80">
        <f>ARTICULOS_DICOSPA[[#This Row],[Costo]]*ARTICULOS_DICOSPA[[#This Row],[Pedido]]</f>
        <v>0</v>
      </c>
      <c r="AH16" s="2" t="str">
        <f>IF(AND(ARTICULOS_DICOSPA[[#This Row],[FechaVenc]]=0,ARTICULOS_DICOSPA[[#This Row],[DiasVenc]]=0),"",ARTICULOS_DICOSPA[[#This Row],[FechaVenc]]-ARTICULOS_DICOSPA[[#This Row],[DiasVenc]])</f>
        <v/>
      </c>
      <c r="AO16" s="30" t="s">
        <v>8689</v>
      </c>
    </row>
    <row r="17" spans="1:41" ht="15.75" x14ac:dyDescent="0.25">
      <c r="A17" s="137">
        <v>77980892</v>
      </c>
      <c r="C17" t="str">
        <f t="shared" si="0"/>
        <v>CIG77980892</v>
      </c>
      <c r="D17" t="s">
        <v>8689</v>
      </c>
      <c r="E17" s="1" t="s">
        <v>11363</v>
      </c>
      <c r="F17" s="61">
        <v>1790</v>
      </c>
      <c r="G17" s="3">
        <v>0</v>
      </c>
      <c r="H17" s="4" t="s">
        <v>8690</v>
      </c>
      <c r="I17">
        <v>10</v>
      </c>
      <c r="J17">
        <v>1</v>
      </c>
      <c r="L17" s="66">
        <f>((ARTICULOS_DICOSPA[[#This Row],[P. Compra]]*(1+ARTICULOS_DICOSPA[[#This Row],[IVA]]%))/ARTICULOS_DICOSPA[[#This Row],[UnidFact]])+ARTICULOS_DICOSPA[[#This Row],[CostoFlete]]</f>
        <v>1790</v>
      </c>
      <c r="M17">
        <v>20</v>
      </c>
      <c r="N17" s="63">
        <f t="shared" si="1"/>
        <v>2250</v>
      </c>
      <c r="O17" s="3">
        <f>MROUND((ARTICULOS_DICOSPA[[#This Row],[Precio]]/0.6),50)</f>
        <v>3750</v>
      </c>
      <c r="P17" t="s">
        <v>8693</v>
      </c>
      <c r="Q17">
        <v>3</v>
      </c>
      <c r="R17" s="3">
        <f>ARTICULOS_DICOSPA[[#This Row],[Bulto]]+ARTICULOS_DICOSPA[[#This Row],[Minimo]]</f>
        <v>13</v>
      </c>
      <c r="S17" t="s">
        <v>12</v>
      </c>
      <c r="T17" t="s">
        <v>15</v>
      </c>
      <c r="U17" t="s">
        <v>67</v>
      </c>
      <c r="V17" s="30" t="s">
        <v>11357</v>
      </c>
      <c r="W17" t="s">
        <v>8692</v>
      </c>
      <c r="X17">
        <v>1</v>
      </c>
      <c r="Y17" s="3">
        <v>33</v>
      </c>
      <c r="AB17" s="80">
        <f>ARTICULOS_DICOSPA[[#This Row],[Costo]]*ARTICULOS_DICOSPA[[#This Row],[Pedido]]</f>
        <v>0</v>
      </c>
      <c r="AH17" s="2" t="str">
        <f>IF(AND(ARTICULOS_DICOSPA[[#This Row],[FechaVenc]]=0,ARTICULOS_DICOSPA[[#This Row],[DiasVenc]]=0),"",ARTICULOS_DICOSPA[[#This Row],[FechaVenc]]-ARTICULOS_DICOSPA[[#This Row],[DiasVenc]])</f>
        <v/>
      </c>
      <c r="AO17" s="30" t="s">
        <v>8689</v>
      </c>
    </row>
    <row r="18" spans="1:41" ht="15.75" x14ac:dyDescent="0.25">
      <c r="A18" s="137">
        <v>77990945</v>
      </c>
      <c r="C18" t="str">
        <f t="shared" ref="C18:C19" si="2">CONCATENATE(LEFT(T18,3),RIGHT(A18,8))</f>
        <v>CIG77990945</v>
      </c>
      <c r="D18" t="s">
        <v>8689</v>
      </c>
      <c r="E18" s="1" t="s">
        <v>12562</v>
      </c>
      <c r="F18" s="61">
        <v>1180</v>
      </c>
      <c r="G18" s="3">
        <v>0</v>
      </c>
      <c r="H18" s="4" t="s">
        <v>8690</v>
      </c>
      <c r="I18">
        <v>10</v>
      </c>
      <c r="J18">
        <v>1</v>
      </c>
      <c r="L18" s="66">
        <f>((ARTICULOS_DICOSPA[[#This Row],[P. Compra]]*(1+ARTICULOS_DICOSPA[[#This Row],[IVA]]%))/ARTICULOS_DICOSPA[[#This Row],[UnidFact]])+ARTICULOS_DICOSPA[[#This Row],[CostoFlete]]</f>
        <v>1180</v>
      </c>
      <c r="M18">
        <v>20</v>
      </c>
      <c r="N18" s="63">
        <f t="shared" si="1"/>
        <v>1500</v>
      </c>
      <c r="O18" s="3">
        <f>MROUND((ARTICULOS_DICOSPA[[#This Row],[Precio]]/0.6),50)</f>
        <v>2500</v>
      </c>
      <c r="P18" t="s">
        <v>8693</v>
      </c>
      <c r="Q18">
        <v>3</v>
      </c>
      <c r="R18" s="3">
        <f>ARTICULOS_DICOSPA[[#This Row],[Bulto]]+ARTICULOS_DICOSPA[[#This Row],[Minimo]]</f>
        <v>13</v>
      </c>
      <c r="S18" t="s">
        <v>12</v>
      </c>
      <c r="T18" t="s">
        <v>15</v>
      </c>
      <c r="U18" t="s">
        <v>67</v>
      </c>
      <c r="V18" s="30" t="s">
        <v>11357</v>
      </c>
      <c r="W18" t="s">
        <v>8692</v>
      </c>
      <c r="X18">
        <v>1</v>
      </c>
      <c r="Y18" s="3">
        <v>20</v>
      </c>
      <c r="AB18" s="80">
        <f>ARTICULOS_DICOSPA[[#This Row],[Costo]]*ARTICULOS_DICOSPA[[#This Row],[Pedido]]</f>
        <v>0</v>
      </c>
      <c r="AH18" s="2" t="str">
        <f>IF(AND(ARTICULOS_DICOSPA[[#This Row],[FechaVenc]]=0,ARTICULOS_DICOSPA[[#This Row],[DiasVenc]]=0),"",ARTICULOS_DICOSPA[[#This Row],[FechaVenc]]-ARTICULOS_DICOSPA[[#This Row],[DiasVenc]])</f>
        <v/>
      </c>
      <c r="AO18" s="30" t="s">
        <v>8689</v>
      </c>
    </row>
    <row r="19" spans="1:41" ht="15.75" x14ac:dyDescent="0.25">
      <c r="A19" s="143" t="s">
        <v>12639</v>
      </c>
      <c r="C19" t="str">
        <f t="shared" si="2"/>
        <v>CIG77990938</v>
      </c>
      <c r="D19" t="s">
        <v>8689</v>
      </c>
      <c r="E19" s="1" t="s">
        <v>12563</v>
      </c>
      <c r="F19" s="61">
        <v>1770</v>
      </c>
      <c r="G19" s="3">
        <v>0</v>
      </c>
      <c r="H19" s="4" t="s">
        <v>8690</v>
      </c>
      <c r="I19">
        <v>10</v>
      </c>
      <c r="J19">
        <v>1</v>
      </c>
      <c r="L19" s="66">
        <f>((ARTICULOS_DICOSPA[[#This Row],[P. Compra]]*(1+ARTICULOS_DICOSPA[[#This Row],[IVA]]%))/ARTICULOS_DICOSPA[[#This Row],[UnidFact]])+ARTICULOS_DICOSPA[[#This Row],[CostoFlete]]</f>
        <v>1770</v>
      </c>
      <c r="M19">
        <v>20</v>
      </c>
      <c r="N19" s="63">
        <f t="shared" si="1"/>
        <v>2200</v>
      </c>
      <c r="O19" s="3">
        <f>MROUND((ARTICULOS_DICOSPA[[#This Row],[Precio]]/0.6),50)</f>
        <v>3650</v>
      </c>
      <c r="P19" t="s">
        <v>8693</v>
      </c>
      <c r="Q19">
        <v>3</v>
      </c>
      <c r="R19" s="3">
        <f>ARTICULOS_DICOSPA[[#This Row],[Bulto]]+ARTICULOS_DICOSPA[[#This Row],[Minimo]]</f>
        <v>13</v>
      </c>
      <c r="S19" t="s">
        <v>12</v>
      </c>
      <c r="T19" t="s">
        <v>15</v>
      </c>
      <c r="U19" t="s">
        <v>67</v>
      </c>
      <c r="V19" s="30" t="s">
        <v>11357</v>
      </c>
      <c r="W19" t="s">
        <v>8692</v>
      </c>
      <c r="X19">
        <v>1</v>
      </c>
      <c r="Y19" s="3">
        <v>20</v>
      </c>
      <c r="AB19" s="80">
        <f>ARTICULOS_DICOSPA[[#This Row],[Costo]]*ARTICULOS_DICOSPA[[#This Row],[Pedido]]</f>
        <v>0</v>
      </c>
      <c r="AH19" s="2" t="str">
        <f>IF(AND(ARTICULOS_DICOSPA[[#This Row],[FechaVenc]]=0,ARTICULOS_DICOSPA[[#This Row],[DiasVenc]]=0),"",ARTICULOS_DICOSPA[[#This Row],[FechaVenc]]-ARTICULOS_DICOSPA[[#This Row],[DiasVenc]])</f>
        <v/>
      </c>
      <c r="AO19" s="30" t="s">
        <v>8689</v>
      </c>
    </row>
    <row r="20" spans="1:41" ht="15.75" x14ac:dyDescent="0.25">
      <c r="A20" s="137">
        <v>77980908</v>
      </c>
      <c r="C20" t="str">
        <f t="shared" ref="C20:C28" si="3">CONCATENATE(LEFT(T20,3),RIGHT(A20,8))</f>
        <v>CIG77980908</v>
      </c>
      <c r="D20" t="s">
        <v>8689</v>
      </c>
      <c r="E20" s="1" t="s">
        <v>11362</v>
      </c>
      <c r="F20" s="61">
        <v>1790</v>
      </c>
      <c r="G20" s="3">
        <v>0</v>
      </c>
      <c r="H20" s="4" t="s">
        <v>8690</v>
      </c>
      <c r="I20">
        <v>10</v>
      </c>
      <c r="J20">
        <v>1</v>
      </c>
      <c r="L20" s="66">
        <f>((ARTICULOS_DICOSPA[[#This Row],[P. Compra]]*(1+ARTICULOS_DICOSPA[[#This Row],[IVA]]%))/ARTICULOS_DICOSPA[[#This Row],[UnidFact]])+ARTICULOS_DICOSPA[[#This Row],[CostoFlete]]</f>
        <v>1790</v>
      </c>
      <c r="M20">
        <v>20</v>
      </c>
      <c r="N20" s="63">
        <f t="shared" si="1"/>
        <v>2250</v>
      </c>
      <c r="O20" s="3">
        <f>MROUND((ARTICULOS_DICOSPA[[#This Row],[Precio]]/0.6),50)</f>
        <v>3750</v>
      </c>
      <c r="P20" t="s">
        <v>8693</v>
      </c>
      <c r="Q20">
        <v>3</v>
      </c>
      <c r="R20" s="3">
        <f>ARTICULOS_DICOSPA[[#This Row],[Bulto]]+ARTICULOS_DICOSPA[[#This Row],[Minimo]]</f>
        <v>13</v>
      </c>
      <c r="S20" t="s">
        <v>12</v>
      </c>
      <c r="T20" t="s">
        <v>15</v>
      </c>
      <c r="U20" t="s">
        <v>67</v>
      </c>
      <c r="V20" s="30" t="s">
        <v>11357</v>
      </c>
      <c r="W20" t="s">
        <v>8692</v>
      </c>
      <c r="X20">
        <v>1</v>
      </c>
      <c r="Y20" s="3">
        <v>20</v>
      </c>
      <c r="AB20" s="80">
        <f>ARTICULOS_DICOSPA[[#This Row],[Costo]]*ARTICULOS_DICOSPA[[#This Row],[Pedido]]</f>
        <v>0</v>
      </c>
      <c r="AH20" s="2" t="str">
        <f>IF(AND(ARTICULOS_DICOSPA[[#This Row],[FechaVenc]]=0,ARTICULOS_DICOSPA[[#This Row],[DiasVenc]]=0),"",ARTICULOS_DICOSPA[[#This Row],[FechaVenc]]-ARTICULOS_DICOSPA[[#This Row],[DiasVenc]])</f>
        <v/>
      </c>
      <c r="AO20" s="30" t="s">
        <v>8689</v>
      </c>
    </row>
    <row r="21" spans="1:41" ht="15.75" x14ac:dyDescent="0.25">
      <c r="A21" s="137">
        <v>77977106</v>
      </c>
      <c r="B21" s="24"/>
      <c r="C21" s="30" t="str">
        <f t="shared" si="3"/>
        <v>CIG77977106</v>
      </c>
      <c r="D21" t="s">
        <v>8689</v>
      </c>
      <c r="E21" s="24" t="s">
        <v>11374</v>
      </c>
      <c r="F21" s="61">
        <v>2400</v>
      </c>
      <c r="G21" s="3">
        <v>0</v>
      </c>
      <c r="H21" s="4" t="s">
        <v>8690</v>
      </c>
      <c r="I21">
        <v>10</v>
      </c>
      <c r="J21">
        <v>1</v>
      </c>
      <c r="L21" s="66">
        <f>((ARTICULOS_DICOSPA[[#This Row],[P. Compra]]*(1+ARTICULOS_DICOSPA[[#This Row],[IVA]]%))/ARTICULOS_DICOSPA[[#This Row],[UnidFact]])+ARTICULOS_DICOSPA[[#This Row],[CostoFlete]]</f>
        <v>2400</v>
      </c>
      <c r="M21">
        <v>20</v>
      </c>
      <c r="N21" s="63">
        <f t="shared" si="1"/>
        <v>3000</v>
      </c>
      <c r="O21" s="3">
        <f>MROUND((ARTICULOS_DICOSPA[[#This Row],[Precio]]/0.6),50)</f>
        <v>5000</v>
      </c>
      <c r="P21" t="s">
        <v>8693</v>
      </c>
      <c r="Q21">
        <v>3</v>
      </c>
      <c r="R21" s="3">
        <f>ARTICULOS_DICOSPA[[#This Row],[Bulto]]+ARTICULOS_DICOSPA[[#This Row],[Minimo]]</f>
        <v>13</v>
      </c>
      <c r="S21" t="s">
        <v>12</v>
      </c>
      <c r="T21" t="s">
        <v>15</v>
      </c>
      <c r="U21" t="s">
        <v>67</v>
      </c>
      <c r="V21" s="30" t="s">
        <v>11372</v>
      </c>
      <c r="W21" t="s">
        <v>8692</v>
      </c>
      <c r="X21">
        <v>1</v>
      </c>
      <c r="Y21" s="3">
        <v>5</v>
      </c>
      <c r="AB21" s="80">
        <f>ARTICULOS_DICOSPA[[#This Row],[Costo]]*ARTICULOS_DICOSPA[[#This Row],[Pedido]]</f>
        <v>0</v>
      </c>
      <c r="AH21" s="2" t="str">
        <f>IF(AND(ARTICULOS_DICOSPA[[#This Row],[FechaVenc]]=0,ARTICULOS_DICOSPA[[#This Row],[DiasVenc]]=0),"",ARTICULOS_DICOSPA[[#This Row],[FechaVenc]]-ARTICULOS_DICOSPA[[#This Row],[DiasVenc]])</f>
        <v/>
      </c>
      <c r="AO21" s="30" t="s">
        <v>8689</v>
      </c>
    </row>
    <row r="22" spans="1:41" ht="15.75" x14ac:dyDescent="0.25">
      <c r="A22" s="137">
        <v>77985224</v>
      </c>
      <c r="C22" t="str">
        <f t="shared" si="3"/>
        <v>CIG77985224</v>
      </c>
      <c r="D22" t="s">
        <v>8689</v>
      </c>
      <c r="E22" s="1" t="s">
        <v>11371</v>
      </c>
      <c r="F22" s="61">
        <v>1280</v>
      </c>
      <c r="G22" s="3">
        <v>0</v>
      </c>
      <c r="H22" s="4" t="s">
        <v>8690</v>
      </c>
      <c r="I22">
        <v>10</v>
      </c>
      <c r="J22">
        <v>1</v>
      </c>
      <c r="L22" s="66">
        <f>((ARTICULOS_DICOSPA[[#This Row],[P. Compra]]*(1+ARTICULOS_DICOSPA[[#This Row],[IVA]]%))/ARTICULOS_DICOSPA[[#This Row],[UnidFact]])+ARTICULOS_DICOSPA[[#This Row],[CostoFlete]]</f>
        <v>1280</v>
      </c>
      <c r="M22">
        <v>20</v>
      </c>
      <c r="N22" s="63">
        <f t="shared" si="1"/>
        <v>1600</v>
      </c>
      <c r="O22" s="3">
        <f>MROUND((ARTICULOS_DICOSPA[[#This Row],[Precio]]/0.6),50)</f>
        <v>2650</v>
      </c>
      <c r="P22" t="s">
        <v>8693</v>
      </c>
      <c r="Q22">
        <v>3</v>
      </c>
      <c r="R22" s="3">
        <f>ARTICULOS_DICOSPA[[#This Row],[Bulto]]+ARTICULOS_DICOSPA[[#This Row],[Minimo]]</f>
        <v>13</v>
      </c>
      <c r="S22" t="s">
        <v>12</v>
      </c>
      <c r="T22" t="s">
        <v>15</v>
      </c>
      <c r="U22" t="s">
        <v>67</v>
      </c>
      <c r="V22" s="30" t="s">
        <v>11372</v>
      </c>
      <c r="W22" t="s">
        <v>8692</v>
      </c>
      <c r="X22">
        <v>1</v>
      </c>
      <c r="Y22" s="3">
        <v>0</v>
      </c>
      <c r="AB22" s="80">
        <f>ARTICULOS_DICOSPA[[#This Row],[Costo]]*ARTICULOS_DICOSPA[[#This Row],[Pedido]]</f>
        <v>0</v>
      </c>
      <c r="AH22" s="2" t="str">
        <f>IF(AND(ARTICULOS_DICOSPA[[#This Row],[FechaVenc]]=0,ARTICULOS_DICOSPA[[#This Row],[DiasVenc]]=0),"",ARTICULOS_DICOSPA[[#This Row],[FechaVenc]]-ARTICULOS_DICOSPA[[#This Row],[DiasVenc]])</f>
        <v/>
      </c>
      <c r="AO22" s="30" t="s">
        <v>8689</v>
      </c>
    </row>
    <row r="23" spans="1:41" ht="15.75" x14ac:dyDescent="0.25">
      <c r="A23" s="137">
        <v>77985231</v>
      </c>
      <c r="B23" s="24"/>
      <c r="C23" s="30" t="str">
        <f t="shared" si="3"/>
        <v>CIG77985231</v>
      </c>
      <c r="D23" t="s">
        <v>8689</v>
      </c>
      <c r="E23" s="24" t="s">
        <v>11373</v>
      </c>
      <c r="F23" s="61">
        <v>1060</v>
      </c>
      <c r="G23" s="3">
        <v>0</v>
      </c>
      <c r="H23" s="4" t="s">
        <v>8690</v>
      </c>
      <c r="I23">
        <v>10</v>
      </c>
      <c r="J23">
        <v>1</v>
      </c>
      <c r="L23" s="66">
        <f>((ARTICULOS_DICOSPA[[#This Row],[P. Compra]]*(1+ARTICULOS_DICOSPA[[#This Row],[IVA]]%))/ARTICULOS_DICOSPA[[#This Row],[UnidFact]])+ARTICULOS_DICOSPA[[#This Row],[CostoFlete]]</f>
        <v>1060</v>
      </c>
      <c r="M23">
        <v>20</v>
      </c>
      <c r="N23" s="63">
        <f t="shared" si="1"/>
        <v>1350</v>
      </c>
      <c r="O23" s="3">
        <f>MROUND((ARTICULOS_DICOSPA[[#This Row],[Precio]]/0.6),50)</f>
        <v>2250</v>
      </c>
      <c r="P23" t="s">
        <v>8693</v>
      </c>
      <c r="Q23">
        <v>3</v>
      </c>
      <c r="R23" s="3">
        <f>ARTICULOS_DICOSPA[[#This Row],[Bulto]]+ARTICULOS_DICOSPA[[#This Row],[Minimo]]</f>
        <v>13</v>
      </c>
      <c r="S23" t="s">
        <v>12</v>
      </c>
      <c r="T23" t="s">
        <v>15</v>
      </c>
      <c r="U23" t="s">
        <v>67</v>
      </c>
      <c r="V23" s="30" t="s">
        <v>11372</v>
      </c>
      <c r="W23" t="s">
        <v>8692</v>
      </c>
      <c r="X23">
        <v>1</v>
      </c>
      <c r="Y23" s="3">
        <v>5</v>
      </c>
      <c r="AB23" s="80">
        <f>ARTICULOS_DICOSPA[[#This Row],[Costo]]*ARTICULOS_DICOSPA[[#This Row],[Pedido]]</f>
        <v>0</v>
      </c>
      <c r="AH23" s="2" t="str">
        <f>IF(AND(ARTICULOS_DICOSPA[[#This Row],[FechaVenc]]=0,ARTICULOS_DICOSPA[[#This Row],[DiasVenc]]=0),"",ARTICULOS_DICOSPA[[#This Row],[FechaVenc]]-ARTICULOS_DICOSPA[[#This Row],[DiasVenc]])</f>
        <v/>
      </c>
      <c r="AO23" s="30" t="s">
        <v>8689</v>
      </c>
    </row>
    <row r="24" spans="1:41" ht="15.75" x14ac:dyDescent="0.25">
      <c r="A24" s="137">
        <v>77977205</v>
      </c>
      <c r="C24" t="str">
        <f t="shared" si="3"/>
        <v>CIG77977205</v>
      </c>
      <c r="D24" t="s">
        <v>8689</v>
      </c>
      <c r="E24" s="1" t="s">
        <v>11354</v>
      </c>
      <c r="F24" s="61">
        <v>3110</v>
      </c>
      <c r="G24" s="3">
        <v>0</v>
      </c>
      <c r="H24" s="4" t="s">
        <v>8690</v>
      </c>
      <c r="I24">
        <v>10</v>
      </c>
      <c r="J24">
        <v>1</v>
      </c>
      <c r="L24" s="66">
        <f>((ARTICULOS_DICOSPA[[#This Row],[P. Compra]]*(1+ARTICULOS_DICOSPA[[#This Row],[IVA]]%))/ARTICULOS_DICOSPA[[#This Row],[UnidFact]])+ARTICULOS_DICOSPA[[#This Row],[CostoFlete]]</f>
        <v>3110</v>
      </c>
      <c r="M24">
        <v>20</v>
      </c>
      <c r="N24" s="63">
        <f t="shared" si="1"/>
        <v>3900</v>
      </c>
      <c r="O24" s="3">
        <f>MROUND((ARTICULOS_DICOSPA[[#This Row],[Precio]]/0.6),50)</f>
        <v>6500</v>
      </c>
      <c r="P24" t="s">
        <v>8693</v>
      </c>
      <c r="Q24">
        <v>3</v>
      </c>
      <c r="R24" s="3">
        <f>ARTICULOS_DICOSPA[[#This Row],[Bulto]]+ARTICULOS_DICOSPA[[#This Row],[Minimo]]</f>
        <v>13</v>
      </c>
      <c r="S24" t="s">
        <v>12</v>
      </c>
      <c r="T24" t="s">
        <v>15</v>
      </c>
      <c r="U24" t="s">
        <v>67</v>
      </c>
      <c r="V24" s="30" t="s">
        <v>11353</v>
      </c>
      <c r="W24" t="s">
        <v>8692</v>
      </c>
      <c r="X24">
        <v>1</v>
      </c>
      <c r="Y24" s="3">
        <v>10</v>
      </c>
      <c r="AB24" s="80">
        <f>ARTICULOS_DICOSPA[[#This Row],[Costo]]*ARTICULOS_DICOSPA[[#This Row],[Pedido]]</f>
        <v>0</v>
      </c>
      <c r="AH24" s="2" t="str">
        <f>IF(AND(ARTICULOS_DICOSPA[[#This Row],[FechaVenc]]=0,ARTICULOS_DICOSPA[[#This Row],[DiasVenc]]=0),"",ARTICULOS_DICOSPA[[#This Row],[FechaVenc]]-ARTICULOS_DICOSPA[[#This Row],[DiasVenc]])</f>
        <v/>
      </c>
      <c r="AO24" s="30" t="s">
        <v>8689</v>
      </c>
    </row>
    <row r="25" spans="1:41" ht="15.75" x14ac:dyDescent="0.25">
      <c r="A25" s="137" t="s">
        <v>12593</v>
      </c>
      <c r="C25" t="str">
        <f t="shared" si="3"/>
        <v>CIG77988041</v>
      </c>
      <c r="D25" t="s">
        <v>8689</v>
      </c>
      <c r="E25" s="1" t="s">
        <v>12203</v>
      </c>
      <c r="F25" s="61">
        <v>1860</v>
      </c>
      <c r="G25" s="3">
        <v>0</v>
      </c>
      <c r="H25" s="4" t="s">
        <v>8690</v>
      </c>
      <c r="I25">
        <v>10</v>
      </c>
      <c r="J25">
        <v>1</v>
      </c>
      <c r="L25" s="66">
        <f>((ARTICULOS_DICOSPA[[#This Row],[P. Compra]]*(1+ARTICULOS_DICOSPA[[#This Row],[IVA]]%))/ARTICULOS_DICOSPA[[#This Row],[UnidFact]])+ARTICULOS_DICOSPA[[#This Row],[CostoFlete]]</f>
        <v>1860</v>
      </c>
      <c r="M25">
        <v>20</v>
      </c>
      <c r="N25" s="63">
        <f t="shared" si="1"/>
        <v>2350</v>
      </c>
      <c r="O25" s="3">
        <f>MROUND((ARTICULOS_DICOSPA[[#This Row],[Precio]]/0.6),50)</f>
        <v>3900</v>
      </c>
      <c r="P25" t="s">
        <v>8693</v>
      </c>
      <c r="Q25">
        <v>3</v>
      </c>
      <c r="R25" s="3">
        <f>ARTICULOS_DICOSPA[[#This Row],[Bulto]]+ARTICULOS_DICOSPA[[#This Row],[Minimo]]</f>
        <v>13</v>
      </c>
      <c r="S25" t="s">
        <v>12</v>
      </c>
      <c r="T25" t="s">
        <v>15</v>
      </c>
      <c r="U25" t="s">
        <v>67</v>
      </c>
      <c r="V25" s="30" t="s">
        <v>11353</v>
      </c>
      <c r="W25" t="s">
        <v>8692</v>
      </c>
      <c r="X25">
        <v>1</v>
      </c>
      <c r="Y25" s="3">
        <v>4</v>
      </c>
      <c r="AB25" s="80">
        <f>ARTICULOS_DICOSPA[[#This Row],[Costo]]*ARTICULOS_DICOSPA[[#This Row],[Pedido]]</f>
        <v>0</v>
      </c>
      <c r="AF25" s="2"/>
      <c r="AH25" s="2" t="str">
        <f>IF(AND(ARTICULOS_DICOSPA[[#This Row],[FechaVenc]]=0,ARTICULOS_DICOSPA[[#This Row],[DiasVenc]]=0),"",ARTICULOS_DICOSPA[[#This Row],[FechaVenc]]-ARTICULOS_DICOSPA[[#This Row],[DiasVenc]])</f>
        <v/>
      </c>
      <c r="AO25" s="30" t="s">
        <v>8689</v>
      </c>
    </row>
    <row r="26" spans="1:41" ht="15.75" x14ac:dyDescent="0.25">
      <c r="A26" s="137">
        <v>77977243</v>
      </c>
      <c r="C26" t="str">
        <f t="shared" si="3"/>
        <v>CIG77977243</v>
      </c>
      <c r="D26" t="s">
        <v>8689</v>
      </c>
      <c r="E26" s="1" t="s">
        <v>11355</v>
      </c>
      <c r="F26" s="61">
        <v>3110</v>
      </c>
      <c r="G26" s="3">
        <v>0</v>
      </c>
      <c r="H26" s="4" t="s">
        <v>8690</v>
      </c>
      <c r="I26">
        <v>10</v>
      </c>
      <c r="J26">
        <v>1</v>
      </c>
      <c r="L26" s="66">
        <f>((ARTICULOS_DICOSPA[[#This Row],[P. Compra]]*(1+ARTICULOS_DICOSPA[[#This Row],[IVA]]%))/ARTICULOS_DICOSPA[[#This Row],[UnidFact]])+ARTICULOS_DICOSPA[[#This Row],[CostoFlete]]</f>
        <v>3110</v>
      </c>
      <c r="M26">
        <v>20</v>
      </c>
      <c r="N26" s="63">
        <f t="shared" si="1"/>
        <v>3900</v>
      </c>
      <c r="O26" s="3">
        <f>MROUND((ARTICULOS_DICOSPA[[#This Row],[Precio]]/0.6),50)</f>
        <v>6500</v>
      </c>
      <c r="P26" t="s">
        <v>8693</v>
      </c>
      <c r="Q26">
        <v>3</v>
      </c>
      <c r="R26" s="3">
        <f>ARTICULOS_DICOSPA[[#This Row],[Bulto]]+ARTICULOS_DICOSPA[[#This Row],[Minimo]]</f>
        <v>13</v>
      </c>
      <c r="S26" s="30" t="s">
        <v>12</v>
      </c>
      <c r="T26" s="30" t="s">
        <v>15</v>
      </c>
      <c r="U26" t="s">
        <v>67</v>
      </c>
      <c r="V26" s="30" t="s">
        <v>11353</v>
      </c>
      <c r="W26" t="s">
        <v>8692</v>
      </c>
      <c r="X26">
        <v>1</v>
      </c>
      <c r="Y26" s="3">
        <v>13</v>
      </c>
      <c r="AB26" s="80">
        <f>ARTICULOS_DICOSPA[[#This Row],[Costo]]*ARTICULOS_DICOSPA[[#This Row],[Pedido]]</f>
        <v>0</v>
      </c>
      <c r="AH26" s="2" t="str">
        <f>IF(AND(ARTICULOS_DICOSPA[[#This Row],[FechaVenc]]=0,ARTICULOS_DICOSPA[[#This Row],[DiasVenc]]=0),"",ARTICULOS_DICOSPA[[#This Row],[FechaVenc]]-ARTICULOS_DICOSPA[[#This Row],[DiasVenc]])</f>
        <v/>
      </c>
      <c r="AO26" s="30" t="s">
        <v>8689</v>
      </c>
    </row>
    <row r="27" spans="1:41" ht="15.75" x14ac:dyDescent="0.25">
      <c r="A27" s="137">
        <v>77977244</v>
      </c>
      <c r="C27" t="str">
        <f t="shared" si="3"/>
        <v>CIG77977244</v>
      </c>
      <c r="D27" t="s">
        <v>8689</v>
      </c>
      <c r="E27" s="1" t="s">
        <v>12564</v>
      </c>
      <c r="F27" s="61">
        <v>2800</v>
      </c>
      <c r="G27" s="3">
        <v>0</v>
      </c>
      <c r="H27" s="4" t="s">
        <v>8690</v>
      </c>
      <c r="I27">
        <v>10</v>
      </c>
      <c r="J27">
        <v>1</v>
      </c>
      <c r="L27" s="66">
        <f>((ARTICULOS_DICOSPA[[#This Row],[P. Compra]]*(1+ARTICULOS_DICOSPA[[#This Row],[IVA]]%))/ARTICULOS_DICOSPA[[#This Row],[UnidFact]])+ARTICULOS_DICOSPA[[#This Row],[CostoFlete]]</f>
        <v>2800</v>
      </c>
      <c r="M27">
        <v>20</v>
      </c>
      <c r="N27" s="63">
        <f t="shared" si="1"/>
        <v>3500</v>
      </c>
      <c r="O27" s="3">
        <f>MROUND((ARTICULOS_DICOSPA[[#This Row],[Precio]]/0.6),50)</f>
        <v>5850</v>
      </c>
      <c r="P27" t="s">
        <v>8693</v>
      </c>
      <c r="Q27">
        <v>3</v>
      </c>
      <c r="R27" s="3">
        <f>ARTICULOS_DICOSPA[[#This Row],[Bulto]]+ARTICULOS_DICOSPA[[#This Row],[Minimo]]</f>
        <v>13</v>
      </c>
      <c r="S27" s="30" t="s">
        <v>12</v>
      </c>
      <c r="T27" s="30" t="s">
        <v>15</v>
      </c>
      <c r="U27" t="s">
        <v>67</v>
      </c>
      <c r="V27" s="30" t="s">
        <v>11353</v>
      </c>
      <c r="W27" t="s">
        <v>8692</v>
      </c>
      <c r="X27">
        <v>1</v>
      </c>
      <c r="Y27" s="3">
        <v>13</v>
      </c>
      <c r="AB27" s="80">
        <f>ARTICULOS_DICOSPA[[#This Row],[Costo]]*ARTICULOS_DICOSPA[[#This Row],[Pedido]]</f>
        <v>0</v>
      </c>
      <c r="AH27" s="2" t="str">
        <f>IF(AND(ARTICULOS_DICOSPA[[#This Row],[FechaVenc]]=0,ARTICULOS_DICOSPA[[#This Row],[DiasVenc]]=0),"",ARTICULOS_DICOSPA[[#This Row],[FechaVenc]]-ARTICULOS_DICOSPA[[#This Row],[DiasVenc]])</f>
        <v/>
      </c>
      <c r="AO27" s="30" t="s">
        <v>8689</v>
      </c>
    </row>
    <row r="28" spans="1:41" ht="15.75" x14ac:dyDescent="0.25">
      <c r="A28" s="137">
        <v>77978189</v>
      </c>
      <c r="B28" s="24"/>
      <c r="C28" s="30" t="str">
        <f t="shared" si="3"/>
        <v>CIG77978189</v>
      </c>
      <c r="D28" t="s">
        <v>8689</v>
      </c>
      <c r="E28" s="24" t="s">
        <v>11375</v>
      </c>
      <c r="F28" s="61">
        <v>2730</v>
      </c>
      <c r="G28" s="3">
        <v>0</v>
      </c>
      <c r="H28" s="4" t="s">
        <v>8690</v>
      </c>
      <c r="I28">
        <v>10</v>
      </c>
      <c r="J28">
        <v>1</v>
      </c>
      <c r="L28" s="66">
        <f>((ARTICULOS_DICOSPA[[#This Row],[P. Compra]]*(1+ARTICULOS_DICOSPA[[#This Row],[IVA]]%))/ARTICULOS_DICOSPA[[#This Row],[UnidFact]])+ARTICULOS_DICOSPA[[#This Row],[CostoFlete]]</f>
        <v>2730</v>
      </c>
      <c r="M28">
        <v>20</v>
      </c>
      <c r="N28" s="63">
        <f t="shared" si="1"/>
        <v>3400</v>
      </c>
      <c r="O28" s="3">
        <f>MROUND((ARTICULOS_DICOSPA[[#This Row],[Precio]]/0.6),50)</f>
        <v>5650</v>
      </c>
      <c r="P28" t="s">
        <v>8693</v>
      </c>
      <c r="Q28">
        <v>3</v>
      </c>
      <c r="R28" s="3">
        <f>ARTICULOS_DICOSPA[[#This Row],[Bulto]]+ARTICULOS_DICOSPA[[#This Row],[Minimo]]</f>
        <v>13</v>
      </c>
      <c r="S28" t="s">
        <v>12</v>
      </c>
      <c r="T28" t="s">
        <v>15</v>
      </c>
      <c r="U28" t="s">
        <v>67</v>
      </c>
      <c r="V28" s="30" t="s">
        <v>11376</v>
      </c>
      <c r="W28" t="s">
        <v>8692</v>
      </c>
      <c r="X28">
        <v>1</v>
      </c>
      <c r="Y28" s="3">
        <v>4</v>
      </c>
      <c r="AB28" s="80">
        <f>ARTICULOS_DICOSPA[[#This Row],[Costo]]*ARTICULOS_DICOSPA[[#This Row],[Pedido]]</f>
        <v>0</v>
      </c>
      <c r="AH28" s="2" t="str">
        <f>IF(AND(ARTICULOS_DICOSPA[[#This Row],[FechaVenc]]=0,ARTICULOS_DICOSPA[[#This Row],[DiasVenc]]=0),"",ARTICULOS_DICOSPA[[#This Row],[FechaVenc]]-ARTICULOS_DICOSPA[[#This Row],[DiasVenc]])</f>
        <v/>
      </c>
      <c r="AO28" s="30" t="s">
        <v>8689</v>
      </c>
    </row>
  </sheetData>
  <conditionalFormatting sqref="A1">
    <cfRule type="duplicateValues" dxfId="120" priority="4"/>
  </conditionalFormatting>
  <conditionalFormatting sqref="A2:C1048576">
    <cfRule type="duplicateValues" dxfId="119" priority="482"/>
    <cfRule type="duplicateValues" dxfId="118" priority="483"/>
  </conditionalFormatting>
  <conditionalFormatting sqref="C1">
    <cfRule type="duplicateValues" dxfId="117" priority="3"/>
  </conditionalFormatting>
  <conditionalFormatting sqref="L1:L28">
    <cfRule type="cellIs" dxfId="116" priority="1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ignoredErrors>
    <ignoredError sqref="A25" numberStoredAsText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858F9FE-500B-4BA1-9D8F-D47A3475CAA6}">
          <x14:formula1>
            <xm:f>LISTAS!$A:$A</xm:f>
          </x14:formula1>
          <xm:sqref>S1:S28</xm:sqref>
        </x14:dataValidation>
        <x14:dataValidation type="list" allowBlank="1" showInputMessage="1" showErrorMessage="1" xr:uid="{2AFC84D9-B7C4-4ECF-8E34-99750106B74D}">
          <x14:formula1>
            <xm:f>LISTAS!$E:$E</xm:f>
          </x14:formula1>
          <xm:sqref>U1:U28</xm:sqref>
        </x14:dataValidation>
        <x14:dataValidation type="list" allowBlank="1" showInputMessage="1" showErrorMessage="1" xr:uid="{D20DA1D4-FD78-48FF-AC7A-1A479DF1B5F6}">
          <x14:formula1>
            <xm:f>LISTAS!$C:$C</xm:f>
          </x14:formula1>
          <xm:sqref>T2:T28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F304-03E6-4EB9-8E5F-C4C4ED901925}">
  <dimension ref="A1:AQ44"/>
  <sheetViews>
    <sheetView workbookViewId="0">
      <pane xSplit="5" topLeftCell="F1" activePane="topRight" state="frozen"/>
      <selection activeCell="AD34" sqref="AD34"/>
      <selection pane="topRight" activeCell="N2" sqref="N2"/>
    </sheetView>
  </sheetViews>
  <sheetFormatPr baseColWidth="10" defaultColWidth="11.42578125" defaultRowHeight="15.75" x14ac:dyDescent="0.25"/>
  <cols>
    <col min="1" max="1" width="4.42578125" style="1" customWidth="1"/>
    <col min="2" max="2" width="9.5703125" style="1" customWidth="1"/>
    <col min="3" max="3" width="5.140625" style="30" customWidth="1"/>
    <col min="4" max="4" width="6.85546875" style="30" customWidth="1"/>
    <col min="5" max="5" width="44.7109375" style="1" bestFit="1" customWidth="1"/>
    <col min="6" max="6" width="11.85546875" style="16" customWidth="1"/>
    <col min="7" max="7" width="11.42578125" style="62"/>
    <col min="8" max="8" width="7" style="15" bestFit="1" customWidth="1"/>
    <col min="9" max="9" width="7" bestFit="1" customWidth="1"/>
    <col min="10" max="10" width="7" style="55" customWidth="1"/>
    <col min="11" max="11" width="10.140625" customWidth="1"/>
    <col min="12" max="12" width="10.42578125" style="67" bestFit="1" customWidth="1"/>
    <col min="14" max="14" width="11.42578125" style="30"/>
    <col min="15" max="15" width="11.42578125" style="1"/>
    <col min="17" max="17" width="11.42578125" style="30"/>
    <col min="22" max="22" width="11.42578125" style="38"/>
    <col min="23" max="23" width="9.28515625" bestFit="1" customWidth="1"/>
    <col min="26" max="26" width="12.42578125" customWidth="1"/>
    <col min="27" max="27" width="13.5703125" bestFit="1" customWidth="1"/>
    <col min="30" max="30" width="12.42578125" customWidth="1"/>
    <col min="31" max="31" width="12.5703125" customWidth="1"/>
    <col min="37" max="37" width="20" customWidth="1"/>
    <col min="38" max="38" width="13.28515625" customWidth="1"/>
    <col min="39" max="39" width="11.5703125" customWidth="1"/>
    <col min="40" max="40" width="18.7109375" customWidth="1"/>
    <col min="42" max="42" width="14.28515625" customWidth="1"/>
    <col min="43" max="44" width="13.7109375" customWidth="1"/>
    <col min="47" max="47" width="12.42578125" customWidth="1"/>
    <col min="48" max="48" width="10.7109375" customWidth="1"/>
    <col min="49" max="49" width="12.85546875" customWidth="1"/>
    <col min="51" max="51" width="11.7109375" customWidth="1"/>
    <col min="52" max="52" width="12.28515625" customWidth="1"/>
  </cols>
  <sheetData>
    <row r="1" spans="1:43" s="11" customFormat="1" ht="20.2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x14ac:dyDescent="0.25">
      <c r="A2" s="1" t="s">
        <v>8878</v>
      </c>
      <c r="B2" t="s">
        <v>8879</v>
      </c>
      <c r="C2" s="30" t="str">
        <f t="shared" ref="C2:C44" si="0">CONCATENATE(LEFT(T2,3),RIGHT(A2,8))</f>
        <v>ALM75800820</v>
      </c>
      <c r="D2" s="30" t="s">
        <v>8689</v>
      </c>
      <c r="E2" t="s">
        <v>8880</v>
      </c>
      <c r="F2" s="61">
        <v>50764.03</v>
      </c>
      <c r="G2" s="3">
        <v>0</v>
      </c>
      <c r="H2" s="4"/>
      <c r="I2" s="38">
        <v>20</v>
      </c>
      <c r="J2" s="38">
        <v>20</v>
      </c>
      <c r="K2" s="54"/>
      <c r="L2" s="66">
        <f>((ARTICULOS_FRIGOR[[#This Row],[P. Compra]]*(1+ARTICULOS_FRIGOR[[#This Row],[IVA]]%))/ARTICULOS_FRIGOR[[#This Row],[UnidFact]])+ARTICULOS_FRIGOR[[#This Row],[CostoFlete]]</f>
        <v>2538.2015000000001</v>
      </c>
      <c r="M2">
        <v>23</v>
      </c>
      <c r="N2" s="39">
        <f t="shared" ref="N2:N44" si="1">IF(L2&gt;=5,MROUND(L2/(1-M2/100),50),10)</f>
        <v>3300</v>
      </c>
      <c r="O2" s="19">
        <f t="shared" ref="O2:O44" si="2">MROUND(N2/0.6,50)</f>
        <v>5500</v>
      </c>
      <c r="P2" t="s">
        <v>8693</v>
      </c>
      <c r="Q2">
        <v>5</v>
      </c>
      <c r="R2" s="3">
        <f>ARTICULOS_FRIGOR[[#This Row],[Bulto]]+ARTICULOS_FRIGOR[[#This Row],[Minimo]]</f>
        <v>25</v>
      </c>
      <c r="S2" s="30" t="s">
        <v>8881</v>
      </c>
      <c r="T2" s="1" t="s">
        <v>4</v>
      </c>
      <c r="U2" t="s">
        <v>105</v>
      </c>
      <c r="V2" s="30" t="s">
        <v>8881</v>
      </c>
      <c r="W2" t="s">
        <v>8692</v>
      </c>
      <c r="X2">
        <v>1</v>
      </c>
      <c r="Y2">
        <v>0</v>
      </c>
      <c r="AB2" s="80">
        <f>ARTICULOS_OSLE[[#This Row],[Costo]]*ARTICULOS_OSLE[[#This Row],[Pedido]]</f>
        <v>0</v>
      </c>
      <c r="AF2" s="2"/>
      <c r="AH2" s="2" t="str">
        <f>IF(AND(ARTICULOS_OSLE[[#This Row],[FechaVenc]]=0,ARTICULOS_OSLE[[#This Row],[DiasVenc]]=0),"",ARTICULOS_OSLE[[#This Row],[FechaVenc]]-ARTICULOS_OSLE[[#This Row],[DiasVenc]])</f>
        <v/>
      </c>
      <c r="AO2" s="30" t="s">
        <v>8689</v>
      </c>
    </row>
    <row r="3" spans="1:43" x14ac:dyDescent="0.25">
      <c r="A3" s="1" t="s">
        <v>8882</v>
      </c>
      <c r="B3" t="s">
        <v>8883</v>
      </c>
      <c r="C3" s="30" t="str">
        <f t="shared" si="0"/>
        <v>ALM75800509</v>
      </c>
      <c r="D3" s="30" t="s">
        <v>8689</v>
      </c>
      <c r="E3" s="30" t="s">
        <v>8884</v>
      </c>
      <c r="F3" s="61">
        <f>F2</f>
        <v>50764.03</v>
      </c>
      <c r="G3" s="3">
        <v>0</v>
      </c>
      <c r="H3" s="4"/>
      <c r="I3" s="38">
        <v>20</v>
      </c>
      <c r="J3" s="38">
        <v>20</v>
      </c>
      <c r="K3" s="54"/>
      <c r="L3" s="69">
        <f>((ARTICULOS_FRIGOR[[#This Row],[P. Compra]]*(1+ARTICULOS_FRIGOR[[#This Row],[IVA]]%))/ARTICULOS_FRIGOR[[#This Row],[UnidFact]])+ARTICULOS_FRIGOR[[#This Row],[CostoFlete]]</f>
        <v>2538.2015000000001</v>
      </c>
      <c r="M3">
        <v>23</v>
      </c>
      <c r="N3" s="39">
        <f t="shared" si="1"/>
        <v>3300</v>
      </c>
      <c r="O3" s="19">
        <f t="shared" si="2"/>
        <v>5500</v>
      </c>
      <c r="P3" t="s">
        <v>8693</v>
      </c>
      <c r="Q3">
        <v>5</v>
      </c>
      <c r="R3" s="3">
        <f>ARTICULOS_FRIGOR[[#This Row],[Bulto]]+ARTICULOS_FRIGOR[[#This Row],[Minimo]]</f>
        <v>25</v>
      </c>
      <c r="S3" s="30" t="s">
        <v>8881</v>
      </c>
      <c r="T3" s="1" t="s">
        <v>4</v>
      </c>
      <c r="U3" t="s">
        <v>105</v>
      </c>
      <c r="V3" s="30" t="s">
        <v>8881</v>
      </c>
      <c r="W3" t="s">
        <v>8692</v>
      </c>
      <c r="X3">
        <v>1</v>
      </c>
      <c r="Y3">
        <v>0</v>
      </c>
      <c r="AB3" s="80">
        <f>ARTICULOS_OSLE[[#This Row],[Costo]]*ARTICULOS_OSLE[[#This Row],[Pedido]]</f>
        <v>0</v>
      </c>
      <c r="AH3" s="2" t="str">
        <f>IF(AND(ARTICULOS_OSLE[[#This Row],[FechaVenc]]=0,ARTICULOS_OSLE[[#This Row],[DiasVenc]]=0),"",ARTICULOS_OSLE[[#This Row],[FechaVenc]]-ARTICULOS_OSLE[[#This Row],[DiasVenc]])</f>
        <v/>
      </c>
      <c r="AO3" s="30" t="s">
        <v>8689</v>
      </c>
    </row>
    <row r="4" spans="1:43" x14ac:dyDescent="0.25">
      <c r="A4" s="1" t="s">
        <v>8885</v>
      </c>
      <c r="B4" t="s">
        <v>8886</v>
      </c>
      <c r="C4" s="30" t="str">
        <f t="shared" si="0"/>
        <v>ALM35242746</v>
      </c>
      <c r="D4" s="30" t="s">
        <v>8689</v>
      </c>
      <c r="E4" t="s">
        <v>8887</v>
      </c>
      <c r="F4" s="61">
        <v>41540.18</v>
      </c>
      <c r="G4" s="3">
        <v>0</v>
      </c>
      <c r="H4" s="4"/>
      <c r="I4" s="38">
        <v>18</v>
      </c>
      <c r="J4" s="38">
        <v>18</v>
      </c>
      <c r="K4" s="54"/>
      <c r="L4" s="69">
        <f>((ARTICULOS_FRIGOR[[#This Row],[P. Compra]]*(1+ARTICULOS_FRIGOR[[#This Row],[IVA]]%))/ARTICULOS_FRIGOR[[#This Row],[UnidFact]])+ARTICULOS_FRIGOR[[#This Row],[CostoFlete]]</f>
        <v>2307.7877777777776</v>
      </c>
      <c r="M4">
        <v>23</v>
      </c>
      <c r="N4" s="63">
        <f t="shared" si="1"/>
        <v>3000</v>
      </c>
      <c r="O4" s="19">
        <f t="shared" si="2"/>
        <v>5000</v>
      </c>
      <c r="P4" t="s">
        <v>8693</v>
      </c>
      <c r="Q4">
        <v>4</v>
      </c>
      <c r="R4" s="3">
        <f>ARTICULOS_FRIGOR[[#This Row],[Bulto]]+ARTICULOS_FRIGOR[[#This Row],[Minimo]]</f>
        <v>22</v>
      </c>
      <c r="S4" s="30" t="s">
        <v>8881</v>
      </c>
      <c r="T4" s="1" t="s">
        <v>4</v>
      </c>
      <c r="U4" t="s">
        <v>105</v>
      </c>
      <c r="V4" s="30" t="s">
        <v>8881</v>
      </c>
      <c r="W4" t="s">
        <v>8692</v>
      </c>
      <c r="X4">
        <v>1</v>
      </c>
      <c r="Y4">
        <v>0</v>
      </c>
      <c r="AB4" s="80">
        <f>ARTICULOS_OSLE[[#This Row],[Costo]]*ARTICULOS_OSLE[[#This Row],[Pedido]]</f>
        <v>0</v>
      </c>
      <c r="AH4" s="2" t="str">
        <f>IF(AND(ARTICULOS_OSLE[[#This Row],[FechaVenc]]=0,ARTICULOS_OSLE[[#This Row],[DiasVenc]]=0),"",ARTICULOS_OSLE[[#This Row],[FechaVenc]]-ARTICULOS_OSLE[[#This Row],[DiasVenc]])</f>
        <v/>
      </c>
      <c r="AO4" s="30" t="s">
        <v>8689</v>
      </c>
    </row>
    <row r="5" spans="1:43" x14ac:dyDescent="0.25">
      <c r="A5" s="1" t="s">
        <v>8888</v>
      </c>
      <c r="B5" t="s">
        <v>8889</v>
      </c>
      <c r="C5" s="30" t="str">
        <f t="shared" si="0"/>
        <v>ALM35242524</v>
      </c>
      <c r="D5" s="30" t="s">
        <v>8689</v>
      </c>
      <c r="E5" t="s">
        <v>8890</v>
      </c>
      <c r="F5" s="61">
        <f>F4</f>
        <v>41540.18</v>
      </c>
      <c r="G5" s="3">
        <v>0</v>
      </c>
      <c r="H5" s="4"/>
      <c r="I5" s="38">
        <v>18</v>
      </c>
      <c r="J5" s="38">
        <v>18</v>
      </c>
      <c r="K5" s="54"/>
      <c r="L5" s="69">
        <f>((ARTICULOS_FRIGOR[[#This Row],[P. Compra]]*(1+ARTICULOS_FRIGOR[[#This Row],[IVA]]%))/ARTICULOS_FRIGOR[[#This Row],[UnidFact]])+ARTICULOS_FRIGOR[[#This Row],[CostoFlete]]</f>
        <v>2307.7877777777776</v>
      </c>
      <c r="M5">
        <v>23</v>
      </c>
      <c r="N5" s="39">
        <f t="shared" si="1"/>
        <v>3000</v>
      </c>
      <c r="O5" s="19">
        <f t="shared" si="2"/>
        <v>5000</v>
      </c>
      <c r="P5" t="s">
        <v>8693</v>
      </c>
      <c r="Q5">
        <v>4</v>
      </c>
      <c r="R5" s="3">
        <f>ARTICULOS_FRIGOR[[#This Row],[Bulto]]+ARTICULOS_FRIGOR[[#This Row],[Minimo]]</f>
        <v>22</v>
      </c>
      <c r="S5" s="30" t="s">
        <v>8881</v>
      </c>
      <c r="T5" s="1" t="s">
        <v>4</v>
      </c>
      <c r="U5" t="s">
        <v>105</v>
      </c>
      <c r="V5" s="30" t="s">
        <v>8881</v>
      </c>
      <c r="W5" t="s">
        <v>8692</v>
      </c>
      <c r="X5">
        <v>1</v>
      </c>
      <c r="Y5">
        <v>1</v>
      </c>
      <c r="AB5" s="80">
        <f>ARTICULOS_OSLE[[#This Row],[Costo]]*ARTICULOS_OSLE[[#This Row],[Pedido]]</f>
        <v>0</v>
      </c>
      <c r="AH5" s="2" t="str">
        <f>IF(AND(ARTICULOS_OSLE[[#This Row],[FechaVenc]]=0,ARTICULOS_OSLE[[#This Row],[DiasVenc]]=0),"",ARTICULOS_OSLE[[#This Row],[FechaVenc]]-ARTICULOS_OSLE[[#This Row],[DiasVenc]])</f>
        <v/>
      </c>
      <c r="AO5" s="30" t="s">
        <v>8689</v>
      </c>
    </row>
    <row r="6" spans="1:43" x14ac:dyDescent="0.25">
      <c r="A6" s="1" t="s">
        <v>8891</v>
      </c>
      <c r="B6" t="s">
        <v>8892</v>
      </c>
      <c r="C6" s="30" t="str">
        <f t="shared" si="0"/>
        <v>ALM35242500</v>
      </c>
      <c r="D6" s="30" t="s">
        <v>8689</v>
      </c>
      <c r="E6" t="s">
        <v>8893</v>
      </c>
      <c r="F6" s="61">
        <f t="shared" ref="F6:F7" si="3">F5</f>
        <v>41540.18</v>
      </c>
      <c r="G6" s="3">
        <v>0</v>
      </c>
      <c r="H6" s="4"/>
      <c r="I6" s="38">
        <v>18</v>
      </c>
      <c r="J6" s="38">
        <v>18</v>
      </c>
      <c r="K6" s="54"/>
      <c r="L6" s="69">
        <f>((ARTICULOS_FRIGOR[[#This Row],[P. Compra]]*(1+ARTICULOS_FRIGOR[[#This Row],[IVA]]%))/ARTICULOS_FRIGOR[[#This Row],[UnidFact]])+ARTICULOS_FRIGOR[[#This Row],[CostoFlete]]</f>
        <v>2307.7877777777776</v>
      </c>
      <c r="M6">
        <v>23</v>
      </c>
      <c r="N6" s="39">
        <f t="shared" si="1"/>
        <v>3000</v>
      </c>
      <c r="O6" s="19">
        <f t="shared" si="2"/>
        <v>5000</v>
      </c>
      <c r="P6" t="s">
        <v>8693</v>
      </c>
      <c r="Q6">
        <v>4</v>
      </c>
      <c r="R6" s="3">
        <f>ARTICULOS_FRIGOR[[#This Row],[Bulto]]+ARTICULOS_FRIGOR[[#This Row],[Minimo]]</f>
        <v>22</v>
      </c>
      <c r="S6" s="30" t="s">
        <v>8881</v>
      </c>
      <c r="T6" s="1" t="s">
        <v>4</v>
      </c>
      <c r="U6" t="s">
        <v>105</v>
      </c>
      <c r="V6" s="30" t="s">
        <v>8881</v>
      </c>
      <c r="W6" t="s">
        <v>8692</v>
      </c>
      <c r="X6">
        <v>1</v>
      </c>
      <c r="Y6">
        <v>3</v>
      </c>
      <c r="AB6" s="80">
        <f>ARTICULOS_OSLE[[#This Row],[Costo]]*ARTICULOS_OSLE[[#This Row],[Pedido]]</f>
        <v>13950</v>
      </c>
      <c r="AH6" s="2" t="str">
        <f>IF(AND(ARTICULOS_OSLE[[#This Row],[FechaVenc]]=0,ARTICULOS_OSLE[[#This Row],[DiasVenc]]=0),"",ARTICULOS_OSLE[[#This Row],[FechaVenc]]-ARTICULOS_OSLE[[#This Row],[DiasVenc]])</f>
        <v/>
      </c>
      <c r="AO6" s="30" t="s">
        <v>8689</v>
      </c>
    </row>
    <row r="7" spans="1:43" x14ac:dyDescent="0.25">
      <c r="A7" s="1" t="s">
        <v>8894</v>
      </c>
      <c r="B7" t="s">
        <v>8895</v>
      </c>
      <c r="C7" s="30" t="str">
        <f t="shared" si="0"/>
        <v>ALM04841506</v>
      </c>
      <c r="D7" s="30" t="s">
        <v>8689</v>
      </c>
      <c r="E7" t="s">
        <v>8896</v>
      </c>
      <c r="F7" s="61">
        <f t="shared" si="3"/>
        <v>41540.18</v>
      </c>
      <c r="G7" s="3">
        <v>0</v>
      </c>
      <c r="H7" s="4"/>
      <c r="I7" s="38">
        <v>18</v>
      </c>
      <c r="J7" s="38">
        <v>18</v>
      </c>
      <c r="K7" s="54"/>
      <c r="L7" s="69">
        <f>((ARTICULOS_FRIGOR[[#This Row],[P. Compra]]*(1+ARTICULOS_FRIGOR[[#This Row],[IVA]]%))/ARTICULOS_FRIGOR[[#This Row],[UnidFact]])+ARTICULOS_FRIGOR[[#This Row],[CostoFlete]]</f>
        <v>2307.7877777777776</v>
      </c>
      <c r="M7">
        <v>23</v>
      </c>
      <c r="N7" s="63">
        <f t="shared" si="1"/>
        <v>3000</v>
      </c>
      <c r="O7" s="19">
        <f t="shared" si="2"/>
        <v>5000</v>
      </c>
      <c r="P7" t="s">
        <v>8693</v>
      </c>
      <c r="Q7">
        <v>4</v>
      </c>
      <c r="R7" s="3">
        <f>ARTICULOS_FRIGOR[[#This Row],[Bulto]]+ARTICULOS_FRIGOR[[#This Row],[Minimo]]</f>
        <v>22</v>
      </c>
      <c r="S7" s="30" t="s">
        <v>8881</v>
      </c>
      <c r="T7" s="1" t="s">
        <v>4</v>
      </c>
      <c r="U7" t="s">
        <v>105</v>
      </c>
      <c r="V7" s="30" t="s">
        <v>8881</v>
      </c>
      <c r="W7" t="s">
        <v>8692</v>
      </c>
      <c r="X7">
        <v>1</v>
      </c>
      <c r="Y7">
        <v>0</v>
      </c>
      <c r="AB7" s="80">
        <f>ARTICULOS_OSLE[[#This Row],[Costo]]*ARTICULOS_OSLE[[#This Row],[Pedido]]</f>
        <v>18600</v>
      </c>
      <c r="AH7" s="2" t="str">
        <f>IF(AND(ARTICULOS_OSLE[[#This Row],[FechaVenc]]=0,ARTICULOS_OSLE[[#This Row],[DiasVenc]]=0),"",ARTICULOS_OSLE[[#This Row],[FechaVenc]]-ARTICULOS_OSLE[[#This Row],[DiasVenc]])</f>
        <v/>
      </c>
      <c r="AO7" s="30" t="s">
        <v>8689</v>
      </c>
    </row>
    <row r="8" spans="1:43" x14ac:dyDescent="0.25">
      <c r="A8" s="1" t="s">
        <v>8897</v>
      </c>
      <c r="B8" t="s">
        <v>8898</v>
      </c>
      <c r="C8" s="30" t="str">
        <f t="shared" si="0"/>
        <v>ALM75801964</v>
      </c>
      <c r="D8" s="30" t="s">
        <v>8689</v>
      </c>
      <c r="E8" t="s">
        <v>8899</v>
      </c>
      <c r="F8" s="61">
        <v>49229.5</v>
      </c>
      <c r="G8" s="3">
        <v>0</v>
      </c>
      <c r="H8" s="4"/>
      <c r="I8" s="38">
        <v>20</v>
      </c>
      <c r="J8" s="38">
        <v>20</v>
      </c>
      <c r="K8" s="54"/>
      <c r="L8" s="69">
        <f>((ARTICULOS_FRIGOR[[#This Row],[P. Compra]]*(1+ARTICULOS_FRIGOR[[#This Row],[IVA]]%))/ARTICULOS_FRIGOR[[#This Row],[UnidFact]])+ARTICULOS_FRIGOR[[#This Row],[CostoFlete]]</f>
        <v>2461.4749999999999</v>
      </c>
      <c r="M8">
        <v>23</v>
      </c>
      <c r="N8" s="39">
        <f t="shared" si="1"/>
        <v>3200</v>
      </c>
      <c r="O8" s="19">
        <f t="shared" si="2"/>
        <v>5350</v>
      </c>
      <c r="P8" t="s">
        <v>8693</v>
      </c>
      <c r="Q8">
        <v>5</v>
      </c>
      <c r="R8" s="3">
        <f>ARTICULOS_FRIGOR[[#This Row],[Bulto]]+ARTICULOS_FRIGOR[[#This Row],[Minimo]]</f>
        <v>25</v>
      </c>
      <c r="S8" s="30" t="s">
        <v>8881</v>
      </c>
      <c r="T8" s="1" t="s">
        <v>4</v>
      </c>
      <c r="U8" t="s">
        <v>105</v>
      </c>
      <c r="V8" s="30" t="s">
        <v>8881</v>
      </c>
      <c r="W8" t="s">
        <v>8692</v>
      </c>
      <c r="X8">
        <v>1</v>
      </c>
      <c r="Y8">
        <v>0</v>
      </c>
      <c r="AB8" s="80">
        <f>ARTICULOS_OSLE[[#This Row],[Costo]]*ARTICULOS_OSLE[[#This Row],[Pedido]]</f>
        <v>0</v>
      </c>
      <c r="AH8" s="2" t="str">
        <f>IF(AND(ARTICULOS_OSLE[[#This Row],[FechaVenc]]=0,ARTICULOS_OSLE[[#This Row],[DiasVenc]]=0),"",ARTICULOS_OSLE[[#This Row],[FechaVenc]]-ARTICULOS_OSLE[[#This Row],[DiasVenc]])</f>
        <v/>
      </c>
      <c r="AO8" s="30" t="s">
        <v>8689</v>
      </c>
    </row>
    <row r="9" spans="1:43" x14ac:dyDescent="0.25">
      <c r="A9" s="1" t="s">
        <v>8900</v>
      </c>
      <c r="B9" t="s">
        <v>8901</v>
      </c>
      <c r="C9" s="30" t="str">
        <f t="shared" si="0"/>
        <v>ALM04841544</v>
      </c>
      <c r="D9" s="30" t="s">
        <v>8689</v>
      </c>
      <c r="E9" t="s">
        <v>8902</v>
      </c>
      <c r="F9" s="61">
        <f>F8</f>
        <v>49229.5</v>
      </c>
      <c r="G9" s="3">
        <v>0</v>
      </c>
      <c r="H9" s="4"/>
      <c r="I9" s="38">
        <v>20</v>
      </c>
      <c r="J9" s="38">
        <v>20</v>
      </c>
      <c r="K9" s="54"/>
      <c r="L9" s="69">
        <f>((ARTICULOS_FRIGOR[[#This Row],[P. Compra]]*(1+ARTICULOS_FRIGOR[[#This Row],[IVA]]%))/ARTICULOS_FRIGOR[[#This Row],[UnidFact]])+ARTICULOS_FRIGOR[[#This Row],[CostoFlete]]</f>
        <v>2461.4749999999999</v>
      </c>
      <c r="M9">
        <v>23</v>
      </c>
      <c r="N9" s="39">
        <f t="shared" si="1"/>
        <v>3200</v>
      </c>
      <c r="O9" s="19">
        <f t="shared" si="2"/>
        <v>5350</v>
      </c>
      <c r="P9" t="s">
        <v>8693</v>
      </c>
      <c r="Q9">
        <v>5</v>
      </c>
      <c r="R9" s="3">
        <f>ARTICULOS_FRIGOR[[#This Row],[Bulto]]+ARTICULOS_FRIGOR[[#This Row],[Minimo]]</f>
        <v>25</v>
      </c>
      <c r="S9" s="30" t="s">
        <v>8881</v>
      </c>
      <c r="T9" s="1" t="s">
        <v>4</v>
      </c>
      <c r="U9" t="s">
        <v>105</v>
      </c>
      <c r="V9" s="30" t="s">
        <v>8881</v>
      </c>
      <c r="W9" t="s">
        <v>8692</v>
      </c>
      <c r="X9">
        <v>1</v>
      </c>
      <c r="Y9">
        <v>0</v>
      </c>
      <c r="AB9" s="80">
        <f>ARTICULOS_OSLE[[#This Row],[Costo]]*ARTICULOS_OSLE[[#This Row],[Pedido]]</f>
        <v>0</v>
      </c>
      <c r="AH9" s="2" t="str">
        <f>IF(AND(ARTICULOS_OSLE[[#This Row],[FechaVenc]]=0,ARTICULOS_OSLE[[#This Row],[DiasVenc]]=0),"",ARTICULOS_OSLE[[#This Row],[FechaVenc]]-ARTICULOS_OSLE[[#This Row],[DiasVenc]])</f>
        <v/>
      </c>
      <c r="AO9" s="30" t="s">
        <v>8689</v>
      </c>
    </row>
    <row r="10" spans="1:43" x14ac:dyDescent="0.25">
      <c r="A10" s="1" t="s">
        <v>8903</v>
      </c>
      <c r="B10" t="s">
        <v>8904</v>
      </c>
      <c r="C10" s="30" t="str">
        <f t="shared" si="0"/>
        <v>ALM75800790</v>
      </c>
      <c r="D10" s="30" t="s">
        <v>8689</v>
      </c>
      <c r="E10" t="s">
        <v>8905</v>
      </c>
      <c r="F10" s="61">
        <f t="shared" ref="F10:F14" si="4">F9</f>
        <v>49229.5</v>
      </c>
      <c r="G10" s="3">
        <v>0</v>
      </c>
      <c r="H10" s="4"/>
      <c r="I10" s="38">
        <v>20</v>
      </c>
      <c r="J10" s="38">
        <v>20</v>
      </c>
      <c r="K10" s="54"/>
      <c r="L10" s="69">
        <f>((ARTICULOS_FRIGOR[[#This Row],[P. Compra]]*(1+ARTICULOS_FRIGOR[[#This Row],[IVA]]%))/ARTICULOS_FRIGOR[[#This Row],[UnidFact]])+ARTICULOS_FRIGOR[[#This Row],[CostoFlete]]</f>
        <v>2461.4749999999999</v>
      </c>
      <c r="M10">
        <v>23</v>
      </c>
      <c r="N10" s="63">
        <f t="shared" si="1"/>
        <v>3200</v>
      </c>
      <c r="O10" s="19">
        <f t="shared" si="2"/>
        <v>5350</v>
      </c>
      <c r="P10" t="s">
        <v>8693</v>
      </c>
      <c r="Q10">
        <v>5</v>
      </c>
      <c r="R10" s="3">
        <f>ARTICULOS_FRIGOR[[#This Row],[Bulto]]+ARTICULOS_FRIGOR[[#This Row],[Minimo]]</f>
        <v>25</v>
      </c>
      <c r="S10" s="30" t="s">
        <v>8881</v>
      </c>
      <c r="T10" s="1" t="s">
        <v>4</v>
      </c>
      <c r="U10" t="s">
        <v>105</v>
      </c>
      <c r="V10" s="30" t="s">
        <v>8881</v>
      </c>
      <c r="W10" t="s">
        <v>8692</v>
      </c>
      <c r="X10">
        <v>1</v>
      </c>
      <c r="Y10">
        <v>0</v>
      </c>
      <c r="AB10" s="80">
        <f>ARTICULOS_OSLE[[#This Row],[Costo]]*ARTICULOS_OSLE[[#This Row],[Pedido]]</f>
        <v>0</v>
      </c>
      <c r="AH10" s="2" t="str">
        <f>IF(AND(ARTICULOS_OSLE[[#This Row],[FechaVenc]]=0,ARTICULOS_OSLE[[#This Row],[DiasVenc]]=0),"",ARTICULOS_OSLE[[#This Row],[FechaVenc]]-ARTICULOS_OSLE[[#This Row],[DiasVenc]])</f>
        <v/>
      </c>
      <c r="AO10" s="30" t="s">
        <v>8689</v>
      </c>
    </row>
    <row r="11" spans="1:43" x14ac:dyDescent="0.25">
      <c r="A11" s="1" t="s">
        <v>8906</v>
      </c>
      <c r="B11" t="s">
        <v>8907</v>
      </c>
      <c r="C11" s="30" t="str">
        <f t="shared" si="0"/>
        <v>ALM75802091</v>
      </c>
      <c r="D11" s="30" t="s">
        <v>8689</v>
      </c>
      <c r="E11" t="s">
        <v>8908</v>
      </c>
      <c r="F11" s="61">
        <f t="shared" si="4"/>
        <v>49229.5</v>
      </c>
      <c r="G11" s="3">
        <v>0</v>
      </c>
      <c r="H11" s="4"/>
      <c r="I11" s="38">
        <v>20</v>
      </c>
      <c r="J11" s="38">
        <v>20</v>
      </c>
      <c r="K11" s="54"/>
      <c r="L11" s="69">
        <f>((ARTICULOS_FRIGOR[[#This Row],[P. Compra]]*(1+ARTICULOS_FRIGOR[[#This Row],[IVA]]%))/ARTICULOS_FRIGOR[[#This Row],[UnidFact]])+ARTICULOS_FRIGOR[[#This Row],[CostoFlete]]</f>
        <v>2461.4749999999999</v>
      </c>
      <c r="M11">
        <v>23</v>
      </c>
      <c r="N11" s="39">
        <f t="shared" si="1"/>
        <v>3200</v>
      </c>
      <c r="O11" s="19">
        <f t="shared" si="2"/>
        <v>5350</v>
      </c>
      <c r="P11" t="s">
        <v>8693</v>
      </c>
      <c r="Q11">
        <v>5</v>
      </c>
      <c r="R11" s="3">
        <f>ARTICULOS_FRIGOR[[#This Row],[Bulto]]+ARTICULOS_FRIGOR[[#This Row],[Minimo]]</f>
        <v>25</v>
      </c>
      <c r="S11" s="30" t="s">
        <v>8881</v>
      </c>
      <c r="T11" s="1" t="s">
        <v>4</v>
      </c>
      <c r="U11" t="s">
        <v>105</v>
      </c>
      <c r="V11" s="30" t="s">
        <v>8881</v>
      </c>
      <c r="W11" t="s">
        <v>8692</v>
      </c>
      <c r="X11">
        <v>1</v>
      </c>
      <c r="Y11">
        <v>0</v>
      </c>
      <c r="AB11" s="80">
        <f>ARTICULOS_OSLE[[#This Row],[Costo]]*ARTICULOS_OSLE[[#This Row],[Pedido]]</f>
        <v>0</v>
      </c>
      <c r="AH11" s="2" t="str">
        <f>IF(AND(ARTICULOS_OSLE[[#This Row],[FechaVenc]]=0,ARTICULOS_OSLE[[#This Row],[DiasVenc]]=0),"",ARTICULOS_OSLE[[#This Row],[FechaVenc]]-ARTICULOS_OSLE[[#This Row],[DiasVenc]])</f>
        <v/>
      </c>
      <c r="AO11" s="30" t="s">
        <v>8689</v>
      </c>
    </row>
    <row r="12" spans="1:43" x14ac:dyDescent="0.25">
      <c r="A12" s="1" t="s">
        <v>8909</v>
      </c>
      <c r="B12" t="s">
        <v>8910</v>
      </c>
      <c r="C12" s="30" t="str">
        <f t="shared" si="0"/>
        <v>ALM00100660</v>
      </c>
      <c r="D12" s="30" t="s">
        <v>8689</v>
      </c>
      <c r="E12" t="s">
        <v>8911</v>
      </c>
      <c r="F12" s="61">
        <f t="shared" si="4"/>
        <v>49229.5</v>
      </c>
      <c r="G12" s="3">
        <v>0</v>
      </c>
      <c r="H12" s="4"/>
      <c r="I12" s="38">
        <v>20</v>
      </c>
      <c r="J12" s="38">
        <v>20</v>
      </c>
      <c r="K12" s="54"/>
      <c r="L12" s="69">
        <f>((ARTICULOS_FRIGOR[[#This Row],[P. Compra]]*(1+ARTICULOS_FRIGOR[[#This Row],[IVA]]%))/ARTICULOS_FRIGOR[[#This Row],[UnidFact]])+ARTICULOS_FRIGOR[[#This Row],[CostoFlete]]</f>
        <v>2461.4749999999999</v>
      </c>
      <c r="M12">
        <v>23</v>
      </c>
      <c r="N12" s="39">
        <f t="shared" si="1"/>
        <v>3200</v>
      </c>
      <c r="O12" s="19">
        <f t="shared" si="2"/>
        <v>5350</v>
      </c>
      <c r="P12" t="s">
        <v>8693</v>
      </c>
      <c r="Q12">
        <v>5</v>
      </c>
      <c r="R12" s="3">
        <f>ARTICULOS_FRIGOR[[#This Row],[Bulto]]+ARTICULOS_FRIGOR[[#This Row],[Minimo]]</f>
        <v>25</v>
      </c>
      <c r="S12" s="30" t="s">
        <v>8881</v>
      </c>
      <c r="T12" s="1" t="s">
        <v>4</v>
      </c>
      <c r="U12" t="s">
        <v>105</v>
      </c>
      <c r="V12" s="30" t="s">
        <v>8881</v>
      </c>
      <c r="W12" t="s">
        <v>8692</v>
      </c>
      <c r="X12">
        <v>1</v>
      </c>
      <c r="Y12">
        <v>0</v>
      </c>
      <c r="AB12" s="80">
        <f>ARTICULOS_OSLE[[#This Row],[Costo]]*ARTICULOS_OSLE[[#This Row],[Pedido]]</f>
        <v>0</v>
      </c>
      <c r="AH12" s="2" t="str">
        <f>IF(AND(ARTICULOS_OSLE[[#This Row],[FechaVenc]]=0,ARTICULOS_OSLE[[#This Row],[DiasVenc]]=0),"",ARTICULOS_OSLE[[#This Row],[FechaVenc]]-ARTICULOS_OSLE[[#This Row],[DiasVenc]])</f>
        <v/>
      </c>
      <c r="AO12" s="30" t="s">
        <v>8689</v>
      </c>
    </row>
    <row r="13" spans="1:43" x14ac:dyDescent="0.25">
      <c r="A13" s="1" t="s">
        <v>8912</v>
      </c>
      <c r="B13" t="s">
        <v>8913</v>
      </c>
      <c r="C13" s="30" t="str">
        <f t="shared" si="0"/>
        <v>ALM00100622</v>
      </c>
      <c r="D13" s="30" t="s">
        <v>8689</v>
      </c>
      <c r="E13" t="s">
        <v>8914</v>
      </c>
      <c r="F13" s="61">
        <f t="shared" si="4"/>
        <v>49229.5</v>
      </c>
      <c r="G13" s="3">
        <v>0</v>
      </c>
      <c r="H13" s="4"/>
      <c r="I13" s="38">
        <v>20</v>
      </c>
      <c r="J13" s="38">
        <v>20</v>
      </c>
      <c r="K13" s="54"/>
      <c r="L13" s="69">
        <f>((ARTICULOS_FRIGOR[[#This Row],[P. Compra]]*(1+ARTICULOS_FRIGOR[[#This Row],[IVA]]%))/ARTICULOS_FRIGOR[[#This Row],[UnidFact]])+ARTICULOS_FRIGOR[[#This Row],[CostoFlete]]</f>
        <v>2461.4749999999999</v>
      </c>
      <c r="M13">
        <v>23</v>
      </c>
      <c r="N13" s="63">
        <f t="shared" si="1"/>
        <v>3200</v>
      </c>
      <c r="O13" s="19">
        <f t="shared" si="2"/>
        <v>5350</v>
      </c>
      <c r="P13" t="s">
        <v>8693</v>
      </c>
      <c r="Q13">
        <v>5</v>
      </c>
      <c r="R13" s="3">
        <f>ARTICULOS_FRIGOR[[#This Row],[Bulto]]+ARTICULOS_FRIGOR[[#This Row],[Minimo]]</f>
        <v>25</v>
      </c>
      <c r="S13" s="30" t="s">
        <v>8881</v>
      </c>
      <c r="T13" s="1" t="s">
        <v>4</v>
      </c>
      <c r="U13" t="s">
        <v>105</v>
      </c>
      <c r="V13" s="30" t="s">
        <v>8881</v>
      </c>
      <c r="W13" t="s">
        <v>8692</v>
      </c>
      <c r="X13">
        <v>1</v>
      </c>
      <c r="Y13">
        <v>0</v>
      </c>
      <c r="AB13" s="80">
        <f>ARTICULOS_OSLE[[#This Row],[Costo]]*ARTICULOS_OSLE[[#This Row],[Pedido]]</f>
        <v>27300</v>
      </c>
      <c r="AH13" s="2" t="str">
        <f>IF(AND(ARTICULOS_OSLE[[#This Row],[FechaVenc]]=0,ARTICULOS_OSLE[[#This Row],[DiasVenc]]=0),"",ARTICULOS_OSLE[[#This Row],[FechaVenc]]-ARTICULOS_OSLE[[#This Row],[DiasVenc]])</f>
        <v/>
      </c>
      <c r="AO13" s="30" t="s">
        <v>8689</v>
      </c>
    </row>
    <row r="14" spans="1:43" x14ac:dyDescent="0.25">
      <c r="A14" s="1" t="s">
        <v>8915</v>
      </c>
      <c r="B14" t="s">
        <v>8916</v>
      </c>
      <c r="C14" s="30" t="str">
        <f t="shared" si="0"/>
        <v>ALM75800813</v>
      </c>
      <c r="D14" s="30" t="s">
        <v>8689</v>
      </c>
      <c r="E14" t="s">
        <v>8917</v>
      </c>
      <c r="F14" s="61">
        <f t="shared" si="4"/>
        <v>49229.5</v>
      </c>
      <c r="G14" s="3">
        <v>0</v>
      </c>
      <c r="H14" s="4"/>
      <c r="I14" s="38">
        <v>20</v>
      </c>
      <c r="J14" s="38">
        <v>20</v>
      </c>
      <c r="K14" s="54"/>
      <c r="L14" s="69">
        <f>((ARTICULOS_FRIGOR[[#This Row],[P. Compra]]*(1+ARTICULOS_FRIGOR[[#This Row],[IVA]]%))/ARTICULOS_FRIGOR[[#This Row],[UnidFact]])+ARTICULOS_FRIGOR[[#This Row],[CostoFlete]]</f>
        <v>2461.4749999999999</v>
      </c>
      <c r="M14">
        <v>23</v>
      </c>
      <c r="N14" s="39">
        <f t="shared" si="1"/>
        <v>3200</v>
      </c>
      <c r="O14" s="19">
        <f t="shared" si="2"/>
        <v>5350</v>
      </c>
      <c r="P14" t="s">
        <v>8693</v>
      </c>
      <c r="Q14">
        <v>5</v>
      </c>
      <c r="R14" s="3">
        <f>ARTICULOS_FRIGOR[[#This Row],[Bulto]]+ARTICULOS_FRIGOR[[#This Row],[Minimo]]</f>
        <v>25</v>
      </c>
      <c r="S14" s="30" t="s">
        <v>8881</v>
      </c>
      <c r="T14" s="1" t="s">
        <v>4</v>
      </c>
      <c r="U14" t="s">
        <v>105</v>
      </c>
      <c r="V14" s="30" t="s">
        <v>8881</v>
      </c>
      <c r="W14" t="s">
        <v>8692</v>
      </c>
      <c r="X14">
        <v>1</v>
      </c>
      <c r="Y14">
        <v>0</v>
      </c>
      <c r="AB14" s="80">
        <f>ARTICULOS_OSLE[[#This Row],[Costo]]*ARTICULOS_OSLE[[#This Row],[Pedido]]</f>
        <v>24000</v>
      </c>
      <c r="AH14" s="2" t="str">
        <f>IF(AND(ARTICULOS_OSLE[[#This Row],[FechaVenc]]=0,ARTICULOS_OSLE[[#This Row],[DiasVenc]]=0),"",ARTICULOS_OSLE[[#This Row],[FechaVenc]]-ARTICULOS_OSLE[[#This Row],[DiasVenc]])</f>
        <v/>
      </c>
      <c r="AO14" s="30" t="s">
        <v>8689</v>
      </c>
    </row>
    <row r="15" spans="1:43" x14ac:dyDescent="0.25">
      <c r="A15" s="24" t="s">
        <v>8918</v>
      </c>
      <c r="B15" t="s">
        <v>8919</v>
      </c>
      <c r="C15" s="30" t="str">
        <f t="shared" si="0"/>
        <v>ALM04841575</v>
      </c>
      <c r="D15" s="30" t="s">
        <v>8689</v>
      </c>
      <c r="E15" t="s">
        <v>8920</v>
      </c>
      <c r="F15" s="61">
        <v>34610.300000000003</v>
      </c>
      <c r="G15" s="3">
        <v>0</v>
      </c>
      <c r="H15" s="4"/>
      <c r="I15" s="38">
        <v>18</v>
      </c>
      <c r="J15" s="38">
        <v>18</v>
      </c>
      <c r="K15" s="54"/>
      <c r="L15" s="69">
        <f>((ARTICULOS_FRIGOR[[#This Row],[P. Compra]]*(1+ARTICULOS_FRIGOR[[#This Row],[IVA]]%))/ARTICULOS_FRIGOR[[#This Row],[UnidFact]])+ARTICULOS_FRIGOR[[#This Row],[CostoFlete]]</f>
        <v>1922.7944444444447</v>
      </c>
      <c r="M15">
        <v>23</v>
      </c>
      <c r="N15" s="39">
        <f t="shared" si="1"/>
        <v>2500</v>
      </c>
      <c r="O15" s="19">
        <f t="shared" si="2"/>
        <v>4150</v>
      </c>
      <c r="P15" t="s">
        <v>8693</v>
      </c>
      <c r="Q15">
        <v>4</v>
      </c>
      <c r="R15" s="3">
        <f>ARTICULOS_FRIGOR[[#This Row],[Bulto]]+ARTICULOS_FRIGOR[[#This Row],[Minimo]]</f>
        <v>22</v>
      </c>
      <c r="S15" s="30" t="s">
        <v>8881</v>
      </c>
      <c r="T15" s="1" t="s">
        <v>4</v>
      </c>
      <c r="U15" t="s">
        <v>105</v>
      </c>
      <c r="V15" s="30" t="s">
        <v>8881</v>
      </c>
      <c r="W15" t="s">
        <v>8692</v>
      </c>
      <c r="X15">
        <v>1</v>
      </c>
      <c r="Y15">
        <v>0</v>
      </c>
      <c r="AB15" s="80">
        <f>ARTICULOS_OSLE[[#This Row],[Costo]]*ARTICULOS_OSLE[[#This Row],[Pedido]]</f>
        <v>16200</v>
      </c>
      <c r="AH15" s="2" t="str">
        <f>IF(AND(ARTICULOS_OSLE[[#This Row],[FechaVenc]]=0,ARTICULOS_OSLE[[#This Row],[DiasVenc]]=0),"",ARTICULOS_OSLE[[#This Row],[FechaVenc]]-ARTICULOS_OSLE[[#This Row],[DiasVenc]])</f>
        <v/>
      </c>
      <c r="AO15" s="30" t="s">
        <v>8689</v>
      </c>
    </row>
    <row r="16" spans="1:43" x14ac:dyDescent="0.25">
      <c r="A16" s="1" t="s">
        <v>8921</v>
      </c>
      <c r="B16" t="s">
        <v>8922</v>
      </c>
      <c r="C16" s="30" t="str">
        <f t="shared" si="0"/>
        <v>ALM35745414</v>
      </c>
      <c r="D16" s="30" t="s">
        <v>8689</v>
      </c>
      <c r="E16" t="s">
        <v>8923</v>
      </c>
      <c r="F16" s="61">
        <v>30463.43</v>
      </c>
      <c r="G16" s="3">
        <v>0</v>
      </c>
      <c r="H16" s="4"/>
      <c r="I16" s="38">
        <v>18</v>
      </c>
      <c r="J16" s="38">
        <v>18</v>
      </c>
      <c r="K16" s="54"/>
      <c r="L16" s="69">
        <f>((ARTICULOS_FRIGOR[[#This Row],[P. Compra]]*(1+ARTICULOS_FRIGOR[[#This Row],[IVA]]%))/ARTICULOS_FRIGOR[[#This Row],[UnidFact]])+ARTICULOS_FRIGOR[[#This Row],[CostoFlete]]</f>
        <v>1692.4127777777778</v>
      </c>
      <c r="M16">
        <v>23</v>
      </c>
      <c r="N16" s="63">
        <f t="shared" si="1"/>
        <v>2200</v>
      </c>
      <c r="O16" s="19">
        <f t="shared" si="2"/>
        <v>3650</v>
      </c>
      <c r="P16" t="s">
        <v>8693</v>
      </c>
      <c r="Q16">
        <v>4</v>
      </c>
      <c r="R16" s="3">
        <f>ARTICULOS_FRIGOR[[#This Row],[Bulto]]+ARTICULOS_FRIGOR[[#This Row],[Minimo]]</f>
        <v>22</v>
      </c>
      <c r="S16" s="30" t="s">
        <v>8881</v>
      </c>
      <c r="T16" s="1" t="s">
        <v>4</v>
      </c>
      <c r="U16" t="s">
        <v>105</v>
      </c>
      <c r="V16" s="30" t="s">
        <v>8881</v>
      </c>
      <c r="W16" t="s">
        <v>8692</v>
      </c>
      <c r="X16">
        <v>1</v>
      </c>
      <c r="Y16">
        <v>0</v>
      </c>
      <c r="AB16" s="80">
        <f>ARTICULOS_OSLE[[#This Row],[Costo]]*ARTICULOS_OSLE[[#This Row],[Pedido]]</f>
        <v>27900</v>
      </c>
      <c r="AH16" s="2" t="str">
        <f>IF(AND(ARTICULOS_OSLE[[#This Row],[FechaVenc]]=0,ARTICULOS_OSLE[[#This Row],[DiasVenc]]=0),"",ARTICULOS_OSLE[[#This Row],[FechaVenc]]-ARTICULOS_OSLE[[#This Row],[DiasVenc]])</f>
        <v/>
      </c>
      <c r="AO16" s="30" t="s">
        <v>8689</v>
      </c>
    </row>
    <row r="17" spans="1:41" x14ac:dyDescent="0.25">
      <c r="A17" s="1" t="s">
        <v>8924</v>
      </c>
      <c r="B17" t="s">
        <v>8925</v>
      </c>
      <c r="C17" s="30" t="str">
        <f t="shared" si="0"/>
        <v>ALM04841476</v>
      </c>
      <c r="D17" s="30" t="s">
        <v>8689</v>
      </c>
      <c r="E17" t="s">
        <v>8926</v>
      </c>
      <c r="F17" s="61">
        <f>F16</f>
        <v>30463.43</v>
      </c>
      <c r="G17" s="3">
        <v>0</v>
      </c>
      <c r="H17" s="4"/>
      <c r="I17" s="38">
        <v>18</v>
      </c>
      <c r="J17" s="38">
        <v>18</v>
      </c>
      <c r="K17" s="54"/>
      <c r="L17" s="69">
        <f>((ARTICULOS_FRIGOR[[#This Row],[P. Compra]]*(1+ARTICULOS_FRIGOR[[#This Row],[IVA]]%))/ARTICULOS_FRIGOR[[#This Row],[UnidFact]])+ARTICULOS_FRIGOR[[#This Row],[CostoFlete]]</f>
        <v>1692.4127777777778</v>
      </c>
      <c r="M17">
        <v>23</v>
      </c>
      <c r="N17" s="39">
        <f t="shared" si="1"/>
        <v>2200</v>
      </c>
      <c r="O17" s="19">
        <f t="shared" si="2"/>
        <v>3650</v>
      </c>
      <c r="P17" t="s">
        <v>8693</v>
      </c>
      <c r="Q17">
        <v>4</v>
      </c>
      <c r="R17" s="3">
        <f>ARTICULOS_FRIGOR[[#This Row],[Bulto]]+ARTICULOS_FRIGOR[[#This Row],[Minimo]]</f>
        <v>22</v>
      </c>
      <c r="S17" s="30" t="s">
        <v>8881</v>
      </c>
      <c r="T17" s="1" t="s">
        <v>4</v>
      </c>
      <c r="U17" t="s">
        <v>105</v>
      </c>
      <c r="V17" s="30" t="s">
        <v>8881</v>
      </c>
      <c r="W17" t="s">
        <v>8692</v>
      </c>
      <c r="X17">
        <v>1</v>
      </c>
      <c r="Y17">
        <v>0</v>
      </c>
      <c r="AB17" s="80">
        <f>ARTICULOS_OSLE[[#This Row],[Costo]]*ARTICULOS_OSLE[[#This Row],[Pedido]]</f>
        <v>16700</v>
      </c>
      <c r="AH17" s="2" t="str">
        <f>IF(AND(ARTICULOS_OSLE[[#This Row],[FechaVenc]]=0,ARTICULOS_OSLE[[#This Row],[DiasVenc]]=0),"",ARTICULOS_OSLE[[#This Row],[FechaVenc]]-ARTICULOS_OSLE[[#This Row],[DiasVenc]])</f>
        <v/>
      </c>
      <c r="AO17" s="30" t="s">
        <v>8689</v>
      </c>
    </row>
    <row r="18" spans="1:41" x14ac:dyDescent="0.25">
      <c r="A18" s="1" t="s">
        <v>8927</v>
      </c>
      <c r="B18" t="s">
        <v>8928</v>
      </c>
      <c r="C18" s="30" t="str">
        <f t="shared" si="0"/>
        <v>ALM04841469</v>
      </c>
      <c r="D18" s="30" t="s">
        <v>8689</v>
      </c>
      <c r="E18" t="s">
        <v>8929</v>
      </c>
      <c r="F18" s="61">
        <f t="shared" ref="F18:F19" si="5">F17</f>
        <v>30463.43</v>
      </c>
      <c r="G18" s="3">
        <v>0</v>
      </c>
      <c r="H18" s="4"/>
      <c r="I18" s="38">
        <v>18</v>
      </c>
      <c r="J18" s="38">
        <v>18</v>
      </c>
      <c r="K18" s="54"/>
      <c r="L18" s="69">
        <f>((ARTICULOS_FRIGOR[[#This Row],[P. Compra]]*(1+ARTICULOS_FRIGOR[[#This Row],[IVA]]%))/ARTICULOS_FRIGOR[[#This Row],[UnidFact]])+ARTICULOS_FRIGOR[[#This Row],[CostoFlete]]</f>
        <v>1692.4127777777778</v>
      </c>
      <c r="M18">
        <v>23</v>
      </c>
      <c r="N18" s="39">
        <f t="shared" si="1"/>
        <v>2200</v>
      </c>
      <c r="O18" s="19">
        <f t="shared" si="2"/>
        <v>3650</v>
      </c>
      <c r="P18" t="s">
        <v>8693</v>
      </c>
      <c r="Q18">
        <v>4</v>
      </c>
      <c r="R18" s="3">
        <f>ARTICULOS_FRIGOR[[#This Row],[Bulto]]+ARTICULOS_FRIGOR[[#This Row],[Minimo]]</f>
        <v>22</v>
      </c>
      <c r="S18" s="30" t="s">
        <v>8881</v>
      </c>
      <c r="T18" s="1" t="s">
        <v>4</v>
      </c>
      <c r="U18" t="s">
        <v>105</v>
      </c>
      <c r="V18" s="30" t="s">
        <v>8881</v>
      </c>
      <c r="W18" t="s">
        <v>8692</v>
      </c>
      <c r="X18">
        <v>1</v>
      </c>
      <c r="Y18">
        <v>21</v>
      </c>
      <c r="AB18" s="80">
        <f>ARTICULOS_OSLE[[#This Row],[Costo]]*ARTICULOS_OSLE[[#This Row],[Pedido]]</f>
        <v>11350</v>
      </c>
      <c r="AH18" s="2" t="str">
        <f>IF(AND(ARTICULOS_OSLE[[#This Row],[FechaVenc]]=0,ARTICULOS_OSLE[[#This Row],[DiasVenc]]=0),"",ARTICULOS_OSLE[[#This Row],[FechaVenc]]-ARTICULOS_OSLE[[#This Row],[DiasVenc]])</f>
        <v/>
      </c>
      <c r="AO18" s="30" t="s">
        <v>8689</v>
      </c>
    </row>
    <row r="19" spans="1:41" x14ac:dyDescent="0.25">
      <c r="A19" s="1" t="s">
        <v>8930</v>
      </c>
      <c r="B19" t="s">
        <v>8931</v>
      </c>
      <c r="C19" s="30" t="str">
        <f t="shared" si="0"/>
        <v>ALM04841483</v>
      </c>
      <c r="D19" s="30" t="s">
        <v>8689</v>
      </c>
      <c r="E19" t="s">
        <v>8932</v>
      </c>
      <c r="F19" s="61">
        <f t="shared" si="5"/>
        <v>30463.43</v>
      </c>
      <c r="G19" s="3">
        <v>0</v>
      </c>
      <c r="H19" s="4"/>
      <c r="I19" s="38">
        <v>18</v>
      </c>
      <c r="J19" s="38">
        <v>18</v>
      </c>
      <c r="K19" s="54"/>
      <c r="L19" s="69">
        <f>((ARTICULOS_FRIGOR[[#This Row],[P. Compra]]*(1+ARTICULOS_FRIGOR[[#This Row],[IVA]]%))/ARTICULOS_FRIGOR[[#This Row],[UnidFact]])+ARTICULOS_FRIGOR[[#This Row],[CostoFlete]]</f>
        <v>1692.4127777777778</v>
      </c>
      <c r="M19">
        <v>23</v>
      </c>
      <c r="N19" s="63">
        <f t="shared" si="1"/>
        <v>2200</v>
      </c>
      <c r="O19" s="19">
        <f t="shared" si="2"/>
        <v>3650</v>
      </c>
      <c r="P19" t="s">
        <v>8693</v>
      </c>
      <c r="Q19">
        <v>4</v>
      </c>
      <c r="R19" s="3">
        <f>ARTICULOS_FRIGOR[[#This Row],[Bulto]]+ARTICULOS_FRIGOR[[#This Row],[Minimo]]</f>
        <v>22</v>
      </c>
      <c r="S19" s="30" t="s">
        <v>8881</v>
      </c>
      <c r="T19" s="1" t="s">
        <v>4</v>
      </c>
      <c r="U19" t="s">
        <v>105</v>
      </c>
      <c r="V19" s="30" t="s">
        <v>8881</v>
      </c>
      <c r="W19" t="s">
        <v>8692</v>
      </c>
      <c r="X19">
        <v>1</v>
      </c>
      <c r="Y19">
        <v>18</v>
      </c>
      <c r="AB19" s="80">
        <f>ARTICULOS_OSLE[[#This Row],[Costo]]*ARTICULOS_OSLE[[#This Row],[Pedido]]</f>
        <v>0</v>
      </c>
      <c r="AH19" s="2" t="str">
        <f>IF(AND(ARTICULOS_OSLE[[#This Row],[FechaVenc]]=0,ARTICULOS_OSLE[[#This Row],[DiasVenc]]=0),"",ARTICULOS_OSLE[[#This Row],[FechaVenc]]-ARTICULOS_OSLE[[#This Row],[DiasVenc]])</f>
        <v/>
      </c>
      <c r="AO19" s="30" t="s">
        <v>8689</v>
      </c>
    </row>
    <row r="20" spans="1:41" x14ac:dyDescent="0.25">
      <c r="A20" s="1" t="s">
        <v>8933</v>
      </c>
      <c r="B20" t="s">
        <v>8934</v>
      </c>
      <c r="C20" s="30" t="str">
        <f t="shared" si="0"/>
        <v>ALM04841513</v>
      </c>
      <c r="D20" s="30" t="s">
        <v>8689</v>
      </c>
      <c r="E20" t="s">
        <v>8935</v>
      </c>
      <c r="F20" s="61">
        <v>27698.41</v>
      </c>
      <c r="G20" s="3">
        <v>0</v>
      </c>
      <c r="H20" s="4"/>
      <c r="I20" s="38">
        <v>24</v>
      </c>
      <c r="J20" s="38">
        <v>24</v>
      </c>
      <c r="K20" s="54"/>
      <c r="L20" s="69">
        <f>((ARTICULOS_FRIGOR[[#This Row],[P. Compra]]*(1+ARTICULOS_FRIGOR[[#This Row],[IVA]]%))/ARTICULOS_FRIGOR[[#This Row],[UnidFact]])+ARTICULOS_FRIGOR[[#This Row],[CostoFlete]]</f>
        <v>1154.1004166666667</v>
      </c>
      <c r="M20">
        <v>23</v>
      </c>
      <c r="N20" s="39">
        <f t="shared" si="1"/>
        <v>1500</v>
      </c>
      <c r="O20" s="19">
        <f t="shared" si="2"/>
        <v>2500</v>
      </c>
      <c r="P20" t="s">
        <v>8693</v>
      </c>
      <c r="Q20">
        <v>6</v>
      </c>
      <c r="R20" s="3">
        <f>ARTICULOS_FRIGOR[[#This Row],[Bulto]]+ARTICULOS_FRIGOR[[#This Row],[Minimo]]</f>
        <v>30</v>
      </c>
      <c r="S20" s="30" t="s">
        <v>8881</v>
      </c>
      <c r="T20" s="1" t="s">
        <v>4</v>
      </c>
      <c r="U20" t="s">
        <v>105</v>
      </c>
      <c r="V20" s="30" t="s">
        <v>8881</v>
      </c>
      <c r="W20" t="s">
        <v>8692</v>
      </c>
      <c r="X20">
        <v>1</v>
      </c>
      <c r="Y20">
        <v>0</v>
      </c>
      <c r="AB20" s="80">
        <f>ARTICULOS_OSLE[[#This Row],[Costo]]*ARTICULOS_OSLE[[#This Row],[Pedido]]</f>
        <v>0</v>
      </c>
      <c r="AH20" s="2" t="str">
        <f>IF(AND(ARTICULOS_OSLE[[#This Row],[FechaVenc]]=0,ARTICULOS_OSLE[[#This Row],[DiasVenc]]=0),"",ARTICULOS_OSLE[[#This Row],[FechaVenc]]-ARTICULOS_OSLE[[#This Row],[DiasVenc]])</f>
        <v/>
      </c>
      <c r="AO20" s="30" t="s">
        <v>8689</v>
      </c>
    </row>
    <row r="21" spans="1:41" x14ac:dyDescent="0.25">
      <c r="A21" s="1" t="s">
        <v>8936</v>
      </c>
      <c r="B21" t="s">
        <v>8937</v>
      </c>
      <c r="C21" s="30" t="str">
        <f t="shared" si="0"/>
        <v>ALM04841520</v>
      </c>
      <c r="D21" s="30" t="s">
        <v>8689</v>
      </c>
      <c r="E21" t="s">
        <v>8938</v>
      </c>
      <c r="F21" s="61">
        <f>F20</f>
        <v>27698.41</v>
      </c>
      <c r="G21" s="3">
        <v>0</v>
      </c>
      <c r="H21" s="4"/>
      <c r="I21" s="38">
        <v>24</v>
      </c>
      <c r="J21" s="38">
        <v>24</v>
      </c>
      <c r="K21" s="54"/>
      <c r="L21" s="69">
        <f>((ARTICULOS_FRIGOR[[#This Row],[P. Compra]]*(1+ARTICULOS_FRIGOR[[#This Row],[IVA]]%))/ARTICULOS_FRIGOR[[#This Row],[UnidFact]])+ARTICULOS_FRIGOR[[#This Row],[CostoFlete]]</f>
        <v>1154.1004166666667</v>
      </c>
      <c r="M21">
        <v>23</v>
      </c>
      <c r="N21" s="39">
        <f t="shared" si="1"/>
        <v>1500</v>
      </c>
      <c r="O21" s="19">
        <f t="shared" si="2"/>
        <v>2500</v>
      </c>
      <c r="P21" t="s">
        <v>8693</v>
      </c>
      <c r="Q21">
        <v>6</v>
      </c>
      <c r="R21" s="3">
        <f>ARTICULOS_FRIGOR[[#This Row],[Bulto]]+ARTICULOS_FRIGOR[[#This Row],[Minimo]]</f>
        <v>30</v>
      </c>
      <c r="S21" s="30" t="s">
        <v>8881</v>
      </c>
      <c r="T21" s="1" t="s">
        <v>4</v>
      </c>
      <c r="U21" t="s">
        <v>105</v>
      </c>
      <c r="V21" s="30" t="s">
        <v>8881</v>
      </c>
      <c r="W21" t="s">
        <v>8692</v>
      </c>
      <c r="X21">
        <v>1</v>
      </c>
      <c r="Y21">
        <v>0</v>
      </c>
      <c r="AB21" s="80">
        <f>ARTICULOS_OSLE[[#This Row],[Costo]]*ARTICULOS_OSLE[[#This Row],[Pedido]]</f>
        <v>11500</v>
      </c>
      <c r="AH21" s="2" t="str">
        <f>IF(AND(ARTICULOS_OSLE[[#This Row],[FechaVenc]]=0,ARTICULOS_OSLE[[#This Row],[DiasVenc]]=0),"",ARTICULOS_OSLE[[#This Row],[FechaVenc]]-ARTICULOS_OSLE[[#This Row],[DiasVenc]])</f>
        <v/>
      </c>
      <c r="AO21" s="30" t="s">
        <v>8689</v>
      </c>
    </row>
    <row r="22" spans="1:41" x14ac:dyDescent="0.25">
      <c r="A22" s="1" t="s">
        <v>8939</v>
      </c>
      <c r="B22" t="s">
        <v>8940</v>
      </c>
      <c r="C22" s="30" t="str">
        <f t="shared" si="0"/>
        <v>ALM04841599</v>
      </c>
      <c r="D22" s="30" t="s">
        <v>8689</v>
      </c>
      <c r="E22" t="s">
        <v>8941</v>
      </c>
      <c r="F22" s="61">
        <f>F21</f>
        <v>27698.41</v>
      </c>
      <c r="G22" s="3">
        <v>0</v>
      </c>
      <c r="H22" s="4"/>
      <c r="I22" s="38">
        <v>24</v>
      </c>
      <c r="J22" s="38">
        <v>24</v>
      </c>
      <c r="K22" s="54"/>
      <c r="L22" s="69">
        <f>((ARTICULOS_FRIGOR[[#This Row],[P. Compra]]*(1+ARTICULOS_FRIGOR[[#This Row],[IVA]]%))/ARTICULOS_FRIGOR[[#This Row],[UnidFact]])+ARTICULOS_FRIGOR[[#This Row],[CostoFlete]]</f>
        <v>1154.1004166666667</v>
      </c>
      <c r="M22">
        <v>23</v>
      </c>
      <c r="N22" s="63">
        <f t="shared" si="1"/>
        <v>1500</v>
      </c>
      <c r="O22" s="19">
        <f t="shared" si="2"/>
        <v>2500</v>
      </c>
      <c r="P22" t="s">
        <v>8693</v>
      </c>
      <c r="Q22">
        <v>6</v>
      </c>
      <c r="R22" s="3">
        <f>ARTICULOS_FRIGOR[[#This Row],[Bulto]]+ARTICULOS_FRIGOR[[#This Row],[Minimo]]</f>
        <v>30</v>
      </c>
      <c r="S22" s="30" t="s">
        <v>8881</v>
      </c>
      <c r="T22" s="1" t="s">
        <v>4</v>
      </c>
      <c r="U22" t="s">
        <v>105</v>
      </c>
      <c r="V22" s="30" t="s">
        <v>8881</v>
      </c>
      <c r="W22" t="s">
        <v>8692</v>
      </c>
      <c r="X22">
        <v>1</v>
      </c>
      <c r="Y22">
        <v>0</v>
      </c>
      <c r="AB22" s="80">
        <f>ARTICULOS_OSLE[[#This Row],[Costo]]*ARTICULOS_OSLE[[#This Row],[Pedido]]</f>
        <v>16500</v>
      </c>
      <c r="AH22" s="2" t="str">
        <f>IF(AND(ARTICULOS_OSLE[[#This Row],[FechaVenc]]=0,ARTICULOS_OSLE[[#This Row],[DiasVenc]]=0),"",ARTICULOS_OSLE[[#This Row],[FechaVenc]]-ARTICULOS_OSLE[[#This Row],[DiasVenc]])</f>
        <v/>
      </c>
      <c r="AO22" s="30" t="s">
        <v>8689</v>
      </c>
    </row>
    <row r="23" spans="1:41" x14ac:dyDescent="0.25">
      <c r="A23" s="24" t="s">
        <v>8942</v>
      </c>
      <c r="B23" t="s">
        <v>8943</v>
      </c>
      <c r="C23" s="30" t="str">
        <f t="shared" si="0"/>
        <v>ALM04840325</v>
      </c>
      <c r="D23" s="30" t="s">
        <v>8689</v>
      </c>
      <c r="E23" t="s">
        <v>8944</v>
      </c>
      <c r="F23" s="61">
        <v>25840.32</v>
      </c>
      <c r="G23" s="3">
        <v>0</v>
      </c>
      <c r="H23" s="4"/>
      <c r="I23" s="38">
        <v>24</v>
      </c>
      <c r="J23" s="38">
        <v>24</v>
      </c>
      <c r="K23" s="54"/>
      <c r="L23" s="69">
        <f>((ARTICULOS_FRIGOR[[#This Row],[P. Compra]]*(1+ARTICULOS_FRIGOR[[#This Row],[IVA]]%))/ARTICULOS_FRIGOR[[#This Row],[UnidFact]])+ARTICULOS_FRIGOR[[#This Row],[CostoFlete]]</f>
        <v>1076.68</v>
      </c>
      <c r="M23">
        <v>23</v>
      </c>
      <c r="N23" s="39">
        <f t="shared" si="1"/>
        <v>1400</v>
      </c>
      <c r="O23" s="19">
        <f t="shared" si="2"/>
        <v>2350</v>
      </c>
      <c r="P23" t="s">
        <v>8693</v>
      </c>
      <c r="Q23">
        <v>6</v>
      </c>
      <c r="R23" s="3">
        <f>ARTICULOS_FRIGOR[[#This Row],[Bulto]]+ARTICULOS_FRIGOR[[#This Row],[Minimo]]</f>
        <v>30</v>
      </c>
      <c r="S23" s="30" t="s">
        <v>8881</v>
      </c>
      <c r="T23" s="1" t="s">
        <v>4</v>
      </c>
      <c r="U23" t="s">
        <v>105</v>
      </c>
      <c r="V23" s="30" t="s">
        <v>8881</v>
      </c>
      <c r="W23" t="s">
        <v>8692</v>
      </c>
      <c r="X23">
        <v>1</v>
      </c>
      <c r="Y23">
        <v>1</v>
      </c>
      <c r="AB23" s="80">
        <f>ARTICULOS_OSLE[[#This Row],[Costo]]*ARTICULOS_OSLE[[#This Row],[Pedido]]</f>
        <v>11400</v>
      </c>
      <c r="AH23" s="2" t="str">
        <f>IF(AND(ARTICULOS_OSLE[[#This Row],[FechaVenc]]=0,ARTICULOS_OSLE[[#This Row],[DiasVenc]]=0),"",ARTICULOS_OSLE[[#This Row],[FechaVenc]]-ARTICULOS_OSLE[[#This Row],[DiasVenc]])</f>
        <v/>
      </c>
      <c r="AO23" s="30" t="s">
        <v>8689</v>
      </c>
    </row>
    <row r="24" spans="1:41" x14ac:dyDescent="0.25">
      <c r="A24" s="1" t="s">
        <v>8945</v>
      </c>
      <c r="B24" t="s">
        <v>8946</v>
      </c>
      <c r="C24" s="30" t="str">
        <f t="shared" si="0"/>
        <v>ALM04840080</v>
      </c>
      <c r="D24" s="30" t="s">
        <v>8689</v>
      </c>
      <c r="E24" t="s">
        <v>8947</v>
      </c>
      <c r="F24" s="61">
        <f>F23</f>
        <v>25840.32</v>
      </c>
      <c r="G24" s="3">
        <v>0</v>
      </c>
      <c r="H24" s="4"/>
      <c r="I24" s="38">
        <v>24</v>
      </c>
      <c r="J24" s="38">
        <v>24</v>
      </c>
      <c r="K24" s="54"/>
      <c r="L24" s="69">
        <f>((ARTICULOS_FRIGOR[[#This Row],[P. Compra]]*(1+ARTICULOS_FRIGOR[[#This Row],[IVA]]%))/ARTICULOS_FRIGOR[[#This Row],[UnidFact]])+ARTICULOS_FRIGOR[[#This Row],[CostoFlete]]</f>
        <v>1076.68</v>
      </c>
      <c r="M24">
        <v>23</v>
      </c>
      <c r="N24" s="39">
        <f t="shared" si="1"/>
        <v>1400</v>
      </c>
      <c r="O24" s="19">
        <f t="shared" si="2"/>
        <v>2350</v>
      </c>
      <c r="P24" t="s">
        <v>8693</v>
      </c>
      <c r="Q24">
        <v>6</v>
      </c>
      <c r="R24" s="3">
        <f>ARTICULOS_FRIGOR[[#This Row],[Bulto]]+ARTICULOS_FRIGOR[[#This Row],[Minimo]]</f>
        <v>30</v>
      </c>
      <c r="S24" s="30" t="s">
        <v>8881</v>
      </c>
      <c r="T24" s="1" t="s">
        <v>4</v>
      </c>
      <c r="U24" t="s">
        <v>105</v>
      </c>
      <c r="V24" s="30" t="s">
        <v>8881</v>
      </c>
      <c r="W24" t="s">
        <v>8692</v>
      </c>
      <c r="X24">
        <v>1</v>
      </c>
      <c r="Y24">
        <v>0</v>
      </c>
      <c r="AB24" s="80">
        <f>ARTICULOS_OSLE[[#This Row],[Costo]]*ARTICULOS_OSLE[[#This Row],[Pedido]]</f>
        <v>0</v>
      </c>
      <c r="AH24" s="2" t="str">
        <f>IF(AND(ARTICULOS_OSLE[[#This Row],[FechaVenc]]=0,ARTICULOS_OSLE[[#This Row],[DiasVenc]]=0),"",ARTICULOS_OSLE[[#This Row],[FechaVenc]]-ARTICULOS_OSLE[[#This Row],[DiasVenc]])</f>
        <v/>
      </c>
      <c r="AO24" s="30" t="s">
        <v>8689</v>
      </c>
    </row>
    <row r="25" spans="1:41" x14ac:dyDescent="0.25">
      <c r="A25" s="1" t="s">
        <v>8948</v>
      </c>
      <c r="B25" t="s">
        <v>8949</v>
      </c>
      <c r="C25" s="30" t="str">
        <f t="shared" si="0"/>
        <v>ALM04841421</v>
      </c>
      <c r="D25" s="30" t="s">
        <v>8689</v>
      </c>
      <c r="E25" t="s">
        <v>8950</v>
      </c>
      <c r="F25" s="61">
        <v>20763.96</v>
      </c>
      <c r="G25" s="3">
        <v>0</v>
      </c>
      <c r="H25" s="4"/>
      <c r="I25" s="38">
        <v>30</v>
      </c>
      <c r="J25" s="38">
        <v>30</v>
      </c>
      <c r="K25" s="54"/>
      <c r="L25" s="69">
        <f>((ARTICULOS_FRIGOR[[#This Row],[P. Compra]]*(1+ARTICULOS_FRIGOR[[#This Row],[IVA]]%))/ARTICULOS_FRIGOR[[#This Row],[UnidFact]])+ARTICULOS_FRIGOR[[#This Row],[CostoFlete]]</f>
        <v>692.13199999999995</v>
      </c>
      <c r="M25">
        <v>23</v>
      </c>
      <c r="N25" s="63">
        <f t="shared" si="1"/>
        <v>900</v>
      </c>
      <c r="O25" s="19">
        <f t="shared" si="2"/>
        <v>1500</v>
      </c>
      <c r="P25" t="s">
        <v>8693</v>
      </c>
      <c r="Q25">
        <v>10</v>
      </c>
      <c r="R25" s="3">
        <f>ARTICULOS_FRIGOR[[#This Row],[Bulto]]+ARTICULOS_FRIGOR[[#This Row],[Minimo]]</f>
        <v>40</v>
      </c>
      <c r="S25" s="30" t="s">
        <v>8881</v>
      </c>
      <c r="T25" s="1" t="s">
        <v>4</v>
      </c>
      <c r="U25" t="s">
        <v>105</v>
      </c>
      <c r="V25" s="30" t="s">
        <v>8881</v>
      </c>
      <c r="W25" t="s">
        <v>8692</v>
      </c>
      <c r="X25">
        <v>1</v>
      </c>
      <c r="Y25">
        <v>19</v>
      </c>
      <c r="AB25" s="80">
        <f>ARTICULOS_OSLE[[#This Row],[Costo]]*ARTICULOS_OSLE[[#This Row],[Pedido]]</f>
        <v>11500</v>
      </c>
      <c r="AH25" s="2" t="str">
        <f>IF(AND(ARTICULOS_OSLE[[#This Row],[FechaVenc]]=0,ARTICULOS_OSLE[[#This Row],[DiasVenc]]=0),"",ARTICULOS_OSLE[[#This Row],[FechaVenc]]-ARTICULOS_OSLE[[#This Row],[DiasVenc]])</f>
        <v/>
      </c>
      <c r="AO25" s="30" t="s">
        <v>8689</v>
      </c>
    </row>
    <row r="26" spans="1:41" x14ac:dyDescent="0.25">
      <c r="A26" s="1" t="s">
        <v>8951</v>
      </c>
      <c r="B26" t="s">
        <v>8952</v>
      </c>
      <c r="C26" s="30" t="str">
        <f t="shared" si="0"/>
        <v>ALM04841414</v>
      </c>
      <c r="D26" s="30" t="s">
        <v>8689</v>
      </c>
      <c r="E26" t="s">
        <v>8953</v>
      </c>
      <c r="F26" s="61">
        <f>F25</f>
        <v>20763.96</v>
      </c>
      <c r="G26" s="3">
        <v>0</v>
      </c>
      <c r="H26" s="4"/>
      <c r="I26" s="38">
        <v>30</v>
      </c>
      <c r="J26" s="38">
        <v>30</v>
      </c>
      <c r="K26" s="54"/>
      <c r="L26" s="69">
        <f>((ARTICULOS_FRIGOR[[#This Row],[P. Compra]]*(1+ARTICULOS_FRIGOR[[#This Row],[IVA]]%))/ARTICULOS_FRIGOR[[#This Row],[UnidFact]])+ARTICULOS_FRIGOR[[#This Row],[CostoFlete]]</f>
        <v>692.13199999999995</v>
      </c>
      <c r="M26">
        <v>23</v>
      </c>
      <c r="N26" s="39">
        <f t="shared" si="1"/>
        <v>900</v>
      </c>
      <c r="O26" s="19">
        <f t="shared" si="2"/>
        <v>1500</v>
      </c>
      <c r="P26" t="s">
        <v>8693</v>
      </c>
      <c r="Q26">
        <v>10</v>
      </c>
      <c r="R26" s="3">
        <f>ARTICULOS_FRIGOR[[#This Row],[Bulto]]+ARTICULOS_FRIGOR[[#This Row],[Minimo]]</f>
        <v>40</v>
      </c>
      <c r="S26" s="30" t="s">
        <v>8881</v>
      </c>
      <c r="T26" s="1" t="s">
        <v>4</v>
      </c>
      <c r="U26" t="s">
        <v>105</v>
      </c>
      <c r="V26" s="30" t="s">
        <v>8881</v>
      </c>
      <c r="W26" t="s">
        <v>8692</v>
      </c>
      <c r="X26">
        <v>1</v>
      </c>
      <c r="Y26">
        <v>32</v>
      </c>
      <c r="AB26" s="80">
        <f>ARTICULOS_OSLE[[#This Row],[Costo]]*ARTICULOS_OSLE[[#This Row],[Pedido]]</f>
        <v>0</v>
      </c>
      <c r="AH26" s="2" t="str">
        <f>IF(AND(ARTICULOS_OSLE[[#This Row],[FechaVenc]]=0,ARTICULOS_OSLE[[#This Row],[DiasVenc]]=0),"",ARTICULOS_OSLE[[#This Row],[FechaVenc]]-ARTICULOS_OSLE[[#This Row],[DiasVenc]])</f>
        <v/>
      </c>
      <c r="AO26" s="30" t="s">
        <v>8689</v>
      </c>
    </row>
    <row r="27" spans="1:41" x14ac:dyDescent="0.25">
      <c r="A27" s="1" t="s">
        <v>8954</v>
      </c>
      <c r="B27" t="s">
        <v>8955</v>
      </c>
      <c r="C27" s="30" t="str">
        <f t="shared" si="0"/>
        <v>ALM04841438</v>
      </c>
      <c r="D27" s="30" t="s">
        <v>8689</v>
      </c>
      <c r="E27" t="s">
        <v>8956</v>
      </c>
      <c r="F27" s="61">
        <f>F26</f>
        <v>20763.96</v>
      </c>
      <c r="G27" s="3">
        <v>0</v>
      </c>
      <c r="H27" s="4"/>
      <c r="I27" s="38">
        <v>30</v>
      </c>
      <c r="J27" s="38">
        <v>30</v>
      </c>
      <c r="K27" s="54"/>
      <c r="L27" s="69">
        <f>((ARTICULOS_FRIGOR[[#This Row],[P. Compra]]*(1+ARTICULOS_FRIGOR[[#This Row],[IVA]]%))/ARTICULOS_FRIGOR[[#This Row],[UnidFact]])+ARTICULOS_FRIGOR[[#This Row],[CostoFlete]]</f>
        <v>692.13199999999995</v>
      </c>
      <c r="M27">
        <v>23</v>
      </c>
      <c r="N27" s="39">
        <f t="shared" si="1"/>
        <v>900</v>
      </c>
      <c r="O27" s="19">
        <f t="shared" si="2"/>
        <v>1500</v>
      </c>
      <c r="P27" t="s">
        <v>8693</v>
      </c>
      <c r="Q27">
        <v>10</v>
      </c>
      <c r="R27" s="3">
        <f>ARTICULOS_FRIGOR[[#This Row],[Bulto]]+ARTICULOS_FRIGOR[[#This Row],[Minimo]]</f>
        <v>40</v>
      </c>
      <c r="S27" s="30" t="s">
        <v>8881</v>
      </c>
      <c r="T27" s="1" t="s">
        <v>4</v>
      </c>
      <c r="U27" t="s">
        <v>105</v>
      </c>
      <c r="V27" s="30" t="s">
        <v>8881</v>
      </c>
      <c r="W27" t="s">
        <v>8692</v>
      </c>
      <c r="X27">
        <v>1</v>
      </c>
      <c r="Y27">
        <v>0</v>
      </c>
      <c r="AB27" s="80">
        <f>ARTICULOS_OSLE[[#This Row],[Costo]]*ARTICULOS_OSLE[[#This Row],[Pedido]]</f>
        <v>11500</v>
      </c>
      <c r="AH27" s="2" t="str">
        <f>IF(AND(ARTICULOS_OSLE[[#This Row],[FechaVenc]]=0,ARTICULOS_OSLE[[#This Row],[DiasVenc]]=0),"",ARTICULOS_OSLE[[#This Row],[FechaVenc]]-ARTICULOS_OSLE[[#This Row],[DiasVenc]])</f>
        <v/>
      </c>
      <c r="AO27" s="30" t="s">
        <v>8689</v>
      </c>
    </row>
    <row r="28" spans="1:41" x14ac:dyDescent="0.25">
      <c r="A28" s="1" t="s">
        <v>8957</v>
      </c>
      <c r="B28" t="s">
        <v>8958</v>
      </c>
      <c r="C28" s="30" t="str">
        <f t="shared" si="0"/>
        <v>ALM34901088</v>
      </c>
      <c r="D28" s="30" t="s">
        <v>8689</v>
      </c>
      <c r="E28" t="s">
        <v>8959</v>
      </c>
      <c r="F28" s="61">
        <f>F27</f>
        <v>20763.96</v>
      </c>
      <c r="G28" s="3">
        <v>0</v>
      </c>
      <c r="H28" s="4"/>
      <c r="I28" s="38">
        <v>30</v>
      </c>
      <c r="J28" s="38">
        <v>30</v>
      </c>
      <c r="K28" s="54"/>
      <c r="L28" s="69">
        <f>((ARTICULOS_FRIGOR[[#This Row],[P. Compra]]*(1+ARTICULOS_FRIGOR[[#This Row],[IVA]]%))/ARTICULOS_FRIGOR[[#This Row],[UnidFact]])+ARTICULOS_FRIGOR[[#This Row],[CostoFlete]]</f>
        <v>692.13199999999995</v>
      </c>
      <c r="M28">
        <v>23</v>
      </c>
      <c r="N28" s="63">
        <f t="shared" si="1"/>
        <v>900</v>
      </c>
      <c r="O28" s="19">
        <f t="shared" si="2"/>
        <v>1500</v>
      </c>
      <c r="P28" t="s">
        <v>8693</v>
      </c>
      <c r="Q28">
        <v>10</v>
      </c>
      <c r="R28" s="3">
        <f>ARTICULOS_FRIGOR[[#This Row],[Bulto]]+ARTICULOS_FRIGOR[[#This Row],[Minimo]]</f>
        <v>40</v>
      </c>
      <c r="S28" s="30" t="s">
        <v>8881</v>
      </c>
      <c r="T28" s="1" t="s">
        <v>4</v>
      </c>
      <c r="U28" t="s">
        <v>105</v>
      </c>
      <c r="V28" s="30" t="s">
        <v>8881</v>
      </c>
      <c r="W28" t="s">
        <v>8692</v>
      </c>
      <c r="X28">
        <v>1</v>
      </c>
      <c r="Y28">
        <v>27</v>
      </c>
      <c r="AB28" s="80">
        <f>ARTICULOS_OSLE[[#This Row],[Costo]]*ARTICULOS_OSLE[[#This Row],[Pedido]]</f>
        <v>0</v>
      </c>
      <c r="AH28" s="2" t="str">
        <f>IF(AND(ARTICULOS_OSLE[[#This Row],[FechaVenc]]=0,ARTICULOS_OSLE[[#This Row],[DiasVenc]]=0),"",ARTICULOS_OSLE[[#This Row],[FechaVenc]]-ARTICULOS_OSLE[[#This Row],[DiasVenc]])</f>
        <v/>
      </c>
      <c r="AO28" s="30" t="s">
        <v>8689</v>
      </c>
    </row>
    <row r="29" spans="1:41" x14ac:dyDescent="0.25">
      <c r="A29" s="1" t="s">
        <v>8960</v>
      </c>
      <c r="B29" t="s">
        <v>8961</v>
      </c>
      <c r="C29" s="30" t="str">
        <f t="shared" si="0"/>
        <v>ALM04841261</v>
      </c>
      <c r="D29" s="30" t="s">
        <v>8689</v>
      </c>
      <c r="E29" t="s">
        <v>8962</v>
      </c>
      <c r="F29" s="61">
        <v>14777.02</v>
      </c>
      <c r="G29" s="3">
        <v>0</v>
      </c>
      <c r="H29" s="4"/>
      <c r="I29" s="38">
        <v>24</v>
      </c>
      <c r="J29" s="38">
        <v>24</v>
      </c>
      <c r="K29" s="54"/>
      <c r="L29" s="69">
        <f>((ARTICULOS_FRIGOR[[#This Row],[P. Compra]]*(1+ARTICULOS_FRIGOR[[#This Row],[IVA]]%))/ARTICULOS_FRIGOR[[#This Row],[UnidFact]])+ARTICULOS_FRIGOR[[#This Row],[CostoFlete]]</f>
        <v>615.70916666666665</v>
      </c>
      <c r="M29">
        <v>23</v>
      </c>
      <c r="N29" s="39">
        <f t="shared" si="1"/>
        <v>800</v>
      </c>
      <c r="O29" s="19">
        <f t="shared" si="2"/>
        <v>1350</v>
      </c>
      <c r="P29" t="s">
        <v>8693</v>
      </c>
      <c r="Q29">
        <v>6</v>
      </c>
      <c r="R29" s="3">
        <f>ARTICULOS_FRIGOR[[#This Row],[Bulto]]+ARTICULOS_FRIGOR[[#This Row],[Minimo]]</f>
        <v>30</v>
      </c>
      <c r="S29" s="30" t="s">
        <v>8881</v>
      </c>
      <c r="T29" s="1" t="s">
        <v>4</v>
      </c>
      <c r="U29" t="s">
        <v>105</v>
      </c>
      <c r="V29" s="30" t="s">
        <v>8881</v>
      </c>
      <c r="W29" t="s">
        <v>8692</v>
      </c>
      <c r="X29">
        <v>1</v>
      </c>
      <c r="Y29">
        <v>0</v>
      </c>
      <c r="AB29" s="80">
        <f>ARTICULOS_OSLE[[#This Row],[Costo]]*ARTICULOS_OSLE[[#This Row],[Pedido]]</f>
        <v>13900</v>
      </c>
      <c r="AH29" s="2" t="str">
        <f>IF(AND(ARTICULOS_OSLE[[#This Row],[FechaVenc]]=0,ARTICULOS_OSLE[[#This Row],[DiasVenc]]=0),"",ARTICULOS_OSLE[[#This Row],[FechaVenc]]-ARTICULOS_OSLE[[#This Row],[DiasVenc]])</f>
        <v/>
      </c>
      <c r="AO29" s="30" t="s">
        <v>8689</v>
      </c>
    </row>
    <row r="30" spans="1:41" x14ac:dyDescent="0.25">
      <c r="A30" s="1" t="s">
        <v>8963</v>
      </c>
      <c r="B30" t="s">
        <v>8964</v>
      </c>
      <c r="C30" s="30" t="str">
        <f t="shared" si="0"/>
        <v>ALM35725300</v>
      </c>
      <c r="D30" s="30" t="s">
        <v>8689</v>
      </c>
      <c r="E30" t="s">
        <v>8965</v>
      </c>
      <c r="F30" s="61">
        <v>16153.96</v>
      </c>
      <c r="G30" s="3">
        <v>0</v>
      </c>
      <c r="H30" s="4"/>
      <c r="I30" s="38">
        <v>30</v>
      </c>
      <c r="J30" s="38">
        <v>30</v>
      </c>
      <c r="K30" s="54"/>
      <c r="L30" s="69">
        <f>((ARTICULOS_FRIGOR[[#This Row],[P. Compra]]*(1+ARTICULOS_FRIGOR[[#This Row],[IVA]]%))/ARTICULOS_FRIGOR[[#This Row],[UnidFact]])+ARTICULOS_FRIGOR[[#This Row],[CostoFlete]]</f>
        <v>538.46533333333332</v>
      </c>
      <c r="M30">
        <v>23</v>
      </c>
      <c r="N30" s="39">
        <f t="shared" si="1"/>
        <v>700</v>
      </c>
      <c r="O30" s="19">
        <f t="shared" si="2"/>
        <v>1150</v>
      </c>
      <c r="P30" t="s">
        <v>8693</v>
      </c>
      <c r="Q30">
        <v>10</v>
      </c>
      <c r="R30" s="3">
        <f>ARTICULOS_FRIGOR[[#This Row],[Bulto]]+ARTICULOS_FRIGOR[[#This Row],[Minimo]]</f>
        <v>40</v>
      </c>
      <c r="S30" s="30" t="s">
        <v>8881</v>
      </c>
      <c r="T30" s="1" t="s">
        <v>4</v>
      </c>
      <c r="U30" t="s">
        <v>105</v>
      </c>
      <c r="V30" s="30" t="s">
        <v>8881</v>
      </c>
      <c r="W30" t="s">
        <v>8692</v>
      </c>
      <c r="X30">
        <v>1</v>
      </c>
      <c r="Y30">
        <v>23</v>
      </c>
      <c r="AB30" s="80">
        <f>ARTICULOS_OSLE[[#This Row],[Costo]]*ARTICULOS_OSLE[[#This Row],[Pedido]]</f>
        <v>0</v>
      </c>
      <c r="AH30" s="2" t="str">
        <f>IF(AND(ARTICULOS_OSLE[[#This Row],[FechaVenc]]=0,ARTICULOS_OSLE[[#This Row],[DiasVenc]]=0),"",ARTICULOS_OSLE[[#This Row],[FechaVenc]]-ARTICULOS_OSLE[[#This Row],[DiasVenc]])</f>
        <v/>
      </c>
      <c r="AO30" s="30" t="s">
        <v>8689</v>
      </c>
    </row>
    <row r="31" spans="1:41" x14ac:dyDescent="0.25">
      <c r="A31" s="1" t="s">
        <v>8966</v>
      </c>
      <c r="B31" t="s">
        <v>8967</v>
      </c>
      <c r="C31" s="30" t="str">
        <f t="shared" si="0"/>
        <v>ALM34433978</v>
      </c>
      <c r="D31" s="30" t="s">
        <v>8689</v>
      </c>
      <c r="E31" t="s">
        <v>8968</v>
      </c>
      <c r="F31" s="61">
        <v>18461.669999999998</v>
      </c>
      <c r="G31" s="3">
        <v>0</v>
      </c>
      <c r="H31" s="4"/>
      <c r="I31" s="38">
        <v>40</v>
      </c>
      <c r="J31" s="38">
        <v>40</v>
      </c>
      <c r="K31" s="54"/>
      <c r="L31" s="69">
        <f>((ARTICULOS_FRIGOR[[#This Row],[P. Compra]]*(1+ARTICULOS_FRIGOR[[#This Row],[IVA]]%))/ARTICULOS_FRIGOR[[#This Row],[UnidFact]])+ARTICULOS_FRIGOR[[#This Row],[CostoFlete]]</f>
        <v>461.54174999999998</v>
      </c>
      <c r="M31">
        <v>23</v>
      </c>
      <c r="N31" s="63">
        <f t="shared" si="1"/>
        <v>600</v>
      </c>
      <c r="O31" s="19">
        <f t="shared" si="2"/>
        <v>1000</v>
      </c>
      <c r="P31" t="s">
        <v>8693</v>
      </c>
      <c r="Q31">
        <v>10</v>
      </c>
      <c r="R31" s="3">
        <f>ARTICULOS_FRIGOR[[#This Row],[Bulto]]+ARTICULOS_FRIGOR[[#This Row],[Minimo]]</f>
        <v>50</v>
      </c>
      <c r="S31" s="30" t="s">
        <v>8881</v>
      </c>
      <c r="T31" s="1" t="s">
        <v>4</v>
      </c>
      <c r="U31" t="s">
        <v>105</v>
      </c>
      <c r="V31" s="30" t="s">
        <v>8881</v>
      </c>
      <c r="W31" t="s">
        <v>8692</v>
      </c>
      <c r="X31">
        <v>1</v>
      </c>
      <c r="Y31">
        <v>34</v>
      </c>
      <c r="AB31" s="80" t="e">
        <f>ARTICULOS_OSLE[[#This Row],[Costo]]*ARTICULOS_OSLE[[#This Row],[Pedido]]</f>
        <v>#VALUE!</v>
      </c>
      <c r="AH31" s="2" t="e">
        <f>IF(AND(ARTICULOS_OSLE[[#This Row],[FechaVenc]]=0,ARTICULOS_OSLE[[#This Row],[DiasVenc]]=0),"",ARTICULOS_OSLE[[#This Row],[FechaVenc]]-ARTICULOS_OSLE[[#This Row],[DiasVenc]])</f>
        <v>#VALUE!</v>
      </c>
      <c r="AO31" s="30" t="s">
        <v>8689</v>
      </c>
    </row>
    <row r="32" spans="1:41" x14ac:dyDescent="0.25">
      <c r="A32" t="s">
        <v>8969</v>
      </c>
      <c r="B32" s="1" t="s">
        <v>8970</v>
      </c>
      <c r="C32" s="30" t="str">
        <f t="shared" si="0"/>
        <v>ALM04840660</v>
      </c>
      <c r="D32" s="30" t="s">
        <v>8689</v>
      </c>
      <c r="E32" s="30" t="s">
        <v>8971</v>
      </c>
      <c r="F32" s="61">
        <v>44444.43</v>
      </c>
      <c r="G32" s="3">
        <v>0</v>
      </c>
      <c r="H32" s="4"/>
      <c r="I32" s="38">
        <v>6</v>
      </c>
      <c r="J32" s="38">
        <v>6</v>
      </c>
      <c r="K32" s="54"/>
      <c r="L32" s="69">
        <f>((ARTICULOS_FRIGOR[[#This Row],[P. Compra]]*(1+ARTICULOS_FRIGOR[[#This Row],[IVA]]%))/ARTICULOS_FRIGOR[[#This Row],[UnidFact]])+ARTICULOS_FRIGOR[[#This Row],[CostoFlete]]</f>
        <v>7407.4049999999997</v>
      </c>
      <c r="M32">
        <v>26</v>
      </c>
      <c r="N32" s="39">
        <f t="shared" si="1"/>
        <v>10000</v>
      </c>
      <c r="O32" s="19">
        <f t="shared" si="2"/>
        <v>16650</v>
      </c>
      <c r="P32" t="s">
        <v>8693</v>
      </c>
      <c r="Q32">
        <v>2</v>
      </c>
      <c r="R32" s="3">
        <f>ARTICULOS_FRIGOR[[#This Row],[Bulto]]+ARTICULOS_FRIGOR[[#This Row],[Minimo]]</f>
        <v>8</v>
      </c>
      <c r="S32" s="30" t="s">
        <v>8881</v>
      </c>
      <c r="T32" s="1" t="s">
        <v>4</v>
      </c>
      <c r="U32" t="s">
        <v>105</v>
      </c>
      <c r="V32" s="30" t="s">
        <v>8881</v>
      </c>
      <c r="W32" t="s">
        <v>8692</v>
      </c>
      <c r="X32">
        <v>1</v>
      </c>
      <c r="Y32">
        <v>0</v>
      </c>
      <c r="AB32" s="80" t="e">
        <f>ARTICULOS_OSLE[[#This Row],[Costo]]*ARTICULOS_OSLE[[#This Row],[Pedido]]</f>
        <v>#VALUE!</v>
      </c>
      <c r="AH32" s="2" t="e">
        <f>IF(AND(ARTICULOS_OSLE[[#This Row],[FechaVenc]]=0,ARTICULOS_OSLE[[#This Row],[DiasVenc]]=0),"",ARTICULOS_OSLE[[#This Row],[FechaVenc]]-ARTICULOS_OSLE[[#This Row],[DiasVenc]])</f>
        <v>#VALUE!</v>
      </c>
      <c r="AO32" s="30" t="s">
        <v>8689</v>
      </c>
    </row>
    <row r="33" spans="1:41" x14ac:dyDescent="0.25">
      <c r="A33" t="s">
        <v>8972</v>
      </c>
      <c r="B33" s="1" t="s">
        <v>8973</v>
      </c>
      <c r="C33" s="30" t="str">
        <f t="shared" si="0"/>
        <v>ALM04841216</v>
      </c>
      <c r="D33" s="30" t="s">
        <v>8689</v>
      </c>
      <c r="E33" s="30" t="s">
        <v>8974</v>
      </c>
      <c r="F33" s="61">
        <f>F32</f>
        <v>44444.43</v>
      </c>
      <c r="G33" s="3">
        <v>0</v>
      </c>
      <c r="H33" s="4"/>
      <c r="I33" s="38">
        <v>6</v>
      </c>
      <c r="J33" s="38">
        <v>6</v>
      </c>
      <c r="K33" s="54"/>
      <c r="L33" s="69">
        <f>((ARTICULOS_FRIGOR[[#This Row],[P. Compra]]*(1+ARTICULOS_FRIGOR[[#This Row],[IVA]]%))/ARTICULOS_FRIGOR[[#This Row],[UnidFact]])+ARTICULOS_FRIGOR[[#This Row],[CostoFlete]]</f>
        <v>7407.4049999999997</v>
      </c>
      <c r="M33">
        <v>26</v>
      </c>
      <c r="N33" s="39">
        <f t="shared" si="1"/>
        <v>10000</v>
      </c>
      <c r="O33" s="19">
        <f t="shared" si="2"/>
        <v>16650</v>
      </c>
      <c r="P33" t="s">
        <v>8693</v>
      </c>
      <c r="Q33">
        <v>2</v>
      </c>
      <c r="R33" s="3">
        <f>ARTICULOS_FRIGOR[[#This Row],[Bulto]]+ARTICULOS_FRIGOR[[#This Row],[Minimo]]</f>
        <v>8</v>
      </c>
      <c r="S33" s="30" t="s">
        <v>8881</v>
      </c>
      <c r="T33" s="1" t="s">
        <v>4</v>
      </c>
      <c r="U33" t="s">
        <v>105</v>
      </c>
      <c r="V33" s="30" t="s">
        <v>8881</v>
      </c>
      <c r="W33" t="s">
        <v>8692</v>
      </c>
      <c r="X33">
        <v>1</v>
      </c>
      <c r="Y33">
        <v>0</v>
      </c>
      <c r="AB33" s="80" t="e">
        <f>ARTICULOS_OSLE[[#This Row],[Costo]]*ARTICULOS_OSLE[[#This Row],[Pedido]]</f>
        <v>#VALUE!</v>
      </c>
      <c r="AH33" s="2" t="e">
        <f>IF(AND(ARTICULOS_OSLE[[#This Row],[FechaVenc]]=0,ARTICULOS_OSLE[[#This Row],[DiasVenc]]=0),"",ARTICULOS_OSLE[[#This Row],[FechaVenc]]-ARTICULOS_OSLE[[#This Row],[DiasVenc]])</f>
        <v>#VALUE!</v>
      </c>
      <c r="AO33" s="30" t="s">
        <v>8689</v>
      </c>
    </row>
    <row r="34" spans="1:41" x14ac:dyDescent="0.25">
      <c r="A34" t="s">
        <v>8975</v>
      </c>
      <c r="B34" s="1" t="s">
        <v>8976</v>
      </c>
      <c r="C34" s="30" t="str">
        <f t="shared" si="0"/>
        <v>ALM04840042</v>
      </c>
      <c r="D34" s="30" t="s">
        <v>8689</v>
      </c>
      <c r="E34" s="30" t="s">
        <v>8977</v>
      </c>
      <c r="F34" s="61">
        <f t="shared" ref="F34:F37" si="6">F33</f>
        <v>44444.43</v>
      </c>
      <c r="G34" s="3">
        <v>0</v>
      </c>
      <c r="H34" s="4"/>
      <c r="I34" s="38">
        <v>6</v>
      </c>
      <c r="J34" s="38">
        <v>6</v>
      </c>
      <c r="K34" s="54"/>
      <c r="L34" s="69">
        <f>((ARTICULOS_FRIGOR[[#This Row],[P. Compra]]*(1+ARTICULOS_FRIGOR[[#This Row],[IVA]]%))/ARTICULOS_FRIGOR[[#This Row],[UnidFact]])+ARTICULOS_FRIGOR[[#This Row],[CostoFlete]]</f>
        <v>7407.4049999999997</v>
      </c>
      <c r="M34">
        <v>26</v>
      </c>
      <c r="N34" s="63">
        <f t="shared" si="1"/>
        <v>10000</v>
      </c>
      <c r="O34" s="19">
        <f t="shared" si="2"/>
        <v>16650</v>
      </c>
      <c r="P34" t="s">
        <v>8693</v>
      </c>
      <c r="Q34">
        <v>2</v>
      </c>
      <c r="R34" s="3">
        <f>ARTICULOS_FRIGOR[[#This Row],[Bulto]]+ARTICULOS_FRIGOR[[#This Row],[Minimo]]</f>
        <v>8</v>
      </c>
      <c r="S34" s="30" t="s">
        <v>8881</v>
      </c>
      <c r="T34" s="1" t="s">
        <v>4</v>
      </c>
      <c r="U34" t="s">
        <v>105</v>
      </c>
      <c r="V34" s="30" t="s">
        <v>8881</v>
      </c>
      <c r="W34" t="s">
        <v>8692</v>
      </c>
      <c r="X34">
        <v>1</v>
      </c>
      <c r="Y34">
        <v>0</v>
      </c>
      <c r="AB34" s="80" t="e">
        <f>ARTICULOS_OSLE[[#This Row],[Costo]]*ARTICULOS_OSLE[[#This Row],[Pedido]]</f>
        <v>#VALUE!</v>
      </c>
      <c r="AH34" s="2" t="e">
        <f>IF(AND(ARTICULOS_OSLE[[#This Row],[FechaVenc]]=0,ARTICULOS_OSLE[[#This Row],[DiasVenc]]=0),"",ARTICULOS_OSLE[[#This Row],[FechaVenc]]-ARTICULOS_OSLE[[#This Row],[DiasVenc]])</f>
        <v>#VALUE!</v>
      </c>
      <c r="AO34" s="30" t="s">
        <v>8689</v>
      </c>
    </row>
    <row r="35" spans="1:41" x14ac:dyDescent="0.25">
      <c r="A35" t="s">
        <v>8978</v>
      </c>
      <c r="B35" s="1" t="s">
        <v>8979</v>
      </c>
      <c r="C35" s="30" t="str">
        <f t="shared" si="0"/>
        <v>ALM04840837</v>
      </c>
      <c r="D35" s="30" t="s">
        <v>8689</v>
      </c>
      <c r="E35" t="s">
        <v>8980</v>
      </c>
      <c r="F35" s="61">
        <f t="shared" si="6"/>
        <v>44444.43</v>
      </c>
      <c r="G35" s="3">
        <v>0</v>
      </c>
      <c r="H35" s="4"/>
      <c r="I35" s="38">
        <v>6</v>
      </c>
      <c r="J35" s="38">
        <v>6</v>
      </c>
      <c r="K35" s="54"/>
      <c r="L35" s="69">
        <f>((ARTICULOS_FRIGOR[[#This Row],[P. Compra]]*(1+ARTICULOS_FRIGOR[[#This Row],[IVA]]%))/ARTICULOS_FRIGOR[[#This Row],[UnidFact]])+ARTICULOS_FRIGOR[[#This Row],[CostoFlete]]</f>
        <v>7407.4049999999997</v>
      </c>
      <c r="M35">
        <v>26</v>
      </c>
      <c r="N35" s="39">
        <f t="shared" si="1"/>
        <v>10000</v>
      </c>
      <c r="O35" s="19">
        <f t="shared" si="2"/>
        <v>16650</v>
      </c>
      <c r="P35" t="s">
        <v>8693</v>
      </c>
      <c r="Q35">
        <v>2</v>
      </c>
      <c r="R35" s="3">
        <f>ARTICULOS_FRIGOR[[#This Row],[Bulto]]+ARTICULOS_FRIGOR[[#This Row],[Minimo]]</f>
        <v>8</v>
      </c>
      <c r="S35" s="30" t="s">
        <v>8881</v>
      </c>
      <c r="T35" s="1" t="s">
        <v>4</v>
      </c>
      <c r="U35" t="s">
        <v>105</v>
      </c>
      <c r="V35" s="30" t="s">
        <v>8881</v>
      </c>
      <c r="W35" t="s">
        <v>8692</v>
      </c>
      <c r="X35">
        <v>1</v>
      </c>
      <c r="Y35">
        <v>0</v>
      </c>
      <c r="AB35" s="80" t="e">
        <f>ARTICULOS_OSLE[[#This Row],[Costo]]*ARTICULOS_OSLE[[#This Row],[Pedido]]</f>
        <v>#VALUE!</v>
      </c>
      <c r="AH35" s="2" t="e">
        <f>IF(AND(ARTICULOS_OSLE[[#This Row],[FechaVenc]]=0,ARTICULOS_OSLE[[#This Row],[DiasVenc]]=0),"",ARTICULOS_OSLE[[#This Row],[FechaVenc]]-ARTICULOS_OSLE[[#This Row],[DiasVenc]])</f>
        <v>#VALUE!</v>
      </c>
      <c r="AO35" s="30" t="s">
        <v>8689</v>
      </c>
    </row>
    <row r="36" spans="1:41" x14ac:dyDescent="0.25">
      <c r="A36" t="s">
        <v>8981</v>
      </c>
      <c r="B36" s="1" t="s">
        <v>8982</v>
      </c>
      <c r="C36" s="30" t="str">
        <f t="shared" si="0"/>
        <v>ALM04840899</v>
      </c>
      <c r="D36" s="30" t="s">
        <v>8689</v>
      </c>
      <c r="E36" t="s">
        <v>8983</v>
      </c>
      <c r="F36" s="61">
        <f t="shared" si="6"/>
        <v>44444.43</v>
      </c>
      <c r="G36" s="3">
        <v>0</v>
      </c>
      <c r="H36" s="4"/>
      <c r="I36" s="38">
        <v>6</v>
      </c>
      <c r="J36" s="38">
        <v>6</v>
      </c>
      <c r="K36" s="54"/>
      <c r="L36" s="69">
        <f>((ARTICULOS_FRIGOR[[#This Row],[P. Compra]]*(1+ARTICULOS_FRIGOR[[#This Row],[IVA]]%))/ARTICULOS_FRIGOR[[#This Row],[UnidFact]])+ARTICULOS_FRIGOR[[#This Row],[CostoFlete]]</f>
        <v>7407.4049999999997</v>
      </c>
      <c r="M36">
        <v>26</v>
      </c>
      <c r="N36" s="39">
        <f t="shared" si="1"/>
        <v>10000</v>
      </c>
      <c r="O36" s="19">
        <f t="shared" si="2"/>
        <v>16650</v>
      </c>
      <c r="P36" t="s">
        <v>8693</v>
      </c>
      <c r="Q36">
        <v>2</v>
      </c>
      <c r="R36" s="3">
        <f>ARTICULOS_FRIGOR[[#This Row],[Bulto]]+ARTICULOS_FRIGOR[[#This Row],[Minimo]]</f>
        <v>8</v>
      </c>
      <c r="S36" s="30" t="s">
        <v>8881</v>
      </c>
      <c r="T36" s="1" t="s">
        <v>4</v>
      </c>
      <c r="U36" t="s">
        <v>105</v>
      </c>
      <c r="V36" s="30" t="s">
        <v>8881</v>
      </c>
      <c r="W36" t="s">
        <v>8692</v>
      </c>
      <c r="X36">
        <v>1</v>
      </c>
      <c r="Y36">
        <v>0</v>
      </c>
      <c r="AB36" s="80" t="e">
        <f>ARTICULOS_OSLE[[#This Row],[Costo]]*ARTICULOS_OSLE[[#This Row],[Pedido]]</f>
        <v>#VALUE!</v>
      </c>
      <c r="AH36" s="2" t="e">
        <f>IF(AND(ARTICULOS_OSLE[[#This Row],[FechaVenc]]=0,ARTICULOS_OSLE[[#This Row],[DiasVenc]]=0),"",ARTICULOS_OSLE[[#This Row],[FechaVenc]]-ARTICULOS_OSLE[[#This Row],[DiasVenc]])</f>
        <v>#VALUE!</v>
      </c>
      <c r="AO36" s="30" t="s">
        <v>8689</v>
      </c>
    </row>
    <row r="37" spans="1:41" x14ac:dyDescent="0.25">
      <c r="A37" t="s">
        <v>8984</v>
      </c>
      <c r="B37" s="1" t="s">
        <v>8985</v>
      </c>
      <c r="C37" s="30" t="str">
        <f t="shared" si="0"/>
        <v>ALM04840882</v>
      </c>
      <c r="D37" s="30" t="s">
        <v>8689</v>
      </c>
      <c r="E37" t="s">
        <v>8986</v>
      </c>
      <c r="F37" s="61">
        <f t="shared" si="6"/>
        <v>44444.43</v>
      </c>
      <c r="G37" s="3">
        <v>0</v>
      </c>
      <c r="H37" s="4"/>
      <c r="I37" s="38">
        <v>6</v>
      </c>
      <c r="J37" s="38">
        <v>6</v>
      </c>
      <c r="K37" s="54"/>
      <c r="L37" s="69">
        <f>((ARTICULOS_FRIGOR[[#This Row],[P. Compra]]*(1+ARTICULOS_FRIGOR[[#This Row],[IVA]]%))/ARTICULOS_FRIGOR[[#This Row],[UnidFact]])+ARTICULOS_FRIGOR[[#This Row],[CostoFlete]]</f>
        <v>7407.4049999999997</v>
      </c>
      <c r="M37">
        <v>26</v>
      </c>
      <c r="N37" s="63">
        <f t="shared" si="1"/>
        <v>10000</v>
      </c>
      <c r="O37" s="19">
        <f t="shared" si="2"/>
        <v>16650</v>
      </c>
      <c r="P37" t="s">
        <v>8693</v>
      </c>
      <c r="Q37">
        <v>2</v>
      </c>
      <c r="R37" s="3">
        <f>ARTICULOS_FRIGOR[[#This Row],[Bulto]]+ARTICULOS_FRIGOR[[#This Row],[Minimo]]</f>
        <v>8</v>
      </c>
      <c r="S37" s="30" t="s">
        <v>8881</v>
      </c>
      <c r="T37" s="1" t="s">
        <v>4</v>
      </c>
      <c r="U37" t="s">
        <v>105</v>
      </c>
      <c r="V37" s="30" t="s">
        <v>8881</v>
      </c>
      <c r="W37" t="s">
        <v>8692</v>
      </c>
      <c r="X37">
        <v>1</v>
      </c>
      <c r="Y37">
        <v>0</v>
      </c>
      <c r="AB37" s="80" t="e">
        <f>ARTICULOS_OSLE[[#This Row],[Costo]]*ARTICULOS_OSLE[[#This Row],[Pedido]]</f>
        <v>#VALUE!</v>
      </c>
      <c r="AH37" s="2" t="e">
        <f>IF(AND(ARTICULOS_OSLE[[#This Row],[FechaVenc]]=0,ARTICULOS_OSLE[[#This Row],[DiasVenc]]=0),"",ARTICULOS_OSLE[[#This Row],[FechaVenc]]-ARTICULOS_OSLE[[#This Row],[DiasVenc]])</f>
        <v>#VALUE!</v>
      </c>
      <c r="AO37" s="30" t="s">
        <v>8689</v>
      </c>
    </row>
    <row r="38" spans="1:41" x14ac:dyDescent="0.25">
      <c r="A38" t="s">
        <v>8987</v>
      </c>
      <c r="B38" s="1" t="s">
        <v>8988</v>
      </c>
      <c r="C38" s="30" t="str">
        <f t="shared" si="0"/>
        <v>ALM34790194</v>
      </c>
      <c r="D38" s="30" t="s">
        <v>8689</v>
      </c>
      <c r="E38" t="s">
        <v>8989</v>
      </c>
      <c r="F38" s="61">
        <v>25778.41</v>
      </c>
      <c r="G38" s="3">
        <v>0</v>
      </c>
      <c r="H38" s="4"/>
      <c r="I38" s="38">
        <v>6</v>
      </c>
      <c r="J38" s="38">
        <v>6</v>
      </c>
      <c r="K38" s="54"/>
      <c r="L38" s="69">
        <f>((ARTICULOS_FRIGOR[[#This Row],[P. Compra]]*(1+ARTICULOS_FRIGOR[[#This Row],[IVA]]%))/ARTICULOS_FRIGOR[[#This Row],[UnidFact]])+ARTICULOS_FRIGOR[[#This Row],[CostoFlete]]</f>
        <v>4296.4016666666666</v>
      </c>
      <c r="M38">
        <v>26</v>
      </c>
      <c r="N38" s="39">
        <f t="shared" si="1"/>
        <v>5800</v>
      </c>
      <c r="O38" s="19">
        <f t="shared" si="2"/>
        <v>9650</v>
      </c>
      <c r="P38" t="s">
        <v>8693</v>
      </c>
      <c r="Q38">
        <v>2</v>
      </c>
      <c r="R38" s="3">
        <f>ARTICULOS_FRIGOR[[#This Row],[Bulto]]+ARTICULOS_FRIGOR[[#This Row],[Minimo]]</f>
        <v>8</v>
      </c>
      <c r="S38" s="30" t="s">
        <v>8881</v>
      </c>
      <c r="T38" s="1" t="s">
        <v>4</v>
      </c>
      <c r="U38" t="s">
        <v>105</v>
      </c>
      <c r="V38" s="30" t="s">
        <v>8881</v>
      </c>
      <c r="W38" t="s">
        <v>8692</v>
      </c>
      <c r="X38">
        <v>1</v>
      </c>
      <c r="Y38">
        <v>0</v>
      </c>
      <c r="AB38" s="80" t="e">
        <f>ARTICULOS_OSLE[[#This Row],[Costo]]*ARTICULOS_OSLE[[#This Row],[Pedido]]</f>
        <v>#VALUE!</v>
      </c>
      <c r="AH38" s="2" t="e">
        <f>IF(AND(ARTICULOS_OSLE[[#This Row],[FechaVenc]]=0,ARTICULOS_OSLE[[#This Row],[DiasVenc]]=0),"",ARTICULOS_OSLE[[#This Row],[FechaVenc]]-ARTICULOS_OSLE[[#This Row],[DiasVenc]])</f>
        <v>#VALUE!</v>
      </c>
      <c r="AO38" s="30" t="s">
        <v>8689</v>
      </c>
    </row>
    <row r="39" spans="1:41" x14ac:dyDescent="0.25">
      <c r="A39" t="s">
        <v>8990</v>
      </c>
      <c r="B39" s="1" t="s">
        <v>8991</v>
      </c>
      <c r="C39" s="30" t="str">
        <f t="shared" si="0"/>
        <v>ALM04840868</v>
      </c>
      <c r="D39" s="30" t="s">
        <v>8689</v>
      </c>
      <c r="E39" t="s">
        <v>8992</v>
      </c>
      <c r="F39" s="61">
        <f>F38</f>
        <v>25778.41</v>
      </c>
      <c r="G39" s="3">
        <v>0</v>
      </c>
      <c r="H39" s="4"/>
      <c r="I39" s="38">
        <v>6</v>
      </c>
      <c r="J39" s="38">
        <v>6</v>
      </c>
      <c r="K39" s="54"/>
      <c r="L39" s="69">
        <f>((ARTICULOS_FRIGOR[[#This Row],[P. Compra]]*(1+ARTICULOS_FRIGOR[[#This Row],[IVA]]%))/ARTICULOS_FRIGOR[[#This Row],[UnidFact]])+ARTICULOS_FRIGOR[[#This Row],[CostoFlete]]</f>
        <v>4296.4016666666666</v>
      </c>
      <c r="M39">
        <v>26</v>
      </c>
      <c r="N39" s="39">
        <f t="shared" si="1"/>
        <v>5800</v>
      </c>
      <c r="O39" s="19">
        <f t="shared" si="2"/>
        <v>9650</v>
      </c>
      <c r="P39" t="s">
        <v>8693</v>
      </c>
      <c r="Q39">
        <v>2</v>
      </c>
      <c r="R39" s="3">
        <f>ARTICULOS_FRIGOR[[#This Row],[Bulto]]+ARTICULOS_FRIGOR[[#This Row],[Minimo]]</f>
        <v>8</v>
      </c>
      <c r="S39" s="30" t="s">
        <v>8881</v>
      </c>
      <c r="T39" s="1" t="s">
        <v>4</v>
      </c>
      <c r="U39" t="s">
        <v>105</v>
      </c>
      <c r="V39" s="30" t="s">
        <v>8881</v>
      </c>
      <c r="W39" t="s">
        <v>8692</v>
      </c>
      <c r="X39">
        <v>1</v>
      </c>
      <c r="Y39">
        <v>3</v>
      </c>
      <c r="AB39" s="80" t="e">
        <f>ARTICULOS_OSLE[[#This Row],[Costo]]*ARTICULOS_OSLE[[#This Row],[Pedido]]</f>
        <v>#VALUE!</v>
      </c>
      <c r="AH39" s="2" t="e">
        <f>IF(AND(ARTICULOS_OSLE[[#This Row],[FechaVenc]]=0,ARTICULOS_OSLE[[#This Row],[DiasVenc]]=0),"",ARTICULOS_OSLE[[#This Row],[FechaVenc]]-ARTICULOS_OSLE[[#This Row],[DiasVenc]])</f>
        <v>#VALUE!</v>
      </c>
      <c r="AO39" s="30" t="s">
        <v>8689</v>
      </c>
    </row>
    <row r="40" spans="1:41" x14ac:dyDescent="0.25">
      <c r="A40" t="s">
        <v>8993</v>
      </c>
      <c r="B40" s="1" t="s">
        <v>8994</v>
      </c>
      <c r="C40" s="30" t="str">
        <f t="shared" si="0"/>
        <v>ALM34790156</v>
      </c>
      <c r="D40" s="30" t="s">
        <v>8689</v>
      </c>
      <c r="E40" t="s">
        <v>8995</v>
      </c>
      <c r="F40" s="61">
        <f t="shared" ref="F40:F44" si="7">F39</f>
        <v>25778.41</v>
      </c>
      <c r="G40" s="3">
        <v>0</v>
      </c>
      <c r="H40" s="4"/>
      <c r="I40" s="38">
        <v>6</v>
      </c>
      <c r="J40" s="38">
        <v>6</v>
      </c>
      <c r="K40" s="54"/>
      <c r="L40" s="69">
        <f>((ARTICULOS_FRIGOR[[#This Row],[P. Compra]]*(1+ARTICULOS_FRIGOR[[#This Row],[IVA]]%))/ARTICULOS_FRIGOR[[#This Row],[UnidFact]])+ARTICULOS_FRIGOR[[#This Row],[CostoFlete]]</f>
        <v>4296.4016666666666</v>
      </c>
      <c r="M40">
        <v>26</v>
      </c>
      <c r="N40" s="63">
        <f t="shared" si="1"/>
        <v>5800</v>
      </c>
      <c r="O40" s="19">
        <f t="shared" si="2"/>
        <v>9650</v>
      </c>
      <c r="P40" t="s">
        <v>8693</v>
      </c>
      <c r="Q40">
        <v>2</v>
      </c>
      <c r="R40" s="3">
        <f>ARTICULOS_FRIGOR[[#This Row],[Bulto]]+ARTICULOS_FRIGOR[[#This Row],[Minimo]]</f>
        <v>8</v>
      </c>
      <c r="S40" s="30" t="s">
        <v>8881</v>
      </c>
      <c r="T40" s="1" t="s">
        <v>4</v>
      </c>
      <c r="U40" t="s">
        <v>105</v>
      </c>
      <c r="V40" s="30" t="s">
        <v>8881</v>
      </c>
      <c r="W40" t="s">
        <v>8692</v>
      </c>
      <c r="X40">
        <v>1</v>
      </c>
      <c r="Y40">
        <v>0</v>
      </c>
      <c r="AB40" s="80" t="e">
        <f>ARTICULOS_OSLE[[#This Row],[Costo]]*ARTICULOS_OSLE[[#This Row],[Pedido]]</f>
        <v>#VALUE!</v>
      </c>
      <c r="AH40" s="2" t="e">
        <f>IF(AND(ARTICULOS_OSLE[[#This Row],[FechaVenc]]=0,ARTICULOS_OSLE[[#This Row],[DiasVenc]]=0),"",ARTICULOS_OSLE[[#This Row],[FechaVenc]]-ARTICULOS_OSLE[[#This Row],[DiasVenc]])</f>
        <v>#VALUE!</v>
      </c>
      <c r="AO40" s="30" t="s">
        <v>8689</v>
      </c>
    </row>
    <row r="41" spans="1:41" x14ac:dyDescent="0.25">
      <c r="A41" t="s">
        <v>8996</v>
      </c>
      <c r="B41" s="1" t="s">
        <v>8997</v>
      </c>
      <c r="C41" s="30" t="str">
        <f t="shared" si="0"/>
        <v>ALM04840851</v>
      </c>
      <c r="D41" s="30" t="s">
        <v>8689</v>
      </c>
      <c r="E41" t="s">
        <v>8998</v>
      </c>
      <c r="F41" s="61">
        <f t="shared" si="7"/>
        <v>25778.41</v>
      </c>
      <c r="G41" s="3">
        <v>0</v>
      </c>
      <c r="H41" s="4"/>
      <c r="I41" s="38">
        <v>6</v>
      </c>
      <c r="J41" s="38">
        <v>6</v>
      </c>
      <c r="K41" s="54"/>
      <c r="L41" s="69">
        <f>((ARTICULOS_FRIGOR[[#This Row],[P. Compra]]*(1+ARTICULOS_FRIGOR[[#This Row],[IVA]]%))/ARTICULOS_FRIGOR[[#This Row],[UnidFact]])+ARTICULOS_FRIGOR[[#This Row],[CostoFlete]]</f>
        <v>4296.4016666666666</v>
      </c>
      <c r="M41">
        <v>26</v>
      </c>
      <c r="N41" s="39">
        <f t="shared" si="1"/>
        <v>5800</v>
      </c>
      <c r="O41" s="19">
        <f t="shared" si="2"/>
        <v>9650</v>
      </c>
      <c r="P41" t="s">
        <v>8693</v>
      </c>
      <c r="Q41">
        <v>2</v>
      </c>
      <c r="R41" s="3">
        <f>ARTICULOS_FRIGOR[[#This Row],[Bulto]]+ARTICULOS_FRIGOR[[#This Row],[Minimo]]</f>
        <v>8</v>
      </c>
      <c r="S41" s="30" t="s">
        <v>8881</v>
      </c>
      <c r="T41" s="1" t="s">
        <v>4</v>
      </c>
      <c r="U41" t="s">
        <v>105</v>
      </c>
      <c r="V41" s="30" t="s">
        <v>8881</v>
      </c>
      <c r="W41" t="s">
        <v>8692</v>
      </c>
      <c r="X41">
        <v>1</v>
      </c>
      <c r="Y41">
        <v>0</v>
      </c>
      <c r="AB41" s="80" t="e">
        <f>ARTICULOS_OSLE[[#This Row],[Costo]]*ARTICULOS_OSLE[[#This Row],[Pedido]]</f>
        <v>#VALUE!</v>
      </c>
      <c r="AH41" s="2" t="e">
        <f>IF(AND(ARTICULOS_OSLE[[#This Row],[FechaVenc]]=0,ARTICULOS_OSLE[[#This Row],[DiasVenc]]=0),"",ARTICULOS_OSLE[[#This Row],[FechaVenc]]-ARTICULOS_OSLE[[#This Row],[DiasVenc]])</f>
        <v>#VALUE!</v>
      </c>
      <c r="AO41" s="30" t="s">
        <v>8689</v>
      </c>
    </row>
    <row r="42" spans="1:41" x14ac:dyDescent="0.25">
      <c r="A42" t="s">
        <v>8999</v>
      </c>
      <c r="B42" s="1" t="s">
        <v>9000</v>
      </c>
      <c r="C42" s="30" t="str">
        <f t="shared" si="0"/>
        <v>ALM04841230</v>
      </c>
      <c r="D42" s="30" t="s">
        <v>8689</v>
      </c>
      <c r="E42" t="s">
        <v>9001</v>
      </c>
      <c r="F42" s="61">
        <f t="shared" si="7"/>
        <v>25778.41</v>
      </c>
      <c r="G42" s="3">
        <v>0</v>
      </c>
      <c r="H42" s="4"/>
      <c r="I42" s="38">
        <v>6</v>
      </c>
      <c r="J42" s="38">
        <v>6</v>
      </c>
      <c r="K42" s="54"/>
      <c r="L42" s="69">
        <f>((ARTICULOS_FRIGOR[[#This Row],[P. Compra]]*(1+ARTICULOS_FRIGOR[[#This Row],[IVA]]%))/ARTICULOS_FRIGOR[[#This Row],[UnidFact]])+ARTICULOS_FRIGOR[[#This Row],[CostoFlete]]</f>
        <v>4296.4016666666666</v>
      </c>
      <c r="M42">
        <v>26</v>
      </c>
      <c r="N42" s="39">
        <f t="shared" si="1"/>
        <v>5800</v>
      </c>
      <c r="O42" s="19">
        <f t="shared" si="2"/>
        <v>9650</v>
      </c>
      <c r="P42" t="s">
        <v>8693</v>
      </c>
      <c r="Q42">
        <v>2</v>
      </c>
      <c r="R42" s="3">
        <f>ARTICULOS_FRIGOR[[#This Row],[Bulto]]+ARTICULOS_FRIGOR[[#This Row],[Minimo]]</f>
        <v>8</v>
      </c>
      <c r="S42" s="30" t="s">
        <v>8881</v>
      </c>
      <c r="T42" s="1" t="s">
        <v>4</v>
      </c>
      <c r="U42" t="s">
        <v>105</v>
      </c>
      <c r="V42" s="30" t="s">
        <v>8881</v>
      </c>
      <c r="W42" t="s">
        <v>8692</v>
      </c>
      <c r="X42">
        <v>1</v>
      </c>
      <c r="Y42">
        <v>1</v>
      </c>
      <c r="AB42" s="80" t="e">
        <f>ARTICULOS_OSLE[[#This Row],[Costo]]*ARTICULOS_OSLE[[#This Row],[Pedido]]</f>
        <v>#VALUE!</v>
      </c>
      <c r="AH42" s="2" t="e">
        <f>IF(AND(ARTICULOS_OSLE[[#This Row],[FechaVenc]]=0,ARTICULOS_OSLE[[#This Row],[DiasVenc]]=0),"",ARTICULOS_OSLE[[#This Row],[FechaVenc]]-ARTICULOS_OSLE[[#This Row],[DiasVenc]])</f>
        <v>#VALUE!</v>
      </c>
      <c r="AO42" s="30" t="s">
        <v>8689</v>
      </c>
    </row>
    <row r="43" spans="1:41" x14ac:dyDescent="0.25">
      <c r="A43" t="s">
        <v>9002</v>
      </c>
      <c r="B43" s="1" t="s">
        <v>9003</v>
      </c>
      <c r="C43" s="30" t="str">
        <f t="shared" si="0"/>
        <v>ALM04840844</v>
      </c>
      <c r="D43" s="30" t="s">
        <v>8689</v>
      </c>
      <c r="E43" t="s">
        <v>9004</v>
      </c>
      <c r="F43" s="61">
        <f t="shared" si="7"/>
        <v>25778.41</v>
      </c>
      <c r="G43" s="3">
        <v>0</v>
      </c>
      <c r="H43" s="4"/>
      <c r="I43" s="38">
        <v>6</v>
      </c>
      <c r="J43" s="38">
        <v>6</v>
      </c>
      <c r="K43" s="54"/>
      <c r="L43" s="69">
        <f>((ARTICULOS_FRIGOR[[#This Row],[P. Compra]]*(1+ARTICULOS_FRIGOR[[#This Row],[IVA]]%))/ARTICULOS_FRIGOR[[#This Row],[UnidFact]])+ARTICULOS_FRIGOR[[#This Row],[CostoFlete]]</f>
        <v>4296.4016666666666</v>
      </c>
      <c r="M43">
        <v>26</v>
      </c>
      <c r="N43" s="63">
        <f t="shared" si="1"/>
        <v>5800</v>
      </c>
      <c r="O43" s="19">
        <f t="shared" si="2"/>
        <v>9650</v>
      </c>
      <c r="P43" t="s">
        <v>8693</v>
      </c>
      <c r="Q43">
        <v>2</v>
      </c>
      <c r="R43" s="3">
        <f>ARTICULOS_FRIGOR[[#This Row],[Bulto]]+ARTICULOS_FRIGOR[[#This Row],[Minimo]]</f>
        <v>8</v>
      </c>
      <c r="S43" s="30" t="s">
        <v>8881</v>
      </c>
      <c r="T43" s="1" t="s">
        <v>4</v>
      </c>
      <c r="U43" t="s">
        <v>105</v>
      </c>
      <c r="V43" s="30" t="s">
        <v>8881</v>
      </c>
      <c r="W43" t="s">
        <v>8692</v>
      </c>
      <c r="X43">
        <v>1</v>
      </c>
      <c r="Y43">
        <v>0</v>
      </c>
      <c r="AB43" s="80" t="e">
        <f>ARTICULOS_OSLE[[#This Row],[Costo]]*ARTICULOS_OSLE[[#This Row],[Pedido]]</f>
        <v>#VALUE!</v>
      </c>
      <c r="AH43" s="2" t="e">
        <f>IF(AND(ARTICULOS_OSLE[[#This Row],[FechaVenc]]=0,ARTICULOS_OSLE[[#This Row],[DiasVenc]]=0),"",ARTICULOS_OSLE[[#This Row],[FechaVenc]]-ARTICULOS_OSLE[[#This Row],[DiasVenc]])</f>
        <v>#VALUE!</v>
      </c>
      <c r="AO43" s="30" t="s">
        <v>8689</v>
      </c>
    </row>
    <row r="44" spans="1:41" x14ac:dyDescent="0.25">
      <c r="A44" t="s">
        <v>9005</v>
      </c>
      <c r="B44" s="1" t="s">
        <v>9006</v>
      </c>
      <c r="C44" s="30" t="str">
        <f t="shared" si="0"/>
        <v>ALM34789839</v>
      </c>
      <c r="D44" s="30" t="s">
        <v>8689</v>
      </c>
      <c r="E44" t="s">
        <v>9007</v>
      </c>
      <c r="F44" s="61">
        <f t="shared" si="7"/>
        <v>25778.41</v>
      </c>
      <c r="G44" s="3">
        <v>0</v>
      </c>
      <c r="H44" s="4"/>
      <c r="I44" s="38">
        <v>6</v>
      </c>
      <c r="J44" s="38">
        <v>6</v>
      </c>
      <c r="K44" s="54"/>
      <c r="L44" s="69">
        <f>((ARTICULOS_FRIGOR[[#This Row],[P. Compra]]*(1+ARTICULOS_FRIGOR[[#This Row],[IVA]]%))/ARTICULOS_FRIGOR[[#This Row],[UnidFact]])+ARTICULOS_FRIGOR[[#This Row],[CostoFlete]]</f>
        <v>4296.4016666666666</v>
      </c>
      <c r="M44">
        <v>26</v>
      </c>
      <c r="N44" s="39">
        <f t="shared" si="1"/>
        <v>5800</v>
      </c>
      <c r="O44" s="19">
        <f t="shared" si="2"/>
        <v>9650</v>
      </c>
      <c r="P44" t="s">
        <v>8693</v>
      </c>
      <c r="Q44">
        <v>2</v>
      </c>
      <c r="R44" s="3">
        <f>ARTICULOS_FRIGOR[[#This Row],[Bulto]]+ARTICULOS_FRIGOR[[#This Row],[Minimo]]</f>
        <v>8</v>
      </c>
      <c r="S44" s="30" t="s">
        <v>8881</v>
      </c>
      <c r="T44" s="1" t="s">
        <v>4</v>
      </c>
      <c r="U44" t="s">
        <v>105</v>
      </c>
      <c r="V44" s="30" t="s">
        <v>8881</v>
      </c>
      <c r="W44" t="s">
        <v>8692</v>
      </c>
      <c r="X44">
        <v>1</v>
      </c>
      <c r="Y44">
        <v>0</v>
      </c>
      <c r="AB44" s="80" t="e">
        <f>ARTICULOS_OSLE[[#This Row],[Costo]]*ARTICULOS_OSLE[[#This Row],[Pedido]]</f>
        <v>#VALUE!</v>
      </c>
      <c r="AH44" s="2" t="e">
        <f>IF(AND(ARTICULOS_OSLE[[#This Row],[FechaVenc]]=0,ARTICULOS_OSLE[[#This Row],[DiasVenc]]=0),"",ARTICULOS_OSLE[[#This Row],[FechaVenc]]-ARTICULOS_OSLE[[#This Row],[DiasVenc]])</f>
        <v>#VALUE!</v>
      </c>
      <c r="AO44" s="30" t="s">
        <v>8689</v>
      </c>
    </row>
  </sheetData>
  <conditionalFormatting sqref="A1">
    <cfRule type="duplicateValues" dxfId="115" priority="2"/>
  </conditionalFormatting>
  <conditionalFormatting sqref="A2:C44">
    <cfRule type="duplicateValues" dxfId="114" priority="1051"/>
    <cfRule type="duplicateValues" dxfId="113" priority="1052"/>
  </conditionalFormatting>
  <conditionalFormatting sqref="A26:C26">
    <cfRule type="duplicateValues" dxfId="112" priority="19"/>
    <cfRule type="duplicateValues" dxfId="111" priority="20"/>
  </conditionalFormatting>
  <conditionalFormatting sqref="A27:C27">
    <cfRule type="duplicateValues" dxfId="110" priority="15"/>
    <cfRule type="duplicateValues" dxfId="109" priority="16"/>
  </conditionalFormatting>
  <conditionalFormatting sqref="A43:C1048576">
    <cfRule type="duplicateValues" dxfId="108" priority="26"/>
    <cfRule type="duplicateValues" dxfId="107" priority="27"/>
  </conditionalFormatting>
  <conditionalFormatting sqref="C1">
    <cfRule type="duplicateValues" dxfId="106" priority="1"/>
  </conditionalFormatting>
  <conditionalFormatting sqref="L1:L44">
    <cfRule type="cellIs" dxfId="105" priority="3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0D8885-67E0-43EB-8E84-08E638645B64}">
          <x14:formula1>
            <xm:f>LISTAS!$E:$E</xm:f>
          </x14:formula1>
          <xm:sqref>U1:U44</xm:sqref>
        </x14:dataValidation>
        <x14:dataValidation type="list" allowBlank="1" showInputMessage="1" showErrorMessage="1" xr:uid="{3E3B774E-4B11-48AF-9FD3-6A8E43E0B60F}">
          <x14:formula1>
            <xm:f>LISTAS!$A:$A</xm:f>
          </x14:formula1>
          <xm:sqref>S1:S44</xm:sqref>
        </x14:dataValidation>
        <x14:dataValidation type="list" allowBlank="1" showInputMessage="1" showErrorMessage="1" xr:uid="{8AA1EE63-E457-4B40-AA3D-92BC5BAB68A2}">
          <x14:formula1>
            <xm:f>LISTAS!$C:$C</xm:f>
          </x14:formula1>
          <xm:sqref>O45:O1048576 T4:T44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A139-ABC3-46D5-AB43-ED4E6F9E5106}">
  <dimension ref="A1:AQ28"/>
  <sheetViews>
    <sheetView workbookViewId="0">
      <pane xSplit="5" topLeftCell="O1" activePane="topRight" state="frozen"/>
      <selection activeCell="AD34" sqref="AD34"/>
      <selection pane="topRight" activeCell="E22" sqref="E22"/>
    </sheetView>
  </sheetViews>
  <sheetFormatPr baseColWidth="10" defaultColWidth="11.42578125" defaultRowHeight="15" x14ac:dyDescent="0.2"/>
  <cols>
    <col min="1" max="1" width="7.28515625" style="1" customWidth="1"/>
    <col min="2" max="2" width="6.140625" style="1" customWidth="1"/>
    <col min="3" max="3" width="6.42578125" customWidth="1"/>
    <col min="4" max="4" width="6.85546875" style="1" customWidth="1"/>
    <col min="5" max="5" width="44.7109375" bestFit="1" customWidth="1"/>
    <col min="6" max="6" width="11.85546875" style="15" customWidth="1"/>
    <col min="7" max="7" width="8.28515625" bestFit="1" customWidth="1"/>
    <col min="8" max="8" width="5.140625" bestFit="1" customWidth="1"/>
    <col min="9" max="9" width="6.28515625" bestFit="1" customWidth="1"/>
    <col min="11" max="11" width="10.140625" style="20" customWidth="1"/>
    <col min="12" max="12" width="10.42578125" bestFit="1" customWidth="1"/>
    <col min="16" max="16" width="11.42578125" style="35"/>
    <col min="18" max="18" width="8.28515625" bestFit="1" customWidth="1"/>
    <col min="21" max="21" width="11.42578125" style="35"/>
    <col min="24" max="24" width="9.28515625" bestFit="1" customWidth="1"/>
    <col min="27" max="27" width="12.42578125" customWidth="1"/>
    <col min="28" max="28" width="13.5703125" bestFit="1" customWidth="1"/>
    <col min="31" max="31" width="12.42578125" customWidth="1"/>
    <col min="32" max="32" width="12.5703125" customWidth="1"/>
    <col min="38" max="38" width="20" customWidth="1"/>
    <col min="39" max="39" width="13.28515625" customWidth="1"/>
    <col min="40" max="40" width="11.5703125" customWidth="1"/>
    <col min="41" max="41" width="18.7109375" customWidth="1"/>
    <col min="43" max="43" width="14.28515625" customWidth="1"/>
    <col min="44" max="45" width="13.7109375" customWidth="1"/>
    <col min="48" max="48" width="12.42578125" customWidth="1"/>
    <col min="49" max="49" width="10.7109375" customWidth="1"/>
    <col min="50" max="50" width="12.85546875" customWidth="1"/>
    <col min="52" max="52" width="11.7109375" customWidth="1"/>
    <col min="53" max="53" width="12.28515625" customWidth="1"/>
  </cols>
  <sheetData>
    <row r="1" spans="1:43" s="11" customFormat="1" ht="16.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6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ht="15.75" x14ac:dyDescent="0.25">
      <c r="A2" s="1" t="s">
        <v>9008</v>
      </c>
      <c r="B2" s="24" t="s">
        <v>9009</v>
      </c>
      <c r="C2" s="30" t="str">
        <f t="shared" ref="C2:C24" si="0">CONCATENATE(LEFT(T2,3),RIGHT(A2,8))</f>
        <v>KIO77943446</v>
      </c>
      <c r="D2" t="s">
        <v>8689</v>
      </c>
      <c r="E2" s="77" t="s">
        <v>9010</v>
      </c>
      <c r="F2" s="61">
        <v>4005.58</v>
      </c>
      <c r="G2" s="3">
        <v>21</v>
      </c>
      <c r="H2" s="4" t="s">
        <v>8690</v>
      </c>
      <c r="I2" s="35">
        <v>15</v>
      </c>
      <c r="J2" s="35">
        <v>15</v>
      </c>
      <c r="K2" s="35"/>
      <c r="L2" s="66">
        <f>((ARTICULOS_NORNES[[#This Row],[P. Compra]]*(1+ARTICULOS_NORNES[[#This Row],[IVA]]%))/ARTICULOS_NORNES[[#This Row],[UnidFact]])+ARTICULOS_NORNES[[#This Row],[CostoFlete]]</f>
        <v>323.11678666666666</v>
      </c>
      <c r="M2">
        <v>30</v>
      </c>
      <c r="N2" s="63">
        <f t="shared" ref="N2:N25" si="1">IF(L2&gt;=5,MROUND(L2/(1-M2/100),50),10)</f>
        <v>450</v>
      </c>
      <c r="O2" s="19">
        <f t="shared" ref="O2:O24" si="2">MROUND(N2/0.6,50)</f>
        <v>750</v>
      </c>
      <c r="P2" t="s">
        <v>8693</v>
      </c>
      <c r="Q2">
        <v>3</v>
      </c>
      <c r="R2" s="3">
        <f>ARTICULOS_NORNES[[#This Row],[Bulto]]+ARTICULOS_NORNES[[#This Row],[Minimo]]</f>
        <v>18</v>
      </c>
      <c r="S2" t="s">
        <v>41</v>
      </c>
      <c r="T2" s="1" t="s">
        <v>27</v>
      </c>
      <c r="U2" t="s">
        <v>28</v>
      </c>
      <c r="V2" s="30" t="s">
        <v>9011</v>
      </c>
      <c r="W2" t="s">
        <v>8692</v>
      </c>
      <c r="X2">
        <v>1</v>
      </c>
      <c r="Y2">
        <v>0</v>
      </c>
      <c r="AB2" s="80">
        <f>ARTICULOS_OSLE[[#This Row],[Costo]]*ARTICULOS_OSLE[[#This Row],[Pedido]]</f>
        <v>0</v>
      </c>
      <c r="AF2" s="2"/>
      <c r="AH2" s="2" t="str">
        <f>IF(AND(ARTICULOS_OSLE[[#This Row],[FechaVenc]]=0,ARTICULOS_OSLE[[#This Row],[DiasVenc]]=0),"",ARTICULOS_OSLE[[#This Row],[FechaVenc]]-ARTICULOS_OSLE[[#This Row],[DiasVenc]])</f>
        <v/>
      </c>
      <c r="AO2" s="30" t="s">
        <v>8689</v>
      </c>
    </row>
    <row r="3" spans="1:43" ht="15.75" x14ac:dyDescent="0.25">
      <c r="A3" s="1" t="s">
        <v>9012</v>
      </c>
      <c r="C3" s="30" t="str">
        <f t="shared" si="0"/>
        <v>KIO77929235</v>
      </c>
      <c r="D3" t="s">
        <v>8689</v>
      </c>
      <c r="E3" s="77" t="s">
        <v>9013</v>
      </c>
      <c r="F3" s="61">
        <v>6520.45</v>
      </c>
      <c r="G3" s="3">
        <v>21</v>
      </c>
      <c r="H3" s="4" t="s">
        <v>8690</v>
      </c>
      <c r="I3" s="35">
        <v>16</v>
      </c>
      <c r="J3" s="35">
        <v>16</v>
      </c>
      <c r="K3" s="35"/>
      <c r="L3" s="66">
        <f>((ARTICULOS_NORNES[[#This Row],[P. Compra]]*(1+ARTICULOS_NORNES[[#This Row],[IVA]]%))/ARTICULOS_NORNES[[#This Row],[UnidFact]])+ARTICULOS_NORNES[[#This Row],[CostoFlete]]</f>
        <v>493.10903124999999</v>
      </c>
      <c r="M3">
        <v>30</v>
      </c>
      <c r="N3" s="39">
        <f t="shared" si="1"/>
        <v>700</v>
      </c>
      <c r="O3" s="19">
        <f t="shared" si="2"/>
        <v>1150</v>
      </c>
      <c r="P3" t="s">
        <v>8693</v>
      </c>
      <c r="Q3">
        <v>4</v>
      </c>
      <c r="R3" s="3">
        <f>ARTICULOS_NORNES[[#This Row],[Bulto]]+ARTICULOS_NORNES[[#This Row],[Minimo]]</f>
        <v>20</v>
      </c>
      <c r="S3" t="s">
        <v>41</v>
      </c>
      <c r="T3" s="1" t="s">
        <v>27</v>
      </c>
      <c r="U3" t="s">
        <v>28</v>
      </c>
      <c r="V3" s="30" t="s">
        <v>9011</v>
      </c>
      <c r="W3" t="s">
        <v>8692</v>
      </c>
      <c r="X3">
        <v>1</v>
      </c>
      <c r="Y3">
        <v>22</v>
      </c>
      <c r="AB3" s="80">
        <f>ARTICULOS_OSLE[[#This Row],[Costo]]*ARTICULOS_OSLE[[#This Row],[Pedido]]</f>
        <v>0</v>
      </c>
      <c r="AH3" s="2" t="str">
        <f>IF(AND(ARTICULOS_OSLE[[#This Row],[FechaVenc]]=0,ARTICULOS_OSLE[[#This Row],[DiasVenc]]=0),"",ARTICULOS_OSLE[[#This Row],[FechaVenc]]-ARTICULOS_OSLE[[#This Row],[DiasVenc]])</f>
        <v/>
      </c>
      <c r="AO3" s="30" t="s">
        <v>8689</v>
      </c>
    </row>
    <row r="4" spans="1:43" ht="15.75" x14ac:dyDescent="0.25">
      <c r="A4" s="1" t="s">
        <v>9014</v>
      </c>
      <c r="C4" s="30" t="str">
        <f t="shared" si="0"/>
        <v>KIO08113952</v>
      </c>
      <c r="D4" t="s">
        <v>8689</v>
      </c>
      <c r="E4" s="77" t="s">
        <v>9015</v>
      </c>
      <c r="F4" s="61">
        <v>3923.97</v>
      </c>
      <c r="G4" s="3">
        <v>21</v>
      </c>
      <c r="H4" s="31" t="s">
        <v>8690</v>
      </c>
      <c r="I4" s="35">
        <v>6</v>
      </c>
      <c r="J4" s="35">
        <v>1</v>
      </c>
      <c r="K4" s="35"/>
      <c r="L4" s="66">
        <f>((ARTICULOS_NORNES[[#This Row],[P. Compra]]*(1+ARTICULOS_NORNES[[#This Row],[IVA]]%))/ARTICULOS_NORNES[[#This Row],[UnidFact]])+ARTICULOS_NORNES[[#This Row],[CostoFlete]]</f>
        <v>4748.0036999999993</v>
      </c>
      <c r="M4">
        <v>30</v>
      </c>
      <c r="N4" s="39">
        <f t="shared" si="1"/>
        <v>6800</v>
      </c>
      <c r="O4" s="45">
        <f t="shared" si="2"/>
        <v>11350</v>
      </c>
      <c r="P4" t="s">
        <v>8693</v>
      </c>
      <c r="Q4">
        <v>2</v>
      </c>
      <c r="R4" s="23">
        <f>ARTICULOS_NORNES[[#This Row],[Bulto]]+ARTICULOS_NORNES[[#This Row],[Minimo]]</f>
        <v>8</v>
      </c>
      <c r="S4" t="s">
        <v>41</v>
      </c>
      <c r="T4" s="1" t="s">
        <v>27</v>
      </c>
      <c r="U4" t="s">
        <v>28</v>
      </c>
      <c r="V4" s="30" t="s">
        <v>9011</v>
      </c>
      <c r="W4" t="s">
        <v>8692</v>
      </c>
      <c r="X4">
        <v>1</v>
      </c>
      <c r="Y4">
        <v>4</v>
      </c>
      <c r="AB4" s="80">
        <f>ARTICULOS_OSLE[[#This Row],[Costo]]*ARTICULOS_OSLE[[#This Row],[Pedido]]</f>
        <v>0</v>
      </c>
      <c r="AH4" s="2" t="str">
        <f>IF(AND(ARTICULOS_OSLE[[#This Row],[FechaVenc]]=0,ARTICULOS_OSLE[[#This Row],[DiasVenc]]=0),"",ARTICULOS_OSLE[[#This Row],[FechaVenc]]-ARTICULOS_OSLE[[#This Row],[DiasVenc]])</f>
        <v/>
      </c>
      <c r="AO4" s="30" t="s">
        <v>8689</v>
      </c>
    </row>
    <row r="5" spans="1:43" ht="15.75" x14ac:dyDescent="0.25">
      <c r="A5" s="1" t="s">
        <v>9016</v>
      </c>
      <c r="C5" s="30" t="str">
        <f t="shared" si="0"/>
        <v>KIO39352151</v>
      </c>
      <c r="D5" t="s">
        <v>8689</v>
      </c>
      <c r="E5" s="77" t="s">
        <v>9017</v>
      </c>
      <c r="F5" s="61">
        <v>4131.76</v>
      </c>
      <c r="G5" s="3">
        <v>21</v>
      </c>
      <c r="H5" s="4" t="s">
        <v>8690</v>
      </c>
      <c r="I5" s="35">
        <v>6</v>
      </c>
      <c r="J5" s="35">
        <v>1</v>
      </c>
      <c r="K5" s="35"/>
      <c r="L5" s="66">
        <f>((ARTICULOS_NORNES[[#This Row],[P. Compra]]*(1+ARTICULOS_NORNES[[#This Row],[IVA]]%))/ARTICULOS_NORNES[[#This Row],[UnidFact]])+ARTICULOS_NORNES[[#This Row],[CostoFlete]]</f>
        <v>4999.4296000000004</v>
      </c>
      <c r="M5">
        <v>30</v>
      </c>
      <c r="N5" s="63">
        <f t="shared" si="1"/>
        <v>7150</v>
      </c>
      <c r="O5" s="19">
        <f t="shared" si="2"/>
        <v>11900</v>
      </c>
      <c r="P5" t="s">
        <v>8693</v>
      </c>
      <c r="Q5">
        <v>2</v>
      </c>
      <c r="R5" s="3">
        <f>ARTICULOS_NORNES[[#This Row],[Bulto]]+ARTICULOS_NORNES[[#This Row],[Minimo]]</f>
        <v>8</v>
      </c>
      <c r="S5" t="s">
        <v>41</v>
      </c>
      <c r="T5" s="1" t="s">
        <v>27</v>
      </c>
      <c r="U5" t="s">
        <v>28</v>
      </c>
      <c r="V5" s="30" t="s">
        <v>9011</v>
      </c>
      <c r="W5" t="s">
        <v>8692</v>
      </c>
      <c r="X5">
        <v>1</v>
      </c>
      <c r="Y5">
        <v>7</v>
      </c>
      <c r="AB5" s="80">
        <f>ARTICULOS_OSLE[[#This Row],[Costo]]*ARTICULOS_OSLE[[#This Row],[Pedido]]</f>
        <v>0</v>
      </c>
      <c r="AH5" s="2" t="str">
        <f>IF(AND(ARTICULOS_OSLE[[#This Row],[FechaVenc]]=0,ARTICULOS_OSLE[[#This Row],[DiasVenc]]=0),"",ARTICULOS_OSLE[[#This Row],[FechaVenc]]-ARTICULOS_OSLE[[#This Row],[DiasVenc]])</f>
        <v/>
      </c>
      <c r="AO5" s="30" t="s">
        <v>8689</v>
      </c>
    </row>
    <row r="6" spans="1:43" ht="15.75" x14ac:dyDescent="0.25">
      <c r="A6" s="1" t="s">
        <v>9018</v>
      </c>
      <c r="C6" s="30" t="str">
        <f t="shared" si="0"/>
        <v>KIO00249239</v>
      </c>
      <c r="D6" t="s">
        <v>8689</v>
      </c>
      <c r="E6" s="77" t="s">
        <v>9019</v>
      </c>
      <c r="F6" s="61">
        <v>717.04</v>
      </c>
      <c r="G6" s="3">
        <v>21</v>
      </c>
      <c r="H6" s="4" t="s">
        <v>8690</v>
      </c>
      <c r="I6" s="35">
        <v>12</v>
      </c>
      <c r="J6" s="35">
        <v>1</v>
      </c>
      <c r="K6" s="35"/>
      <c r="L6" s="66">
        <f>((ARTICULOS_NORNES[[#This Row],[P. Compra]]*(1+ARTICULOS_NORNES[[#This Row],[IVA]]%))/ARTICULOS_NORNES[[#This Row],[UnidFact]])+ARTICULOS_NORNES[[#This Row],[CostoFlete]]</f>
        <v>867.61839999999995</v>
      </c>
      <c r="M6">
        <v>30</v>
      </c>
      <c r="N6" s="39">
        <f t="shared" si="1"/>
        <v>1250</v>
      </c>
      <c r="O6" s="19">
        <f t="shared" si="2"/>
        <v>2100</v>
      </c>
      <c r="P6" t="s">
        <v>8693</v>
      </c>
      <c r="Q6">
        <v>4</v>
      </c>
      <c r="R6" s="3">
        <f>ARTICULOS_NORNES[[#This Row],[Bulto]]+ARTICULOS_NORNES[[#This Row],[Minimo]]</f>
        <v>16</v>
      </c>
      <c r="S6" t="s">
        <v>41</v>
      </c>
      <c r="T6" s="1" t="s">
        <v>27</v>
      </c>
      <c r="U6" t="s">
        <v>28</v>
      </c>
      <c r="V6" s="30" t="s">
        <v>8899</v>
      </c>
      <c r="W6" t="s">
        <v>8692</v>
      </c>
      <c r="X6">
        <v>1</v>
      </c>
      <c r="Y6">
        <v>14</v>
      </c>
      <c r="AB6" s="80">
        <f>ARTICULOS_OSLE[[#This Row],[Costo]]*ARTICULOS_OSLE[[#This Row],[Pedido]]</f>
        <v>13950</v>
      </c>
      <c r="AH6" s="2" t="str">
        <f>IF(AND(ARTICULOS_OSLE[[#This Row],[FechaVenc]]=0,ARTICULOS_OSLE[[#This Row],[DiasVenc]]=0),"",ARTICULOS_OSLE[[#This Row],[FechaVenc]]-ARTICULOS_OSLE[[#This Row],[DiasVenc]])</f>
        <v/>
      </c>
      <c r="AO6" s="30" t="s">
        <v>8689</v>
      </c>
    </row>
    <row r="7" spans="1:43" ht="15.75" x14ac:dyDescent="0.25">
      <c r="A7" s="1" t="s">
        <v>9020</v>
      </c>
      <c r="C7" s="30" t="str">
        <f t="shared" si="0"/>
        <v>KIO00248829</v>
      </c>
      <c r="D7" t="s">
        <v>8689</v>
      </c>
      <c r="E7" s="77" t="s">
        <v>9021</v>
      </c>
      <c r="F7" s="61">
        <f>F6</f>
        <v>717.04</v>
      </c>
      <c r="G7" s="3">
        <v>21</v>
      </c>
      <c r="H7" s="4" t="s">
        <v>8690</v>
      </c>
      <c r="I7" s="35">
        <v>12</v>
      </c>
      <c r="J7" s="35">
        <v>1</v>
      </c>
      <c r="K7" s="35"/>
      <c r="L7" s="66">
        <f>((ARTICULOS_NORNES[[#This Row],[P. Compra]]*(1+ARTICULOS_NORNES[[#This Row],[IVA]]%))/ARTICULOS_NORNES[[#This Row],[UnidFact]])+ARTICULOS_NORNES[[#This Row],[CostoFlete]]</f>
        <v>867.61839999999995</v>
      </c>
      <c r="M7">
        <v>30</v>
      </c>
      <c r="N7" s="39">
        <f t="shared" si="1"/>
        <v>1250</v>
      </c>
      <c r="O7" s="19">
        <f t="shared" si="2"/>
        <v>2100</v>
      </c>
      <c r="P7" t="s">
        <v>8693</v>
      </c>
      <c r="Q7">
        <v>4</v>
      </c>
      <c r="R7" s="3">
        <f>ARTICULOS_NORNES[[#This Row],[Bulto]]+ARTICULOS_NORNES[[#This Row],[Minimo]]</f>
        <v>16</v>
      </c>
      <c r="S7" t="s">
        <v>41</v>
      </c>
      <c r="T7" s="1" t="s">
        <v>27</v>
      </c>
      <c r="U7" t="s">
        <v>28</v>
      </c>
      <c r="V7" s="30" t="s">
        <v>8899</v>
      </c>
      <c r="W7" t="s">
        <v>8692</v>
      </c>
      <c r="X7">
        <v>1</v>
      </c>
      <c r="Y7">
        <v>0</v>
      </c>
      <c r="AB7" s="80">
        <f>ARTICULOS_OSLE[[#This Row],[Costo]]*ARTICULOS_OSLE[[#This Row],[Pedido]]</f>
        <v>18600</v>
      </c>
      <c r="AH7" s="2" t="str">
        <f>IF(AND(ARTICULOS_OSLE[[#This Row],[FechaVenc]]=0,ARTICULOS_OSLE[[#This Row],[DiasVenc]]=0),"",ARTICULOS_OSLE[[#This Row],[FechaVenc]]-ARTICULOS_OSLE[[#This Row],[DiasVenc]])</f>
        <v/>
      </c>
      <c r="AO7" s="30" t="s">
        <v>8689</v>
      </c>
    </row>
    <row r="8" spans="1:43" ht="15.75" x14ac:dyDescent="0.25">
      <c r="A8" s="1" t="s">
        <v>9022</v>
      </c>
      <c r="C8" s="30" t="str">
        <f t="shared" si="0"/>
        <v>KIO00253984</v>
      </c>
      <c r="D8" t="s">
        <v>8689</v>
      </c>
      <c r="E8" s="77" t="s">
        <v>9023</v>
      </c>
      <c r="F8" s="61">
        <f t="shared" ref="F8:F9" si="3">F7</f>
        <v>717.04</v>
      </c>
      <c r="G8" s="3">
        <v>21</v>
      </c>
      <c r="H8" s="4" t="s">
        <v>8690</v>
      </c>
      <c r="I8" s="35">
        <v>16</v>
      </c>
      <c r="J8" s="35">
        <v>1</v>
      </c>
      <c r="K8" s="35"/>
      <c r="L8" s="66">
        <f>((ARTICULOS_NORNES[[#This Row],[P. Compra]]*(1+ARTICULOS_NORNES[[#This Row],[IVA]]%))/ARTICULOS_NORNES[[#This Row],[UnidFact]])+ARTICULOS_NORNES[[#This Row],[CostoFlete]]</f>
        <v>867.61839999999995</v>
      </c>
      <c r="M8">
        <v>30</v>
      </c>
      <c r="N8" s="63">
        <f t="shared" si="1"/>
        <v>1250</v>
      </c>
      <c r="O8" s="19">
        <f t="shared" si="2"/>
        <v>2100</v>
      </c>
      <c r="P8" t="s">
        <v>8693</v>
      </c>
      <c r="Q8">
        <v>4</v>
      </c>
      <c r="R8" s="3">
        <f>ARTICULOS_NORNES[[#This Row],[Bulto]]+ARTICULOS_NORNES[[#This Row],[Minimo]]</f>
        <v>20</v>
      </c>
      <c r="S8" t="s">
        <v>41</v>
      </c>
      <c r="T8" s="1" t="s">
        <v>27</v>
      </c>
      <c r="U8" t="s">
        <v>28</v>
      </c>
      <c r="V8" s="30" t="s">
        <v>8899</v>
      </c>
      <c r="W8" t="s">
        <v>8692</v>
      </c>
      <c r="X8">
        <v>1</v>
      </c>
      <c r="Y8">
        <v>0</v>
      </c>
      <c r="AB8" s="80">
        <f>ARTICULOS_OSLE[[#This Row],[Costo]]*ARTICULOS_OSLE[[#This Row],[Pedido]]</f>
        <v>0</v>
      </c>
      <c r="AH8" s="2" t="str">
        <f>IF(AND(ARTICULOS_OSLE[[#This Row],[FechaVenc]]=0,ARTICULOS_OSLE[[#This Row],[DiasVenc]]=0),"",ARTICULOS_OSLE[[#This Row],[FechaVenc]]-ARTICULOS_OSLE[[#This Row],[DiasVenc]])</f>
        <v/>
      </c>
      <c r="AO8" s="30" t="s">
        <v>8689</v>
      </c>
    </row>
    <row r="9" spans="1:43" ht="15.75" x14ac:dyDescent="0.25">
      <c r="A9" s="1" t="s">
        <v>9024</v>
      </c>
      <c r="C9" s="30" t="str">
        <f t="shared" si="0"/>
        <v>KIO00248799</v>
      </c>
      <c r="D9" t="s">
        <v>8689</v>
      </c>
      <c r="E9" s="77" t="s">
        <v>9025</v>
      </c>
      <c r="F9" s="61">
        <f t="shared" si="3"/>
        <v>717.04</v>
      </c>
      <c r="G9" s="3">
        <v>21</v>
      </c>
      <c r="H9" s="4" t="s">
        <v>8690</v>
      </c>
      <c r="I9" s="35">
        <v>12</v>
      </c>
      <c r="J9" s="35">
        <v>1</v>
      </c>
      <c r="K9" s="35"/>
      <c r="L9" s="66">
        <f>((ARTICULOS_NORNES[[#This Row],[P. Compra]]*(1+ARTICULOS_NORNES[[#This Row],[IVA]]%))/ARTICULOS_NORNES[[#This Row],[UnidFact]])+ARTICULOS_NORNES[[#This Row],[CostoFlete]]</f>
        <v>867.61839999999995</v>
      </c>
      <c r="M9">
        <v>30</v>
      </c>
      <c r="N9" s="39">
        <f t="shared" si="1"/>
        <v>1250</v>
      </c>
      <c r="O9" s="19">
        <f t="shared" si="2"/>
        <v>2100</v>
      </c>
      <c r="P9" t="s">
        <v>8693</v>
      </c>
      <c r="Q9">
        <v>4</v>
      </c>
      <c r="R9" s="3">
        <f>ARTICULOS_NORNES[[#This Row],[Bulto]]+ARTICULOS_NORNES[[#This Row],[Minimo]]</f>
        <v>16</v>
      </c>
      <c r="S9" t="s">
        <v>41</v>
      </c>
      <c r="T9" s="1" t="s">
        <v>27</v>
      </c>
      <c r="U9" t="s">
        <v>28</v>
      </c>
      <c r="V9" s="30" t="s">
        <v>8899</v>
      </c>
      <c r="W9" t="s">
        <v>8692</v>
      </c>
      <c r="X9">
        <v>1</v>
      </c>
      <c r="Y9">
        <v>34</v>
      </c>
      <c r="AB9" s="80">
        <f>ARTICULOS_OSLE[[#This Row],[Costo]]*ARTICULOS_OSLE[[#This Row],[Pedido]]</f>
        <v>0</v>
      </c>
      <c r="AH9" s="2" t="str">
        <f>IF(AND(ARTICULOS_OSLE[[#This Row],[FechaVenc]]=0,ARTICULOS_OSLE[[#This Row],[DiasVenc]]=0),"",ARTICULOS_OSLE[[#This Row],[FechaVenc]]-ARTICULOS_OSLE[[#This Row],[DiasVenc]])</f>
        <v/>
      </c>
      <c r="AO9" s="30" t="s">
        <v>8689</v>
      </c>
    </row>
    <row r="10" spans="1:43" ht="15.75" x14ac:dyDescent="0.25">
      <c r="A10" s="1" t="s">
        <v>9026</v>
      </c>
      <c r="C10" s="30" t="str">
        <f t="shared" si="0"/>
        <v>ALM00105504</v>
      </c>
      <c r="D10" t="s">
        <v>8689</v>
      </c>
      <c r="E10" s="77" t="s">
        <v>9027</v>
      </c>
      <c r="F10" s="61">
        <v>4192.08</v>
      </c>
      <c r="G10" s="3">
        <v>21</v>
      </c>
      <c r="H10" s="4" t="s">
        <v>8690</v>
      </c>
      <c r="I10" s="35">
        <v>24</v>
      </c>
      <c r="J10" s="35">
        <v>24</v>
      </c>
      <c r="K10" s="35"/>
      <c r="L10" s="66">
        <f>((ARTICULOS_NORNES[[#This Row],[P. Compra]]*(1+ARTICULOS_NORNES[[#This Row],[IVA]]%))/ARTICULOS_NORNES[[#This Row],[UnidFact]])+ARTICULOS_NORNES[[#This Row],[CostoFlete]]</f>
        <v>211.35069999999999</v>
      </c>
      <c r="M10">
        <v>30</v>
      </c>
      <c r="N10" s="39">
        <f t="shared" si="1"/>
        <v>300</v>
      </c>
      <c r="O10" s="45">
        <f t="shared" si="2"/>
        <v>500</v>
      </c>
      <c r="P10" t="s">
        <v>8693</v>
      </c>
      <c r="Q10">
        <v>6</v>
      </c>
      <c r="R10" s="23">
        <f>I10+Q10</f>
        <v>30</v>
      </c>
      <c r="S10" t="s">
        <v>41</v>
      </c>
      <c r="T10" s="1" t="s">
        <v>4</v>
      </c>
      <c r="U10" t="s">
        <v>40</v>
      </c>
      <c r="V10" s="30" t="s">
        <v>9028</v>
      </c>
      <c r="W10" t="s">
        <v>8692</v>
      </c>
      <c r="X10">
        <v>1</v>
      </c>
      <c r="Y10">
        <v>23</v>
      </c>
      <c r="AB10" s="80">
        <f>ARTICULOS_OSLE[[#This Row],[Costo]]*ARTICULOS_OSLE[[#This Row],[Pedido]]</f>
        <v>0</v>
      </c>
      <c r="AH10" s="2" t="str">
        <f>IF(AND(ARTICULOS_OSLE[[#This Row],[FechaVenc]]=0,ARTICULOS_OSLE[[#This Row],[DiasVenc]]=0),"",ARTICULOS_OSLE[[#This Row],[FechaVenc]]-ARTICULOS_OSLE[[#This Row],[DiasVenc]])</f>
        <v/>
      </c>
      <c r="AO10" s="30" t="s">
        <v>8689</v>
      </c>
    </row>
    <row r="11" spans="1:43" ht="15.75" x14ac:dyDescent="0.25">
      <c r="A11" s="1" t="s">
        <v>9029</v>
      </c>
      <c r="C11" s="30" t="str">
        <f t="shared" si="0"/>
        <v>ALM00345290</v>
      </c>
      <c r="D11" t="s">
        <v>8689</v>
      </c>
      <c r="E11" s="77" t="s">
        <v>9030</v>
      </c>
      <c r="F11" s="61">
        <f>F10</f>
        <v>4192.08</v>
      </c>
      <c r="G11" s="3">
        <v>21</v>
      </c>
      <c r="H11" s="4" t="s">
        <v>8690</v>
      </c>
      <c r="I11" s="35">
        <v>24</v>
      </c>
      <c r="J11" s="35">
        <v>24</v>
      </c>
      <c r="K11" s="35"/>
      <c r="L11" s="66">
        <f>((ARTICULOS_NORNES[[#This Row],[P. Compra]]*(1+ARTICULOS_NORNES[[#This Row],[IVA]]%))/ARTICULOS_NORNES[[#This Row],[UnidFact]])+ARTICULOS_NORNES[[#This Row],[CostoFlete]]</f>
        <v>211.35069999999999</v>
      </c>
      <c r="M11">
        <v>30</v>
      </c>
      <c r="N11" s="63">
        <f t="shared" si="1"/>
        <v>300</v>
      </c>
      <c r="O11" s="45">
        <f t="shared" si="2"/>
        <v>500</v>
      </c>
      <c r="P11" t="s">
        <v>8693</v>
      </c>
      <c r="Q11">
        <v>6</v>
      </c>
      <c r="R11" s="23">
        <f>I11+Q11</f>
        <v>30</v>
      </c>
      <c r="S11" t="s">
        <v>41</v>
      </c>
      <c r="T11" s="1" t="s">
        <v>4</v>
      </c>
      <c r="U11" t="s">
        <v>40</v>
      </c>
      <c r="V11" s="30" t="s">
        <v>9028</v>
      </c>
      <c r="W11" t="s">
        <v>8692</v>
      </c>
      <c r="X11">
        <v>1</v>
      </c>
      <c r="Y11">
        <v>20</v>
      </c>
      <c r="AB11" s="80">
        <f>ARTICULOS_OSLE[[#This Row],[Costo]]*ARTICULOS_OSLE[[#This Row],[Pedido]]</f>
        <v>0</v>
      </c>
      <c r="AH11" s="2" t="str">
        <f>IF(AND(ARTICULOS_OSLE[[#This Row],[FechaVenc]]=0,ARTICULOS_OSLE[[#This Row],[DiasVenc]]=0),"",ARTICULOS_OSLE[[#This Row],[FechaVenc]]-ARTICULOS_OSLE[[#This Row],[DiasVenc]])</f>
        <v/>
      </c>
      <c r="AO11" s="30" t="s">
        <v>8689</v>
      </c>
    </row>
    <row r="12" spans="1:43" ht="15.75" x14ac:dyDescent="0.25">
      <c r="A12" s="1" t="s">
        <v>9031</v>
      </c>
      <c r="C12" s="30" t="str">
        <f t="shared" si="0"/>
        <v>ALM00345245</v>
      </c>
      <c r="D12" t="s">
        <v>8689</v>
      </c>
      <c r="E12" s="77" t="s">
        <v>9032</v>
      </c>
      <c r="F12" s="61">
        <f>F11</f>
        <v>4192.08</v>
      </c>
      <c r="G12" s="3">
        <v>21</v>
      </c>
      <c r="H12" s="4" t="s">
        <v>8690</v>
      </c>
      <c r="I12" s="35">
        <v>24</v>
      </c>
      <c r="J12" s="35">
        <v>24</v>
      </c>
      <c r="K12" s="35"/>
      <c r="L12" s="66">
        <f>((ARTICULOS_NORNES[[#This Row],[P. Compra]]*(1+ARTICULOS_NORNES[[#This Row],[IVA]]%))/ARTICULOS_NORNES[[#This Row],[UnidFact]])+ARTICULOS_NORNES[[#This Row],[CostoFlete]]</f>
        <v>211.35069999999999</v>
      </c>
      <c r="M12">
        <v>30</v>
      </c>
      <c r="N12" s="39">
        <f t="shared" si="1"/>
        <v>300</v>
      </c>
      <c r="O12" s="45">
        <f t="shared" si="2"/>
        <v>500</v>
      </c>
      <c r="P12" t="s">
        <v>8693</v>
      </c>
      <c r="Q12">
        <v>6</v>
      </c>
      <c r="R12" s="23">
        <f>I12+Q12</f>
        <v>30</v>
      </c>
      <c r="S12" t="s">
        <v>41</v>
      </c>
      <c r="T12" s="1" t="s">
        <v>4</v>
      </c>
      <c r="U12" t="s">
        <v>40</v>
      </c>
      <c r="V12" s="30" t="s">
        <v>9028</v>
      </c>
      <c r="W12" t="s">
        <v>8692</v>
      </c>
      <c r="X12">
        <v>1</v>
      </c>
      <c r="Y12">
        <v>23</v>
      </c>
      <c r="AB12" s="80">
        <f>ARTICULOS_OSLE[[#This Row],[Costo]]*ARTICULOS_OSLE[[#This Row],[Pedido]]</f>
        <v>0</v>
      </c>
      <c r="AH12" s="2" t="str">
        <f>IF(AND(ARTICULOS_OSLE[[#This Row],[FechaVenc]]=0,ARTICULOS_OSLE[[#This Row],[DiasVenc]]=0),"",ARTICULOS_OSLE[[#This Row],[FechaVenc]]-ARTICULOS_OSLE[[#This Row],[DiasVenc]])</f>
        <v/>
      </c>
      <c r="AO12" s="30" t="s">
        <v>8689</v>
      </c>
    </row>
    <row r="13" spans="1:43" ht="15.75" x14ac:dyDescent="0.25">
      <c r="A13" s="1" t="s">
        <v>9033</v>
      </c>
      <c r="B13" s="24" t="s">
        <v>9034</v>
      </c>
      <c r="C13" s="30" t="str">
        <f t="shared" si="0"/>
        <v>ALM90998231</v>
      </c>
      <c r="D13" s="30" t="s">
        <v>8689</v>
      </c>
      <c r="E13" s="77" t="s">
        <v>9035</v>
      </c>
      <c r="F13" s="61">
        <v>1301.42</v>
      </c>
      <c r="G13" s="3">
        <v>21</v>
      </c>
      <c r="H13" s="31" t="s">
        <v>8690</v>
      </c>
      <c r="I13" s="35">
        <v>6</v>
      </c>
      <c r="J13" s="35">
        <v>1</v>
      </c>
      <c r="K13" s="35"/>
      <c r="L13" s="66">
        <f>((ARTICULOS_NORNES[[#This Row],[P. Compra]]*(1+ARTICULOS_NORNES[[#This Row],[IVA]]%))/ARTICULOS_NORNES[[#This Row],[UnidFact]])+ARTICULOS_NORNES[[#This Row],[CostoFlete]]</f>
        <v>1574.7182</v>
      </c>
      <c r="M13">
        <v>30</v>
      </c>
      <c r="N13" s="39">
        <f t="shared" si="1"/>
        <v>2250</v>
      </c>
      <c r="O13" s="19">
        <f t="shared" si="2"/>
        <v>3750</v>
      </c>
      <c r="P13" t="s">
        <v>8693</v>
      </c>
      <c r="Q13">
        <v>2</v>
      </c>
      <c r="R13" s="3">
        <f>ARTICULOS_NORNES[[#This Row],[Bulto]]+ARTICULOS_NORNES[[#This Row],[Minimo]]</f>
        <v>8</v>
      </c>
      <c r="S13" s="30" t="s">
        <v>41</v>
      </c>
      <c r="T13" s="1" t="s">
        <v>4</v>
      </c>
      <c r="U13" t="s">
        <v>52</v>
      </c>
      <c r="V13" s="30" t="s">
        <v>9036</v>
      </c>
      <c r="W13" t="s">
        <v>8692</v>
      </c>
      <c r="X13">
        <v>1</v>
      </c>
      <c r="Y13">
        <v>2</v>
      </c>
      <c r="AB13" s="80">
        <f>ARTICULOS_OSLE[[#This Row],[Costo]]*ARTICULOS_OSLE[[#This Row],[Pedido]]</f>
        <v>27300</v>
      </c>
      <c r="AH13" s="2" t="str">
        <f>IF(AND(ARTICULOS_OSLE[[#This Row],[FechaVenc]]=0,ARTICULOS_OSLE[[#This Row],[DiasVenc]]=0),"",ARTICULOS_OSLE[[#This Row],[FechaVenc]]-ARTICULOS_OSLE[[#This Row],[DiasVenc]])</f>
        <v/>
      </c>
      <c r="AO13" s="30" t="s">
        <v>8689</v>
      </c>
    </row>
    <row r="14" spans="1:43" ht="15.75" x14ac:dyDescent="0.25">
      <c r="A14" s="1" t="s">
        <v>9037</v>
      </c>
      <c r="B14" s="24" t="s">
        <v>9038</v>
      </c>
      <c r="C14" s="30" t="str">
        <f t="shared" si="0"/>
        <v>ALM90998002</v>
      </c>
      <c r="D14" t="s">
        <v>8689</v>
      </c>
      <c r="E14" s="77" t="s">
        <v>9039</v>
      </c>
      <c r="F14" s="61">
        <v>1256.81</v>
      </c>
      <c r="G14" s="3">
        <v>21</v>
      </c>
      <c r="H14" s="31" t="s">
        <v>8690</v>
      </c>
      <c r="I14" s="35">
        <v>6</v>
      </c>
      <c r="J14" s="35">
        <v>1</v>
      </c>
      <c r="K14" s="35"/>
      <c r="L14" s="66">
        <f>((ARTICULOS_NORNES[[#This Row],[P. Compra]]*(1+ARTICULOS_NORNES[[#This Row],[IVA]]%))/ARTICULOS_NORNES[[#This Row],[UnidFact]])+ARTICULOS_NORNES[[#This Row],[CostoFlete]]</f>
        <v>1520.7401</v>
      </c>
      <c r="M14">
        <v>30</v>
      </c>
      <c r="N14" s="63">
        <f t="shared" si="1"/>
        <v>2150</v>
      </c>
      <c r="O14" s="19">
        <f t="shared" si="2"/>
        <v>3600</v>
      </c>
      <c r="P14" t="s">
        <v>8693</v>
      </c>
      <c r="Q14">
        <v>2</v>
      </c>
      <c r="R14" s="3">
        <f>ARTICULOS_NORNES[[#This Row],[Bulto]]+ARTICULOS_NORNES[[#This Row],[Minimo]]</f>
        <v>8</v>
      </c>
      <c r="S14" s="30" t="s">
        <v>41</v>
      </c>
      <c r="T14" s="1" t="s">
        <v>4</v>
      </c>
      <c r="U14" t="s">
        <v>52</v>
      </c>
      <c r="V14" s="30" t="s">
        <v>9036</v>
      </c>
      <c r="W14" t="s">
        <v>8692</v>
      </c>
      <c r="X14">
        <v>1</v>
      </c>
      <c r="Y14">
        <v>5</v>
      </c>
      <c r="AB14" s="80">
        <f>ARTICULOS_OSLE[[#This Row],[Costo]]*ARTICULOS_OSLE[[#This Row],[Pedido]]</f>
        <v>24000</v>
      </c>
      <c r="AH14" s="2" t="str">
        <f>IF(AND(ARTICULOS_OSLE[[#This Row],[FechaVenc]]=0,ARTICULOS_OSLE[[#This Row],[DiasVenc]]=0),"",ARTICULOS_OSLE[[#This Row],[FechaVenc]]-ARTICULOS_OSLE[[#This Row],[DiasVenc]])</f>
        <v/>
      </c>
      <c r="AO14" s="30" t="s">
        <v>8689</v>
      </c>
    </row>
    <row r="15" spans="1:43" ht="15.75" x14ac:dyDescent="0.25">
      <c r="A15" s="24" t="s">
        <v>9040</v>
      </c>
      <c r="C15" s="30" t="str">
        <f t="shared" si="0"/>
        <v>ALM90271013</v>
      </c>
      <c r="D15" t="s">
        <v>8689</v>
      </c>
      <c r="E15" s="77" t="s">
        <v>9041</v>
      </c>
      <c r="F15" s="61">
        <v>2096.1799999999998</v>
      </c>
      <c r="G15" s="3">
        <v>21</v>
      </c>
      <c r="H15" s="4" t="s">
        <v>8690</v>
      </c>
      <c r="I15" s="35">
        <v>6</v>
      </c>
      <c r="J15" s="35">
        <v>1</v>
      </c>
      <c r="K15" s="35"/>
      <c r="L15" s="66">
        <f>((ARTICULOS_NORNES[[#This Row],[P. Compra]]*(1+ARTICULOS_NORNES[[#This Row],[IVA]]%))/ARTICULOS_NORNES[[#This Row],[UnidFact]])+ARTICULOS_NORNES[[#This Row],[CostoFlete]]</f>
        <v>2536.3777999999998</v>
      </c>
      <c r="M15">
        <v>30</v>
      </c>
      <c r="N15" s="39">
        <f t="shared" si="1"/>
        <v>3600</v>
      </c>
      <c r="O15" s="45">
        <f t="shared" si="2"/>
        <v>6000</v>
      </c>
      <c r="P15" t="s">
        <v>8693</v>
      </c>
      <c r="Q15">
        <v>2</v>
      </c>
      <c r="R15" s="23">
        <f>I15+Q15</f>
        <v>8</v>
      </c>
      <c r="S15" t="s">
        <v>41</v>
      </c>
      <c r="T15" s="1" t="s">
        <v>4</v>
      </c>
      <c r="U15" t="s">
        <v>75</v>
      </c>
      <c r="V15" s="30" t="s">
        <v>9042</v>
      </c>
      <c r="W15" t="s">
        <v>8692</v>
      </c>
      <c r="X15">
        <v>1</v>
      </c>
      <c r="Y15">
        <v>3</v>
      </c>
      <c r="AB15" s="80">
        <f>ARTICULOS_OSLE[[#This Row],[Costo]]*ARTICULOS_OSLE[[#This Row],[Pedido]]</f>
        <v>16200</v>
      </c>
      <c r="AH15" s="2" t="str">
        <f>IF(AND(ARTICULOS_OSLE[[#This Row],[FechaVenc]]=0,ARTICULOS_OSLE[[#This Row],[DiasVenc]]=0),"",ARTICULOS_OSLE[[#This Row],[FechaVenc]]-ARTICULOS_OSLE[[#This Row],[DiasVenc]])</f>
        <v/>
      </c>
      <c r="AO15" s="30" t="s">
        <v>8689</v>
      </c>
    </row>
    <row r="16" spans="1:43" ht="15.75" x14ac:dyDescent="0.25">
      <c r="A16" s="24" t="s">
        <v>9043</v>
      </c>
      <c r="C16" s="30" t="str">
        <f t="shared" si="0"/>
        <v>ALM29027101</v>
      </c>
      <c r="D16" t="s">
        <v>8689</v>
      </c>
      <c r="E16" s="77" t="s">
        <v>9044</v>
      </c>
      <c r="F16" s="61">
        <v>3163.22</v>
      </c>
      <c r="G16" s="3">
        <v>21</v>
      </c>
      <c r="H16" s="4" t="s">
        <v>8690</v>
      </c>
      <c r="I16" s="35">
        <v>6</v>
      </c>
      <c r="J16" s="35">
        <v>1</v>
      </c>
      <c r="K16" s="35"/>
      <c r="L16" s="66">
        <f>((ARTICULOS_NORNES[[#This Row],[P. Compra]]*(1+ARTICULOS_NORNES[[#This Row],[IVA]]%))/ARTICULOS_NORNES[[#This Row],[UnidFact]])+ARTICULOS_NORNES[[#This Row],[CostoFlete]]</f>
        <v>3827.4961999999996</v>
      </c>
      <c r="M16">
        <v>30</v>
      </c>
      <c r="N16" s="39">
        <f t="shared" si="1"/>
        <v>5450</v>
      </c>
      <c r="O16" s="45">
        <f t="shared" si="2"/>
        <v>9100</v>
      </c>
      <c r="P16" t="s">
        <v>8693</v>
      </c>
      <c r="Q16">
        <v>2</v>
      </c>
      <c r="R16" s="23">
        <f>I16+Q16</f>
        <v>8</v>
      </c>
      <c r="S16" t="s">
        <v>41</v>
      </c>
      <c r="T16" s="1" t="s">
        <v>4</v>
      </c>
      <c r="U16" t="s">
        <v>75</v>
      </c>
      <c r="V16" s="30" t="s">
        <v>9042</v>
      </c>
      <c r="W16" t="s">
        <v>8692</v>
      </c>
      <c r="X16">
        <v>1</v>
      </c>
      <c r="Y16">
        <v>0</v>
      </c>
      <c r="AB16" s="80">
        <f>ARTICULOS_OSLE[[#This Row],[Costo]]*ARTICULOS_OSLE[[#This Row],[Pedido]]</f>
        <v>27900</v>
      </c>
      <c r="AH16" s="2" t="str">
        <f>IF(AND(ARTICULOS_OSLE[[#This Row],[FechaVenc]]=0,ARTICULOS_OSLE[[#This Row],[DiasVenc]]=0),"",ARTICULOS_OSLE[[#This Row],[FechaVenc]]-ARTICULOS_OSLE[[#This Row],[DiasVenc]])</f>
        <v/>
      </c>
      <c r="AO16" s="30" t="s">
        <v>8689</v>
      </c>
    </row>
    <row r="17" spans="1:41" ht="15.75" x14ac:dyDescent="0.25">
      <c r="A17" s="1" t="s">
        <v>9045</v>
      </c>
      <c r="B17" s="24" t="s">
        <v>9046</v>
      </c>
      <c r="C17" s="30" t="str">
        <f t="shared" si="0"/>
        <v>ALM90256355</v>
      </c>
      <c r="D17" t="s">
        <v>8689</v>
      </c>
      <c r="E17" s="77" t="s">
        <v>9047</v>
      </c>
      <c r="F17" s="61">
        <v>1469.55</v>
      </c>
      <c r="G17" s="3">
        <v>21</v>
      </c>
      <c r="H17" s="4" t="s">
        <v>8690</v>
      </c>
      <c r="I17" s="35">
        <v>6</v>
      </c>
      <c r="J17" s="35">
        <v>1</v>
      </c>
      <c r="K17" s="35"/>
      <c r="L17" s="66">
        <f>((ARTICULOS_NORNES[[#This Row],[P. Compra]]*(1+ARTICULOS_NORNES[[#This Row],[IVA]]%))/ARTICULOS_NORNES[[#This Row],[UnidFact]])+ARTICULOS_NORNES[[#This Row],[CostoFlete]]</f>
        <v>1778.1554999999998</v>
      </c>
      <c r="M17">
        <v>30</v>
      </c>
      <c r="N17" s="63">
        <f t="shared" si="1"/>
        <v>2550</v>
      </c>
      <c r="O17" s="19">
        <f t="shared" si="2"/>
        <v>4250</v>
      </c>
      <c r="P17" t="s">
        <v>8693</v>
      </c>
      <c r="Q17">
        <v>2</v>
      </c>
      <c r="R17" s="3">
        <f>ARTICULOS_NORNES[[#This Row],[Bulto]]+ARTICULOS_NORNES[[#This Row],[Minimo]]</f>
        <v>8</v>
      </c>
      <c r="S17" t="s">
        <v>41</v>
      </c>
      <c r="T17" s="1" t="s">
        <v>4</v>
      </c>
      <c r="U17" t="s">
        <v>75</v>
      </c>
      <c r="V17" s="30" t="s">
        <v>9042</v>
      </c>
      <c r="W17" t="s">
        <v>8692</v>
      </c>
      <c r="X17">
        <v>1</v>
      </c>
      <c r="Y17">
        <v>1</v>
      </c>
      <c r="AB17" s="80">
        <f>ARTICULOS_OSLE[[#This Row],[Costo]]*ARTICULOS_OSLE[[#This Row],[Pedido]]</f>
        <v>16700</v>
      </c>
      <c r="AH17" s="2" t="str">
        <f>IF(AND(ARTICULOS_OSLE[[#This Row],[FechaVenc]]=0,ARTICULOS_OSLE[[#This Row],[DiasVenc]]=0),"",ARTICULOS_OSLE[[#This Row],[FechaVenc]]-ARTICULOS_OSLE[[#This Row],[DiasVenc]])</f>
        <v/>
      </c>
      <c r="AO17" s="30" t="s">
        <v>8689</v>
      </c>
    </row>
    <row r="18" spans="1:41" ht="15.75" x14ac:dyDescent="0.25">
      <c r="A18" s="1" t="s">
        <v>9048</v>
      </c>
      <c r="B18" s="24" t="s">
        <v>9049</v>
      </c>
      <c r="C18" s="30" t="str">
        <f t="shared" si="0"/>
        <v>ALM90256317</v>
      </c>
      <c r="D18" t="s">
        <v>8689</v>
      </c>
      <c r="E18" s="77" t="s">
        <v>9050</v>
      </c>
      <c r="F18" s="61">
        <f>F17</f>
        <v>1469.55</v>
      </c>
      <c r="G18" s="3">
        <v>21</v>
      </c>
      <c r="H18" s="4" t="s">
        <v>8690</v>
      </c>
      <c r="I18" s="35">
        <v>6</v>
      </c>
      <c r="J18" s="35">
        <v>1</v>
      </c>
      <c r="K18" s="35"/>
      <c r="L18" s="66">
        <f>((ARTICULOS_NORNES[[#This Row],[P. Compra]]*(1+ARTICULOS_NORNES[[#This Row],[IVA]]%))/ARTICULOS_NORNES[[#This Row],[UnidFact]])+ARTICULOS_NORNES[[#This Row],[CostoFlete]]</f>
        <v>1778.1554999999998</v>
      </c>
      <c r="M18">
        <v>30</v>
      </c>
      <c r="N18" s="39">
        <f t="shared" si="1"/>
        <v>2550</v>
      </c>
      <c r="O18" s="19">
        <f t="shared" si="2"/>
        <v>4250</v>
      </c>
      <c r="P18" t="s">
        <v>8693</v>
      </c>
      <c r="Q18">
        <v>2</v>
      </c>
      <c r="R18" s="3">
        <f>ARTICULOS_NORNES[[#This Row],[Bulto]]+ARTICULOS_NORNES[[#This Row],[Minimo]]</f>
        <v>8</v>
      </c>
      <c r="S18" t="s">
        <v>41</v>
      </c>
      <c r="T18" s="1" t="s">
        <v>4</v>
      </c>
      <c r="U18" t="s">
        <v>75</v>
      </c>
      <c r="V18" s="30" t="s">
        <v>9042</v>
      </c>
      <c r="W18" t="s">
        <v>8692</v>
      </c>
      <c r="X18">
        <v>1</v>
      </c>
      <c r="Y18">
        <v>0</v>
      </c>
      <c r="AB18" s="80">
        <f>ARTICULOS_OSLE[[#This Row],[Costo]]*ARTICULOS_OSLE[[#This Row],[Pedido]]</f>
        <v>11350</v>
      </c>
      <c r="AH18" s="2" t="str">
        <f>IF(AND(ARTICULOS_OSLE[[#This Row],[FechaVenc]]=0,ARTICULOS_OSLE[[#This Row],[DiasVenc]]=0),"",ARTICULOS_OSLE[[#This Row],[FechaVenc]]-ARTICULOS_OSLE[[#This Row],[DiasVenc]])</f>
        <v/>
      </c>
      <c r="AO18" s="30" t="s">
        <v>8689</v>
      </c>
    </row>
    <row r="19" spans="1:41" ht="15.75" x14ac:dyDescent="0.25">
      <c r="A19" s="24" t="s">
        <v>9051</v>
      </c>
      <c r="B19" s="24" t="s">
        <v>9052</v>
      </c>
      <c r="C19" s="30" t="str">
        <f t="shared" si="0"/>
        <v>ALM90271099</v>
      </c>
      <c r="D19" s="24" t="s">
        <v>8689</v>
      </c>
      <c r="E19" s="77" t="s">
        <v>9053</v>
      </c>
      <c r="F19" s="61">
        <v>3288.25</v>
      </c>
      <c r="G19" s="3">
        <v>21</v>
      </c>
      <c r="H19" s="4" t="s">
        <v>8690</v>
      </c>
      <c r="I19" s="35">
        <v>6</v>
      </c>
      <c r="J19" s="35">
        <v>1</v>
      </c>
      <c r="K19" s="35"/>
      <c r="L19" s="66">
        <f>((ARTICULOS_NORNES[[#This Row],[P. Compra]]*(1+ARTICULOS_NORNES[[#This Row],[IVA]]%))/ARTICULOS_NORNES[[#This Row],[UnidFact]])+ARTICULOS_NORNES[[#This Row],[CostoFlete]]</f>
        <v>3978.7824999999998</v>
      </c>
      <c r="M19">
        <v>30</v>
      </c>
      <c r="N19" s="39">
        <f t="shared" si="1"/>
        <v>5700</v>
      </c>
      <c r="O19" s="45">
        <f t="shared" si="2"/>
        <v>9500</v>
      </c>
      <c r="P19" t="s">
        <v>8693</v>
      </c>
      <c r="Q19">
        <v>2</v>
      </c>
      <c r="R19" s="23">
        <f>I19+Q19</f>
        <v>8</v>
      </c>
      <c r="S19" s="30" t="s">
        <v>41</v>
      </c>
      <c r="T19" s="1" t="s">
        <v>4</v>
      </c>
      <c r="U19" t="s">
        <v>75</v>
      </c>
      <c r="V19" s="30" t="s">
        <v>9042</v>
      </c>
      <c r="W19" t="s">
        <v>8692</v>
      </c>
      <c r="X19">
        <v>1</v>
      </c>
      <c r="Y19">
        <v>0</v>
      </c>
      <c r="AB19" s="80">
        <f>ARTICULOS_OSLE[[#This Row],[Costo]]*ARTICULOS_OSLE[[#This Row],[Pedido]]</f>
        <v>0</v>
      </c>
      <c r="AH19" s="2" t="str">
        <f>IF(AND(ARTICULOS_OSLE[[#This Row],[FechaVenc]]=0,ARTICULOS_OSLE[[#This Row],[DiasVenc]]=0),"",ARTICULOS_OSLE[[#This Row],[FechaVenc]]-ARTICULOS_OSLE[[#This Row],[DiasVenc]])</f>
        <v/>
      </c>
      <c r="AO19" s="30" t="s">
        <v>8689</v>
      </c>
    </row>
    <row r="20" spans="1:41" ht="15.75" x14ac:dyDescent="0.25">
      <c r="A20" s="1" t="s">
        <v>9054</v>
      </c>
      <c r="B20" s="24" t="s">
        <v>9055</v>
      </c>
      <c r="C20" s="30" t="str">
        <f t="shared" si="0"/>
        <v>ALM00350157</v>
      </c>
      <c r="D20" t="s">
        <v>8689</v>
      </c>
      <c r="E20" s="77" t="s">
        <v>9056</v>
      </c>
      <c r="F20" s="61">
        <v>3569.86</v>
      </c>
      <c r="G20" s="3">
        <v>21</v>
      </c>
      <c r="H20" s="4" t="s">
        <v>8690</v>
      </c>
      <c r="I20" s="35">
        <v>6</v>
      </c>
      <c r="J20" s="35">
        <v>1</v>
      </c>
      <c r="K20" s="35"/>
      <c r="L20" s="66">
        <f>((ARTICULOS_NORNES[[#This Row],[P. Compra]]*(1+ARTICULOS_NORNES[[#This Row],[IVA]]%))/ARTICULOS_NORNES[[#This Row],[UnidFact]])+ARTICULOS_NORNES[[#This Row],[CostoFlete]]</f>
        <v>4319.5306</v>
      </c>
      <c r="M20">
        <v>30</v>
      </c>
      <c r="N20" s="63">
        <f t="shared" si="1"/>
        <v>6150</v>
      </c>
      <c r="O20" s="45">
        <f t="shared" si="2"/>
        <v>10250</v>
      </c>
      <c r="P20" t="s">
        <v>8693</v>
      </c>
      <c r="Q20">
        <v>2</v>
      </c>
      <c r="R20" s="23">
        <f>I20+Q20</f>
        <v>8</v>
      </c>
      <c r="S20" t="s">
        <v>41</v>
      </c>
      <c r="T20" s="1" t="s">
        <v>4</v>
      </c>
      <c r="U20" t="s">
        <v>75</v>
      </c>
      <c r="V20" s="30" t="s">
        <v>9042</v>
      </c>
      <c r="W20" t="s">
        <v>8692</v>
      </c>
      <c r="X20">
        <v>1</v>
      </c>
      <c r="Y20">
        <v>0</v>
      </c>
      <c r="AB20" s="80">
        <f>ARTICULOS_OSLE[[#This Row],[Costo]]*ARTICULOS_OSLE[[#This Row],[Pedido]]</f>
        <v>0</v>
      </c>
      <c r="AH20" s="2" t="str">
        <f>IF(AND(ARTICULOS_OSLE[[#This Row],[FechaVenc]]=0,ARTICULOS_OSLE[[#This Row],[DiasVenc]]=0),"",ARTICULOS_OSLE[[#This Row],[FechaVenc]]-ARTICULOS_OSLE[[#This Row],[DiasVenc]])</f>
        <v/>
      </c>
      <c r="AO20" s="30" t="s">
        <v>8689</v>
      </c>
    </row>
    <row r="21" spans="1:41" ht="15.75" x14ac:dyDescent="0.25">
      <c r="A21" s="1" t="s">
        <v>9058</v>
      </c>
      <c r="B21" s="1" t="s">
        <v>9059</v>
      </c>
      <c r="C21" s="30" t="str">
        <f t="shared" si="0"/>
        <v>BEB90995476</v>
      </c>
      <c r="D21" s="1" t="s">
        <v>8689</v>
      </c>
      <c r="E21" s="77" t="s">
        <v>9060</v>
      </c>
      <c r="F21" s="61">
        <v>677.83</v>
      </c>
      <c r="G21" s="3">
        <v>21</v>
      </c>
      <c r="H21" s="4" t="s">
        <v>8690</v>
      </c>
      <c r="I21" s="35">
        <v>24</v>
      </c>
      <c r="J21" s="35">
        <v>1</v>
      </c>
      <c r="K21" s="35"/>
      <c r="L21" s="66">
        <f>((ARTICULOS_NORNES[[#This Row],[P. Compra]]*(1+ARTICULOS_NORNES[[#This Row],[IVA]]%))/ARTICULOS_NORNES[[#This Row],[UnidFact]])+ARTICULOS_NORNES[[#This Row],[CostoFlete]]</f>
        <v>820.17430000000002</v>
      </c>
      <c r="M21">
        <v>30</v>
      </c>
      <c r="N21" s="39">
        <f t="shared" si="1"/>
        <v>1150</v>
      </c>
      <c r="O21" s="19">
        <f t="shared" si="2"/>
        <v>1900</v>
      </c>
      <c r="P21" t="s">
        <v>8693</v>
      </c>
      <c r="Q21">
        <v>6</v>
      </c>
      <c r="R21" s="3">
        <v>24</v>
      </c>
      <c r="S21" t="s">
        <v>41</v>
      </c>
      <c r="T21" s="1" t="s">
        <v>10</v>
      </c>
      <c r="U21" t="s">
        <v>79</v>
      </c>
      <c r="V21" t="s">
        <v>9057</v>
      </c>
      <c r="W21" t="s">
        <v>8692</v>
      </c>
      <c r="X21">
        <v>1</v>
      </c>
      <c r="Y21">
        <v>38</v>
      </c>
      <c r="AB21" s="80">
        <f>ARTICULOS_OSLE[[#This Row],[Costo]]*ARTICULOS_OSLE[[#This Row],[Pedido]]</f>
        <v>11500</v>
      </c>
      <c r="AH21" s="2" t="str">
        <f>IF(AND(ARTICULOS_OSLE[[#This Row],[FechaVenc]]=0,ARTICULOS_OSLE[[#This Row],[DiasVenc]]=0),"",ARTICULOS_OSLE[[#This Row],[FechaVenc]]-ARTICULOS_OSLE[[#This Row],[DiasVenc]])</f>
        <v/>
      </c>
      <c r="AO21" s="30" t="s">
        <v>8689</v>
      </c>
    </row>
    <row r="22" spans="1:41" ht="15.75" x14ac:dyDescent="0.25">
      <c r="A22" s="24" t="s">
        <v>9061</v>
      </c>
      <c r="B22" s="24" t="s">
        <v>9062</v>
      </c>
      <c r="C22" s="30" t="str">
        <f t="shared" si="0"/>
        <v>BEB90848956</v>
      </c>
      <c r="D22" s="1" t="s">
        <v>8689</v>
      </c>
      <c r="E22" s="77" t="s">
        <v>9063</v>
      </c>
      <c r="F22" s="61">
        <f>F21</f>
        <v>677.83</v>
      </c>
      <c r="G22" s="3">
        <v>21</v>
      </c>
      <c r="H22" s="4" t="s">
        <v>8690</v>
      </c>
      <c r="I22" s="35">
        <v>24</v>
      </c>
      <c r="J22" s="35">
        <v>1</v>
      </c>
      <c r="K22" s="35"/>
      <c r="L22" s="66">
        <f>((ARTICULOS_NORNES[[#This Row],[P. Compra]]*(1+ARTICULOS_NORNES[[#This Row],[IVA]]%))/ARTICULOS_NORNES[[#This Row],[UnidFact]])+ARTICULOS_NORNES[[#This Row],[CostoFlete]]</f>
        <v>820.17430000000002</v>
      </c>
      <c r="M22">
        <v>30</v>
      </c>
      <c r="N22" s="63">
        <f t="shared" si="1"/>
        <v>1150</v>
      </c>
      <c r="O22" s="45">
        <f t="shared" si="2"/>
        <v>1900</v>
      </c>
      <c r="P22" t="s">
        <v>8693</v>
      </c>
      <c r="Q22">
        <v>6</v>
      </c>
      <c r="R22" s="23">
        <v>24</v>
      </c>
      <c r="S22" t="s">
        <v>41</v>
      </c>
      <c r="T22" s="1" t="s">
        <v>10</v>
      </c>
      <c r="U22" t="s">
        <v>79</v>
      </c>
      <c r="V22" t="s">
        <v>9057</v>
      </c>
      <c r="W22" t="s">
        <v>8692</v>
      </c>
      <c r="X22">
        <v>1</v>
      </c>
      <c r="Y22">
        <v>11</v>
      </c>
      <c r="AB22" s="80">
        <f>ARTICULOS_OSLE[[#This Row],[Costo]]*ARTICULOS_OSLE[[#This Row],[Pedido]]</f>
        <v>16500</v>
      </c>
      <c r="AH22" s="2" t="str">
        <f>IF(AND(ARTICULOS_OSLE[[#This Row],[FechaVenc]]=0,ARTICULOS_OSLE[[#This Row],[DiasVenc]]=0),"",ARTICULOS_OSLE[[#This Row],[FechaVenc]]-ARTICULOS_OSLE[[#This Row],[DiasVenc]])</f>
        <v/>
      </c>
      <c r="AO22" s="30" t="s">
        <v>8689</v>
      </c>
    </row>
    <row r="23" spans="1:41" ht="15.75" x14ac:dyDescent="0.25">
      <c r="A23" s="1" t="s">
        <v>9064</v>
      </c>
      <c r="C23" s="30" t="str">
        <f t="shared" si="0"/>
        <v>ALM87869982</v>
      </c>
      <c r="D23" t="s">
        <v>8689</v>
      </c>
      <c r="E23" s="77" t="s">
        <v>9065</v>
      </c>
      <c r="F23" s="61">
        <v>1402.57</v>
      </c>
      <c r="G23" s="3">
        <v>21</v>
      </c>
      <c r="H23" s="4" t="s">
        <v>8690</v>
      </c>
      <c r="I23" s="35">
        <v>6</v>
      </c>
      <c r="J23" s="35">
        <v>1</v>
      </c>
      <c r="K23" s="35"/>
      <c r="L23" s="66">
        <f>((ARTICULOS_NORNES[[#This Row],[P. Compra]]*(1+ARTICULOS_NORNES[[#This Row],[IVA]]%))/ARTICULOS_NORNES[[#This Row],[UnidFact]])+ARTICULOS_NORNES[[#This Row],[CostoFlete]]</f>
        <v>1697.1097</v>
      </c>
      <c r="M23">
        <v>30</v>
      </c>
      <c r="N23" s="39">
        <f t="shared" si="1"/>
        <v>2400</v>
      </c>
      <c r="O23" s="45">
        <f t="shared" si="2"/>
        <v>4000</v>
      </c>
      <c r="P23" t="s">
        <v>8693</v>
      </c>
      <c r="Q23">
        <v>2</v>
      </c>
      <c r="R23" s="23">
        <f>I23+Q23</f>
        <v>8</v>
      </c>
      <c r="S23" t="s">
        <v>41</v>
      </c>
      <c r="T23" s="1" t="s">
        <v>4</v>
      </c>
      <c r="U23" t="s">
        <v>98</v>
      </c>
      <c r="V23" s="30" t="s">
        <v>9011</v>
      </c>
      <c r="W23" t="s">
        <v>8692</v>
      </c>
      <c r="X23">
        <v>1</v>
      </c>
      <c r="Y23">
        <v>2</v>
      </c>
      <c r="AB23" s="80">
        <f>ARTICULOS_OSLE[[#This Row],[Costo]]*ARTICULOS_OSLE[[#This Row],[Pedido]]</f>
        <v>11400</v>
      </c>
      <c r="AH23" s="2" t="str">
        <f>IF(AND(ARTICULOS_OSLE[[#This Row],[FechaVenc]]=0,ARTICULOS_OSLE[[#This Row],[DiasVenc]]=0),"",ARTICULOS_OSLE[[#This Row],[FechaVenc]]-ARTICULOS_OSLE[[#This Row],[DiasVenc]])</f>
        <v/>
      </c>
      <c r="AO23" s="30" t="s">
        <v>8689</v>
      </c>
    </row>
    <row r="24" spans="1:41" ht="15.75" x14ac:dyDescent="0.25">
      <c r="A24" s="1" t="s">
        <v>9066</v>
      </c>
      <c r="C24" s="30" t="str">
        <f t="shared" si="0"/>
        <v>VEN00368626</v>
      </c>
      <c r="D24" t="s">
        <v>8689</v>
      </c>
      <c r="E24" s="77" t="s">
        <v>9067</v>
      </c>
      <c r="F24" s="61">
        <v>1156.3399999999999</v>
      </c>
      <c r="G24" s="3">
        <v>21</v>
      </c>
      <c r="H24" s="31" t="s">
        <v>8690</v>
      </c>
      <c r="I24" s="35">
        <v>16</v>
      </c>
      <c r="J24" s="35">
        <v>1</v>
      </c>
      <c r="K24" s="35"/>
      <c r="L24" s="66">
        <f>((ARTICULOS_NORNES[[#This Row],[P. Compra]]*(1+ARTICULOS_NORNES[[#This Row],[IVA]]%))/ARTICULOS_NORNES[[#This Row],[UnidFact]])+ARTICULOS_NORNES[[#This Row],[CostoFlete]]</f>
        <v>1399.1713999999999</v>
      </c>
      <c r="M24">
        <v>30</v>
      </c>
      <c r="N24" s="39">
        <f t="shared" si="1"/>
        <v>2000</v>
      </c>
      <c r="O24" s="45">
        <f t="shared" si="2"/>
        <v>3350</v>
      </c>
      <c r="P24" t="s">
        <v>8693</v>
      </c>
      <c r="Q24">
        <v>4</v>
      </c>
      <c r="R24" s="23">
        <f>ARTICULOS_VENEZOLANO[[#This Row],[Bulto]]+ARTICULOS_VENEZOLANO[[#This Row],[Minimo]]</f>
        <v>30</v>
      </c>
      <c r="S24" t="s">
        <v>41</v>
      </c>
      <c r="T24" s="1" t="s">
        <v>42</v>
      </c>
      <c r="U24" t="s">
        <v>28</v>
      </c>
      <c r="V24" t="s">
        <v>9011</v>
      </c>
      <c r="W24" t="s">
        <v>8692</v>
      </c>
      <c r="X24">
        <v>1</v>
      </c>
      <c r="Y24">
        <v>7</v>
      </c>
      <c r="AB24" s="80">
        <f>ARTICULOS_OSLE[[#This Row],[Costo]]*ARTICULOS_OSLE[[#This Row],[Pedido]]</f>
        <v>0</v>
      </c>
      <c r="AH24" s="2" t="str">
        <f>IF(AND(ARTICULOS_OSLE[[#This Row],[FechaVenc]]=0,ARTICULOS_OSLE[[#This Row],[DiasVenc]]=0),"",ARTICULOS_OSLE[[#This Row],[FechaVenc]]-ARTICULOS_OSLE[[#This Row],[DiasVenc]])</f>
        <v/>
      </c>
      <c r="AO24" s="30" t="s">
        <v>8689</v>
      </c>
    </row>
    <row r="25" spans="1:41" ht="15.75" x14ac:dyDescent="0.25">
      <c r="A25" s="1" t="s">
        <v>12148</v>
      </c>
      <c r="C25" s="30" t="str">
        <f t="shared" ref="C25" si="4">CONCATENATE(LEFT(T25,3),RIGHT(A25,8))</f>
        <v>ALM91029620</v>
      </c>
      <c r="D25" t="s">
        <v>8689</v>
      </c>
      <c r="E25" s="77" t="s">
        <v>12149</v>
      </c>
      <c r="F25" s="61">
        <v>1692.7</v>
      </c>
      <c r="G25" s="3">
        <v>21</v>
      </c>
      <c r="H25" s="4" t="s">
        <v>8690</v>
      </c>
      <c r="I25" s="35">
        <v>6</v>
      </c>
      <c r="J25" s="35">
        <v>1</v>
      </c>
      <c r="K25" s="35"/>
      <c r="L25" s="66">
        <f>((ARTICULOS_NORNES[[#This Row],[P. Compra]]*(1+ARTICULOS_NORNES[[#This Row],[IVA]]%))/ARTICULOS_NORNES[[#This Row],[UnidFact]])+ARTICULOS_NORNES[[#This Row],[CostoFlete]]</f>
        <v>2048.1669999999999</v>
      </c>
      <c r="M25">
        <v>30</v>
      </c>
      <c r="N25" s="39">
        <f t="shared" si="1"/>
        <v>2950</v>
      </c>
      <c r="O25" s="45">
        <f t="shared" ref="O25" si="5">MROUND(N25/0.6,50)</f>
        <v>4900</v>
      </c>
      <c r="P25" t="s">
        <v>8693</v>
      </c>
      <c r="Q25">
        <v>2</v>
      </c>
      <c r="R25" s="23">
        <f>I25+Q25</f>
        <v>8</v>
      </c>
      <c r="S25" t="s">
        <v>41</v>
      </c>
      <c r="T25" s="1" t="s">
        <v>4</v>
      </c>
      <c r="U25" t="s">
        <v>106</v>
      </c>
      <c r="V25" s="30" t="s">
        <v>9057</v>
      </c>
      <c r="W25" t="s">
        <v>8692</v>
      </c>
      <c r="X25">
        <v>1</v>
      </c>
      <c r="Y25">
        <v>2</v>
      </c>
      <c r="AB25" s="80">
        <f>ARTICULOS_OSLE[[#This Row],[Costo]]*ARTICULOS_OSLE[[#This Row],[Pedido]]</f>
        <v>11500</v>
      </c>
      <c r="AH25" s="2" t="str">
        <f>IF(AND(ARTICULOS_OSLE[[#This Row],[FechaVenc]]=0,ARTICULOS_OSLE[[#This Row],[DiasVenc]]=0),"",ARTICULOS_OSLE[[#This Row],[FechaVenc]]-ARTICULOS_OSLE[[#This Row],[DiasVenc]])</f>
        <v/>
      </c>
      <c r="AO25" s="30" t="s">
        <v>8689</v>
      </c>
    </row>
    <row r="26" spans="1:41" ht="15.75" x14ac:dyDescent="0.25">
      <c r="A26" s="1" t="s">
        <v>12150</v>
      </c>
      <c r="C26" s="30" t="str">
        <f t="shared" ref="C26:C28" si="6">CONCATENATE(LEFT(T26,3),RIGHT(A26,8))</f>
        <v>ALM90615831</v>
      </c>
      <c r="D26" t="s">
        <v>8689</v>
      </c>
      <c r="E26" s="77" t="s">
        <v>12151</v>
      </c>
      <c r="F26" s="110">
        <v>2426.6799999999998</v>
      </c>
      <c r="G26" s="31">
        <v>21</v>
      </c>
      <c r="H26" s="31" t="s">
        <v>8690</v>
      </c>
      <c r="I26" s="36">
        <v>6</v>
      </c>
      <c r="J26" s="35">
        <v>1</v>
      </c>
      <c r="K26" s="35"/>
      <c r="L26" s="18">
        <f>((ARTICULOS_NORNES[[#This Row],[P. Compra]]*(1+ARTICULOS_NORNES[[#This Row],[IVA]]%))/ARTICULOS_NORNES[[#This Row],[UnidFact]])+ARTICULOS_NORNES[[#This Row],[CostoFlete]]</f>
        <v>2936.2827999999995</v>
      </c>
      <c r="M26" s="4">
        <v>30</v>
      </c>
      <c r="N26" s="112">
        <f t="shared" ref="N26:N28" si="7">IF(L26&gt;=5,MROUND(L26/(1-M26/100),50),10)</f>
        <v>4200</v>
      </c>
      <c r="O26" s="45">
        <f t="shared" ref="O26:O28" si="8">MROUND(N26/0.6,50)</f>
        <v>7000</v>
      </c>
      <c r="P26" s="19" t="s">
        <v>8693</v>
      </c>
      <c r="Q26" s="19">
        <v>2</v>
      </c>
      <c r="R26" s="45">
        <f t="shared" ref="R26:R28" si="9">I26+Q26</f>
        <v>8</v>
      </c>
      <c r="S26" t="s">
        <v>41</v>
      </c>
      <c r="T26" s="1" t="s">
        <v>4</v>
      </c>
      <c r="U26" t="s">
        <v>106</v>
      </c>
      <c r="V26" s="30" t="s">
        <v>9057</v>
      </c>
      <c r="W26" t="s">
        <v>8692</v>
      </c>
      <c r="X26">
        <v>1</v>
      </c>
      <c r="Y26">
        <v>2</v>
      </c>
      <c r="AB26" s="80">
        <f>ARTICULOS_OSLE[[#This Row],[Costo]]*ARTICULOS_OSLE[[#This Row],[Pedido]]</f>
        <v>0</v>
      </c>
      <c r="AH26" s="2" t="str">
        <f>IF(AND(ARTICULOS_OSLE[[#This Row],[FechaVenc]]=0,ARTICULOS_OSLE[[#This Row],[DiasVenc]]=0),"",ARTICULOS_OSLE[[#This Row],[FechaVenc]]-ARTICULOS_OSLE[[#This Row],[DiasVenc]])</f>
        <v/>
      </c>
      <c r="AO26" s="30" t="s">
        <v>8689</v>
      </c>
    </row>
    <row r="27" spans="1:41" ht="15.75" x14ac:dyDescent="0.25">
      <c r="A27" s="1" t="s">
        <v>12152</v>
      </c>
      <c r="C27" s="30" t="str">
        <f t="shared" si="6"/>
        <v>ALM90615893</v>
      </c>
      <c r="D27" t="s">
        <v>8689</v>
      </c>
      <c r="E27" s="77" t="s">
        <v>12153</v>
      </c>
      <c r="F27" s="110">
        <f>F26</f>
        <v>2426.6799999999998</v>
      </c>
      <c r="G27" s="31">
        <v>21</v>
      </c>
      <c r="H27" s="31" t="s">
        <v>8690</v>
      </c>
      <c r="I27" s="36">
        <v>6</v>
      </c>
      <c r="J27" s="35">
        <v>1</v>
      </c>
      <c r="K27" s="35"/>
      <c r="L27" s="18">
        <f>((ARTICULOS_NORNES[[#This Row],[P. Compra]]*(1+ARTICULOS_NORNES[[#This Row],[IVA]]%))/ARTICULOS_NORNES[[#This Row],[UnidFact]])+ARTICULOS_NORNES[[#This Row],[CostoFlete]]</f>
        <v>2936.2827999999995</v>
      </c>
      <c r="M27" s="4">
        <v>30</v>
      </c>
      <c r="N27" s="112">
        <f t="shared" si="7"/>
        <v>4200</v>
      </c>
      <c r="O27" s="45">
        <f t="shared" si="8"/>
        <v>7000</v>
      </c>
      <c r="P27" s="19" t="s">
        <v>8693</v>
      </c>
      <c r="Q27" s="19">
        <v>2</v>
      </c>
      <c r="R27" s="45">
        <f t="shared" si="9"/>
        <v>8</v>
      </c>
      <c r="S27" t="s">
        <v>41</v>
      </c>
      <c r="T27" s="1" t="s">
        <v>4</v>
      </c>
      <c r="U27" t="s">
        <v>106</v>
      </c>
      <c r="V27" s="30" t="s">
        <v>9057</v>
      </c>
      <c r="W27" t="s">
        <v>8692</v>
      </c>
      <c r="X27">
        <v>1</v>
      </c>
      <c r="Y27">
        <v>2</v>
      </c>
      <c r="AB27" s="80">
        <f>ARTICULOS_OSLE[[#This Row],[Costo]]*ARTICULOS_OSLE[[#This Row],[Pedido]]</f>
        <v>11500</v>
      </c>
      <c r="AH27" s="2" t="str">
        <f>IF(AND(ARTICULOS_OSLE[[#This Row],[FechaVenc]]=0,ARTICULOS_OSLE[[#This Row],[DiasVenc]]=0),"",ARTICULOS_OSLE[[#This Row],[FechaVenc]]-ARTICULOS_OSLE[[#This Row],[DiasVenc]])</f>
        <v/>
      </c>
      <c r="AO27" s="30" t="s">
        <v>8689</v>
      </c>
    </row>
    <row r="28" spans="1:41" ht="15.75" x14ac:dyDescent="0.25">
      <c r="A28" s="1" t="s">
        <v>12154</v>
      </c>
      <c r="C28" s="30" t="str">
        <f t="shared" si="6"/>
        <v>ALM90702302</v>
      </c>
      <c r="D28" t="s">
        <v>8689</v>
      </c>
      <c r="E28" s="77" t="s">
        <v>12155</v>
      </c>
      <c r="F28" s="111">
        <v>2484.2199999999998</v>
      </c>
      <c r="G28" s="46">
        <v>21</v>
      </c>
      <c r="H28" s="46" t="s">
        <v>8690</v>
      </c>
      <c r="I28" s="101">
        <v>6</v>
      </c>
      <c r="J28" s="35">
        <v>1</v>
      </c>
      <c r="K28" s="35"/>
      <c r="L28" s="18">
        <f>((ARTICULOS_NORNES[[#This Row],[P. Compra]]*(1+ARTICULOS_NORNES[[#This Row],[IVA]]%))/ARTICULOS_NORNES[[#This Row],[UnidFact]])+ARTICULOS_NORNES[[#This Row],[CostoFlete]]</f>
        <v>3005.9061999999994</v>
      </c>
      <c r="M28" s="8">
        <v>30</v>
      </c>
      <c r="N28" s="112">
        <f t="shared" si="7"/>
        <v>4300</v>
      </c>
      <c r="O28" s="114">
        <f t="shared" si="8"/>
        <v>7150</v>
      </c>
      <c r="P28" s="113" t="s">
        <v>8693</v>
      </c>
      <c r="Q28" s="113">
        <v>2</v>
      </c>
      <c r="R28" s="114">
        <f t="shared" si="9"/>
        <v>8</v>
      </c>
      <c r="S28" t="s">
        <v>41</v>
      </c>
      <c r="T28" s="1" t="s">
        <v>4</v>
      </c>
      <c r="U28" t="s">
        <v>106</v>
      </c>
      <c r="V28" s="30" t="s">
        <v>9057</v>
      </c>
      <c r="W28" t="s">
        <v>8692</v>
      </c>
      <c r="X28">
        <v>1</v>
      </c>
      <c r="Y28">
        <v>2</v>
      </c>
      <c r="AB28" s="80">
        <f>ARTICULOS_OSLE[[#This Row],[Costo]]*ARTICULOS_OSLE[[#This Row],[Pedido]]</f>
        <v>0</v>
      </c>
      <c r="AH28" s="2" t="str">
        <f>IF(AND(ARTICULOS_OSLE[[#This Row],[FechaVenc]]=0,ARTICULOS_OSLE[[#This Row],[DiasVenc]]=0),"",ARTICULOS_OSLE[[#This Row],[FechaVenc]]-ARTICULOS_OSLE[[#This Row],[DiasVenc]])</f>
        <v/>
      </c>
      <c r="AO28" s="30" t="s">
        <v>8689</v>
      </c>
    </row>
  </sheetData>
  <conditionalFormatting sqref="A1">
    <cfRule type="duplicateValues" dxfId="104" priority="6"/>
  </conditionalFormatting>
  <conditionalFormatting sqref="A2:C28">
    <cfRule type="duplicateValues" dxfId="103" priority="1187"/>
    <cfRule type="duplicateValues" dxfId="102" priority="1188"/>
  </conditionalFormatting>
  <conditionalFormatting sqref="A15:C20">
    <cfRule type="duplicateValues" dxfId="101" priority="1179"/>
    <cfRule type="duplicateValues" dxfId="100" priority="1180"/>
  </conditionalFormatting>
  <conditionalFormatting sqref="A15:C22">
    <cfRule type="duplicateValues" dxfId="99" priority="1181"/>
    <cfRule type="duplicateValues" dxfId="98" priority="1182"/>
  </conditionalFormatting>
  <conditionalFormatting sqref="A22:C22">
    <cfRule type="duplicateValues" dxfId="97" priority="23"/>
    <cfRule type="duplicateValues" dxfId="96" priority="24"/>
  </conditionalFormatting>
  <conditionalFormatting sqref="A23:C23">
    <cfRule type="duplicateValues" dxfId="95" priority="20"/>
    <cfRule type="duplicateValues" dxfId="94" priority="21"/>
  </conditionalFormatting>
  <conditionalFormatting sqref="A24:C24">
    <cfRule type="duplicateValues" dxfId="93" priority="15"/>
    <cfRule type="duplicateValues" dxfId="92" priority="16"/>
    <cfRule type="duplicateValues" dxfId="91" priority="18"/>
    <cfRule type="duplicateValues" dxfId="90" priority="19"/>
  </conditionalFormatting>
  <conditionalFormatting sqref="A26:C28">
    <cfRule type="duplicateValues" dxfId="89" priority="1"/>
    <cfRule type="duplicateValues" dxfId="88" priority="2"/>
  </conditionalFormatting>
  <conditionalFormatting sqref="C1">
    <cfRule type="duplicateValues" dxfId="87" priority="5"/>
  </conditionalFormatting>
  <conditionalFormatting sqref="C25:C28">
    <cfRule type="duplicateValues" dxfId="86" priority="3"/>
    <cfRule type="duplicateValues" dxfId="85" priority="4"/>
  </conditionalFormatting>
  <conditionalFormatting sqref="L1:L28 F29:F1048576">
    <cfRule type="cellIs" dxfId="84" priority="37" operator="greaterThan">
      <formula>0</formula>
    </cfRule>
  </conditionalFormatting>
  <pageMargins left="0.25" right="0.26" top="0.25" bottom="0.22" header="0.25" footer="0"/>
  <pageSetup orientation="landscape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A394A53-9846-4F38-A65E-9F7DD35ECB6A}">
          <x14:formula1>
            <xm:f>LISTAS!$C:$C</xm:f>
          </x14:formula1>
          <xm:sqref>T24 T2:T22</xm:sqref>
        </x14:dataValidation>
        <x14:dataValidation type="list" allowBlank="1" showInputMessage="1" showErrorMessage="1" xr:uid="{EF466E9B-863C-486D-A6FC-029B11B47F75}">
          <x14:formula1>
            <xm:f>LISTAS!$A:$A</xm:f>
          </x14:formula1>
          <xm:sqref>S1:S28</xm:sqref>
        </x14:dataValidation>
        <x14:dataValidation type="list" allowBlank="1" showInputMessage="1" showErrorMessage="1" xr:uid="{2F110875-CA25-40FD-9D58-CE23F3EDD6E4}">
          <x14:formula1>
            <xm:f>LISTAS!$E:$E</xm:f>
          </x14:formula1>
          <xm:sqref>U1:U28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58D7-F774-40B9-AE0B-F28345518DFA}">
  <dimension ref="A1:AQ227"/>
  <sheetViews>
    <sheetView workbookViewId="0">
      <pane xSplit="5" topLeftCell="F1" activePane="topRight" state="frozen"/>
      <selection activeCell="AD34" sqref="AD34"/>
      <selection pane="topRight" activeCell="E8" sqref="E8"/>
    </sheetView>
  </sheetViews>
  <sheetFormatPr baseColWidth="10" defaultColWidth="11.42578125" defaultRowHeight="15.75" x14ac:dyDescent="0.25"/>
  <cols>
    <col min="1" max="1" width="14" style="1" bestFit="1" customWidth="1"/>
    <col min="2" max="2" width="9.7109375" style="1" customWidth="1"/>
    <col min="3" max="3" width="5.42578125" style="1" customWidth="1"/>
    <col min="4" max="4" width="7" bestFit="1" customWidth="1"/>
    <col min="5" max="5" width="52.28515625" style="1" customWidth="1"/>
    <col min="6" max="6" width="12.42578125" style="15" customWidth="1"/>
    <col min="7" max="7" width="7" bestFit="1" customWidth="1"/>
    <col min="8" max="8" width="5.140625" bestFit="1" customWidth="1"/>
    <col min="9" max="9" width="6.28515625" bestFit="1" customWidth="1"/>
    <col min="10" max="10" width="10.28515625" style="14" bestFit="1" customWidth="1"/>
    <col min="11" max="11" width="10.7109375" bestFit="1" customWidth="1"/>
    <col min="12" max="12" width="12.7109375" style="5" bestFit="1" customWidth="1"/>
    <col min="13" max="13" width="11.140625" bestFit="1" customWidth="1"/>
    <col min="14" max="14" width="11.28515625" bestFit="1" customWidth="1"/>
    <col min="16" max="16" width="8.85546875" style="35" bestFit="1" customWidth="1"/>
    <col min="19" max="19" width="15" bestFit="1" customWidth="1"/>
    <col min="21" max="21" width="19.85546875" customWidth="1"/>
    <col min="24" max="24" width="9.7109375" style="3" bestFit="1" customWidth="1"/>
    <col min="25" max="25" width="10.28515625" style="3" bestFit="1" customWidth="1"/>
    <col min="26" max="26" width="10.7109375" style="3" bestFit="1" customWidth="1"/>
    <col min="27" max="27" width="12.5703125" bestFit="1" customWidth="1"/>
    <col min="28" max="28" width="8.85546875" bestFit="1" customWidth="1"/>
    <col min="29" max="29" width="12.5703125" bestFit="1" customWidth="1"/>
    <col min="30" max="30" width="11.28515625" style="3" bestFit="1" customWidth="1"/>
    <col min="34" max="34" width="9.28515625" style="3" customWidth="1"/>
    <col min="35" max="35" width="8.140625" customWidth="1"/>
    <col min="36" max="36" width="10" bestFit="1" customWidth="1"/>
    <col min="37" max="37" width="11.5703125" style="3" customWidth="1"/>
    <col min="38" max="38" width="20" customWidth="1"/>
    <col min="39" max="39" width="13.42578125" style="2" bestFit="1" customWidth="1"/>
    <col min="40" max="40" width="11.5703125" customWidth="1"/>
    <col min="41" max="41" width="16.7109375" customWidth="1"/>
    <col min="42" max="42" width="8.85546875" bestFit="1" customWidth="1"/>
    <col min="43" max="43" width="14.28515625" customWidth="1"/>
    <col min="44" max="45" width="13.7109375" customWidth="1"/>
    <col min="48" max="48" width="12.42578125" customWidth="1"/>
    <col min="49" max="49" width="19.42578125" bestFit="1" customWidth="1"/>
    <col min="50" max="50" width="21.42578125" bestFit="1" customWidth="1"/>
    <col min="51" max="51" width="10.7109375" customWidth="1"/>
    <col min="52" max="52" width="12.85546875" customWidth="1"/>
    <col min="53" max="53" width="15.42578125" bestFit="1" customWidth="1"/>
    <col min="247" max="247" width="15" bestFit="1" customWidth="1"/>
    <col min="248" max="248" width="68.28515625" bestFit="1" customWidth="1"/>
    <col min="249" max="249" width="9.140625" bestFit="1" customWidth="1"/>
    <col min="250" max="250" width="21.42578125" bestFit="1" customWidth="1"/>
    <col min="251" max="253" width="15.42578125" bestFit="1" customWidth="1"/>
    <col min="254" max="254" width="8.85546875" bestFit="1" customWidth="1"/>
    <col min="255" max="255" width="10" bestFit="1" customWidth="1"/>
    <col min="256" max="256" width="12.7109375" bestFit="1" customWidth="1"/>
    <col min="257" max="257" width="8.85546875" bestFit="1" customWidth="1"/>
    <col min="258" max="258" width="17.7109375" bestFit="1" customWidth="1"/>
    <col min="259" max="259" width="13" bestFit="1" customWidth="1"/>
    <col min="260" max="260" width="13.42578125" bestFit="1" customWidth="1"/>
    <col min="261" max="261" width="10.85546875" bestFit="1" customWidth="1"/>
    <col min="262" max="262" width="26.85546875" bestFit="1" customWidth="1"/>
    <col min="263" max="263" width="20.85546875" bestFit="1" customWidth="1"/>
    <col min="264" max="264" width="30.42578125" bestFit="1" customWidth="1"/>
    <col min="265" max="265" width="19.42578125" bestFit="1" customWidth="1"/>
    <col min="266" max="266" width="20.28515625" bestFit="1" customWidth="1"/>
    <col min="267" max="268" width="12" bestFit="1" customWidth="1"/>
    <col min="269" max="270" width="12.5703125" bestFit="1" customWidth="1"/>
    <col min="271" max="271" width="11.7109375" bestFit="1" customWidth="1"/>
    <col min="272" max="272" width="19" bestFit="1" customWidth="1"/>
    <col min="273" max="273" width="12.140625" bestFit="1" customWidth="1"/>
    <col min="503" max="503" width="15" bestFit="1" customWidth="1"/>
    <col min="504" max="504" width="68.28515625" bestFit="1" customWidth="1"/>
    <col min="505" max="505" width="9.140625" bestFit="1" customWidth="1"/>
    <col min="506" max="506" width="21.42578125" bestFit="1" customWidth="1"/>
    <col min="507" max="509" width="15.42578125" bestFit="1" customWidth="1"/>
    <col min="510" max="510" width="8.85546875" bestFit="1" customWidth="1"/>
    <col min="511" max="511" width="10" bestFit="1" customWidth="1"/>
    <col min="512" max="512" width="12.7109375" bestFit="1" customWidth="1"/>
    <col min="513" max="513" width="8.85546875" bestFit="1" customWidth="1"/>
    <col min="514" max="514" width="17.7109375" bestFit="1" customWidth="1"/>
    <col min="515" max="515" width="13" bestFit="1" customWidth="1"/>
    <col min="516" max="516" width="13.42578125" bestFit="1" customWidth="1"/>
    <col min="517" max="517" width="10.85546875" bestFit="1" customWidth="1"/>
    <col min="518" max="518" width="26.85546875" bestFit="1" customWidth="1"/>
    <col min="519" max="519" width="20.85546875" bestFit="1" customWidth="1"/>
    <col min="520" max="520" width="30.42578125" bestFit="1" customWidth="1"/>
    <col min="521" max="521" width="19.42578125" bestFit="1" customWidth="1"/>
    <col min="522" max="522" width="20.28515625" bestFit="1" customWidth="1"/>
    <col min="523" max="524" width="12" bestFit="1" customWidth="1"/>
    <col min="525" max="526" width="12.5703125" bestFit="1" customWidth="1"/>
    <col min="527" max="527" width="11.7109375" bestFit="1" customWidth="1"/>
    <col min="528" max="528" width="19" bestFit="1" customWidth="1"/>
    <col min="529" max="529" width="12.140625" bestFit="1" customWidth="1"/>
    <col min="759" max="759" width="15" bestFit="1" customWidth="1"/>
    <col min="760" max="760" width="68.28515625" bestFit="1" customWidth="1"/>
    <col min="761" max="761" width="9.140625" bestFit="1" customWidth="1"/>
    <col min="762" max="762" width="21.42578125" bestFit="1" customWidth="1"/>
    <col min="763" max="765" width="15.42578125" bestFit="1" customWidth="1"/>
    <col min="766" max="766" width="8.85546875" bestFit="1" customWidth="1"/>
    <col min="767" max="767" width="10" bestFit="1" customWidth="1"/>
    <col min="768" max="768" width="12.7109375" bestFit="1" customWidth="1"/>
    <col min="769" max="769" width="8.85546875" bestFit="1" customWidth="1"/>
    <col min="770" max="770" width="17.7109375" bestFit="1" customWidth="1"/>
    <col min="771" max="771" width="13" bestFit="1" customWidth="1"/>
    <col min="772" max="772" width="13.42578125" bestFit="1" customWidth="1"/>
    <col min="773" max="773" width="10.85546875" bestFit="1" customWidth="1"/>
    <col min="774" max="774" width="26.85546875" bestFit="1" customWidth="1"/>
    <col min="775" max="775" width="20.85546875" bestFit="1" customWidth="1"/>
    <col min="776" max="776" width="30.42578125" bestFit="1" customWidth="1"/>
    <col min="777" max="777" width="19.42578125" bestFit="1" customWidth="1"/>
    <col min="778" max="778" width="20.28515625" bestFit="1" customWidth="1"/>
    <col min="779" max="780" width="12" bestFit="1" customWidth="1"/>
    <col min="781" max="782" width="12.5703125" bestFit="1" customWidth="1"/>
    <col min="783" max="783" width="11.7109375" bestFit="1" customWidth="1"/>
    <col min="784" max="784" width="19" bestFit="1" customWidth="1"/>
    <col min="785" max="785" width="12.140625" bestFit="1" customWidth="1"/>
    <col min="1015" max="1015" width="15" bestFit="1" customWidth="1"/>
    <col min="1016" max="1016" width="68.28515625" bestFit="1" customWidth="1"/>
    <col min="1017" max="1017" width="9.140625" bestFit="1" customWidth="1"/>
    <col min="1018" max="1018" width="21.42578125" bestFit="1" customWidth="1"/>
    <col min="1019" max="1021" width="15.42578125" bestFit="1" customWidth="1"/>
    <col min="1022" max="1022" width="8.85546875" bestFit="1" customWidth="1"/>
    <col min="1023" max="1023" width="10" bestFit="1" customWidth="1"/>
    <col min="1024" max="1024" width="12.7109375" bestFit="1" customWidth="1"/>
    <col min="1025" max="1025" width="8.85546875" bestFit="1" customWidth="1"/>
    <col min="1026" max="1026" width="17.7109375" bestFit="1" customWidth="1"/>
    <col min="1027" max="1027" width="13" bestFit="1" customWidth="1"/>
    <col min="1028" max="1028" width="13.42578125" bestFit="1" customWidth="1"/>
    <col min="1029" max="1029" width="10.85546875" bestFit="1" customWidth="1"/>
    <col min="1030" max="1030" width="26.85546875" bestFit="1" customWidth="1"/>
    <col min="1031" max="1031" width="20.85546875" bestFit="1" customWidth="1"/>
    <col min="1032" max="1032" width="30.42578125" bestFit="1" customWidth="1"/>
    <col min="1033" max="1033" width="19.42578125" bestFit="1" customWidth="1"/>
    <col min="1034" max="1034" width="20.28515625" bestFit="1" customWidth="1"/>
    <col min="1035" max="1036" width="12" bestFit="1" customWidth="1"/>
    <col min="1037" max="1038" width="12.5703125" bestFit="1" customWidth="1"/>
    <col min="1039" max="1039" width="11.7109375" bestFit="1" customWidth="1"/>
    <col min="1040" max="1040" width="19" bestFit="1" customWidth="1"/>
    <col min="1041" max="1041" width="12.140625" bestFit="1" customWidth="1"/>
    <col min="1271" max="1271" width="15" bestFit="1" customWidth="1"/>
    <col min="1272" max="1272" width="68.28515625" bestFit="1" customWidth="1"/>
    <col min="1273" max="1273" width="9.140625" bestFit="1" customWidth="1"/>
    <col min="1274" max="1274" width="21.42578125" bestFit="1" customWidth="1"/>
    <col min="1275" max="1277" width="15.42578125" bestFit="1" customWidth="1"/>
    <col min="1278" max="1278" width="8.85546875" bestFit="1" customWidth="1"/>
    <col min="1279" max="1279" width="10" bestFit="1" customWidth="1"/>
    <col min="1280" max="1280" width="12.7109375" bestFit="1" customWidth="1"/>
    <col min="1281" max="1281" width="8.85546875" bestFit="1" customWidth="1"/>
    <col min="1282" max="1282" width="17.7109375" bestFit="1" customWidth="1"/>
    <col min="1283" max="1283" width="13" bestFit="1" customWidth="1"/>
    <col min="1284" max="1284" width="13.42578125" bestFit="1" customWidth="1"/>
    <col min="1285" max="1285" width="10.85546875" bestFit="1" customWidth="1"/>
    <col min="1286" max="1286" width="26.85546875" bestFit="1" customWidth="1"/>
    <col min="1287" max="1287" width="20.85546875" bestFit="1" customWidth="1"/>
    <col min="1288" max="1288" width="30.42578125" bestFit="1" customWidth="1"/>
    <col min="1289" max="1289" width="19.42578125" bestFit="1" customWidth="1"/>
    <col min="1290" max="1290" width="20.28515625" bestFit="1" customWidth="1"/>
    <col min="1291" max="1292" width="12" bestFit="1" customWidth="1"/>
    <col min="1293" max="1294" width="12.5703125" bestFit="1" customWidth="1"/>
    <col min="1295" max="1295" width="11.7109375" bestFit="1" customWidth="1"/>
    <col min="1296" max="1296" width="19" bestFit="1" customWidth="1"/>
    <col min="1297" max="1297" width="12.140625" bestFit="1" customWidth="1"/>
    <col min="1527" max="1527" width="15" bestFit="1" customWidth="1"/>
    <col min="1528" max="1528" width="68.28515625" bestFit="1" customWidth="1"/>
    <col min="1529" max="1529" width="9.140625" bestFit="1" customWidth="1"/>
    <col min="1530" max="1530" width="21.42578125" bestFit="1" customWidth="1"/>
    <col min="1531" max="1533" width="15.42578125" bestFit="1" customWidth="1"/>
    <col min="1534" max="1534" width="8.85546875" bestFit="1" customWidth="1"/>
    <col min="1535" max="1535" width="10" bestFit="1" customWidth="1"/>
    <col min="1536" max="1536" width="12.7109375" bestFit="1" customWidth="1"/>
    <col min="1537" max="1537" width="8.85546875" bestFit="1" customWidth="1"/>
    <col min="1538" max="1538" width="17.7109375" bestFit="1" customWidth="1"/>
    <col min="1539" max="1539" width="13" bestFit="1" customWidth="1"/>
    <col min="1540" max="1540" width="13.42578125" bestFit="1" customWidth="1"/>
    <col min="1541" max="1541" width="10.85546875" bestFit="1" customWidth="1"/>
    <col min="1542" max="1542" width="26.85546875" bestFit="1" customWidth="1"/>
    <col min="1543" max="1543" width="20.85546875" bestFit="1" customWidth="1"/>
    <col min="1544" max="1544" width="30.42578125" bestFit="1" customWidth="1"/>
    <col min="1545" max="1545" width="19.42578125" bestFit="1" customWidth="1"/>
    <col min="1546" max="1546" width="20.28515625" bestFit="1" customWidth="1"/>
    <col min="1547" max="1548" width="12" bestFit="1" customWidth="1"/>
    <col min="1549" max="1550" width="12.5703125" bestFit="1" customWidth="1"/>
    <col min="1551" max="1551" width="11.7109375" bestFit="1" customWidth="1"/>
    <col min="1552" max="1552" width="19" bestFit="1" customWidth="1"/>
    <col min="1553" max="1553" width="12.140625" bestFit="1" customWidth="1"/>
    <col min="1783" max="1783" width="15" bestFit="1" customWidth="1"/>
    <col min="1784" max="1784" width="68.28515625" bestFit="1" customWidth="1"/>
    <col min="1785" max="1785" width="9.140625" bestFit="1" customWidth="1"/>
    <col min="1786" max="1786" width="21.42578125" bestFit="1" customWidth="1"/>
    <col min="1787" max="1789" width="15.42578125" bestFit="1" customWidth="1"/>
    <col min="1790" max="1790" width="8.85546875" bestFit="1" customWidth="1"/>
    <col min="1791" max="1791" width="10" bestFit="1" customWidth="1"/>
    <col min="1792" max="1792" width="12.7109375" bestFit="1" customWidth="1"/>
    <col min="1793" max="1793" width="8.85546875" bestFit="1" customWidth="1"/>
    <col min="1794" max="1794" width="17.7109375" bestFit="1" customWidth="1"/>
    <col min="1795" max="1795" width="13" bestFit="1" customWidth="1"/>
    <col min="1796" max="1796" width="13.42578125" bestFit="1" customWidth="1"/>
    <col min="1797" max="1797" width="10.85546875" bestFit="1" customWidth="1"/>
    <col min="1798" max="1798" width="26.85546875" bestFit="1" customWidth="1"/>
    <col min="1799" max="1799" width="20.85546875" bestFit="1" customWidth="1"/>
    <col min="1800" max="1800" width="30.42578125" bestFit="1" customWidth="1"/>
    <col min="1801" max="1801" width="19.42578125" bestFit="1" customWidth="1"/>
    <col min="1802" max="1802" width="20.28515625" bestFit="1" customWidth="1"/>
    <col min="1803" max="1804" width="12" bestFit="1" customWidth="1"/>
    <col min="1805" max="1806" width="12.5703125" bestFit="1" customWidth="1"/>
    <col min="1807" max="1807" width="11.7109375" bestFit="1" customWidth="1"/>
    <col min="1808" max="1808" width="19" bestFit="1" customWidth="1"/>
    <col min="1809" max="1809" width="12.140625" bestFit="1" customWidth="1"/>
    <col min="2039" max="2039" width="15" bestFit="1" customWidth="1"/>
    <col min="2040" max="2040" width="68.28515625" bestFit="1" customWidth="1"/>
    <col min="2041" max="2041" width="9.140625" bestFit="1" customWidth="1"/>
    <col min="2042" max="2042" width="21.42578125" bestFit="1" customWidth="1"/>
    <col min="2043" max="2045" width="15.42578125" bestFit="1" customWidth="1"/>
    <col min="2046" max="2046" width="8.85546875" bestFit="1" customWidth="1"/>
    <col min="2047" max="2047" width="10" bestFit="1" customWidth="1"/>
    <col min="2048" max="2048" width="12.7109375" bestFit="1" customWidth="1"/>
    <col min="2049" max="2049" width="8.85546875" bestFit="1" customWidth="1"/>
    <col min="2050" max="2050" width="17.7109375" bestFit="1" customWidth="1"/>
    <col min="2051" max="2051" width="13" bestFit="1" customWidth="1"/>
    <col min="2052" max="2052" width="13.42578125" bestFit="1" customWidth="1"/>
    <col min="2053" max="2053" width="10.85546875" bestFit="1" customWidth="1"/>
    <col min="2054" max="2054" width="26.85546875" bestFit="1" customWidth="1"/>
    <col min="2055" max="2055" width="20.85546875" bestFit="1" customWidth="1"/>
    <col min="2056" max="2056" width="30.42578125" bestFit="1" customWidth="1"/>
    <col min="2057" max="2057" width="19.42578125" bestFit="1" customWidth="1"/>
    <col min="2058" max="2058" width="20.28515625" bestFit="1" customWidth="1"/>
    <col min="2059" max="2060" width="12" bestFit="1" customWidth="1"/>
    <col min="2061" max="2062" width="12.5703125" bestFit="1" customWidth="1"/>
    <col min="2063" max="2063" width="11.7109375" bestFit="1" customWidth="1"/>
    <col min="2064" max="2064" width="19" bestFit="1" customWidth="1"/>
    <col min="2065" max="2065" width="12.140625" bestFit="1" customWidth="1"/>
    <col min="2295" max="2295" width="15" bestFit="1" customWidth="1"/>
    <col min="2296" max="2296" width="68.28515625" bestFit="1" customWidth="1"/>
    <col min="2297" max="2297" width="9.140625" bestFit="1" customWidth="1"/>
    <col min="2298" max="2298" width="21.42578125" bestFit="1" customWidth="1"/>
    <col min="2299" max="2301" width="15.42578125" bestFit="1" customWidth="1"/>
    <col min="2302" max="2302" width="8.85546875" bestFit="1" customWidth="1"/>
    <col min="2303" max="2303" width="10" bestFit="1" customWidth="1"/>
    <col min="2304" max="2304" width="12.7109375" bestFit="1" customWidth="1"/>
    <col min="2305" max="2305" width="8.85546875" bestFit="1" customWidth="1"/>
    <col min="2306" max="2306" width="17.7109375" bestFit="1" customWidth="1"/>
    <col min="2307" max="2307" width="13" bestFit="1" customWidth="1"/>
    <col min="2308" max="2308" width="13.42578125" bestFit="1" customWidth="1"/>
    <col min="2309" max="2309" width="10.85546875" bestFit="1" customWidth="1"/>
    <col min="2310" max="2310" width="26.85546875" bestFit="1" customWidth="1"/>
    <col min="2311" max="2311" width="20.85546875" bestFit="1" customWidth="1"/>
    <col min="2312" max="2312" width="30.42578125" bestFit="1" customWidth="1"/>
    <col min="2313" max="2313" width="19.42578125" bestFit="1" customWidth="1"/>
    <col min="2314" max="2314" width="20.28515625" bestFit="1" customWidth="1"/>
    <col min="2315" max="2316" width="12" bestFit="1" customWidth="1"/>
    <col min="2317" max="2318" width="12.5703125" bestFit="1" customWidth="1"/>
    <col min="2319" max="2319" width="11.7109375" bestFit="1" customWidth="1"/>
    <col min="2320" max="2320" width="19" bestFit="1" customWidth="1"/>
    <col min="2321" max="2321" width="12.140625" bestFit="1" customWidth="1"/>
    <col min="2551" max="2551" width="15" bestFit="1" customWidth="1"/>
    <col min="2552" max="2552" width="68.28515625" bestFit="1" customWidth="1"/>
    <col min="2553" max="2553" width="9.140625" bestFit="1" customWidth="1"/>
    <col min="2554" max="2554" width="21.42578125" bestFit="1" customWidth="1"/>
    <col min="2555" max="2557" width="15.42578125" bestFit="1" customWidth="1"/>
    <col min="2558" max="2558" width="8.85546875" bestFit="1" customWidth="1"/>
    <col min="2559" max="2559" width="10" bestFit="1" customWidth="1"/>
    <col min="2560" max="2560" width="12.7109375" bestFit="1" customWidth="1"/>
    <col min="2561" max="2561" width="8.85546875" bestFit="1" customWidth="1"/>
    <col min="2562" max="2562" width="17.7109375" bestFit="1" customWidth="1"/>
    <col min="2563" max="2563" width="13" bestFit="1" customWidth="1"/>
    <col min="2564" max="2564" width="13.42578125" bestFit="1" customWidth="1"/>
    <col min="2565" max="2565" width="10.85546875" bestFit="1" customWidth="1"/>
    <col min="2566" max="2566" width="26.85546875" bestFit="1" customWidth="1"/>
    <col min="2567" max="2567" width="20.85546875" bestFit="1" customWidth="1"/>
    <col min="2568" max="2568" width="30.42578125" bestFit="1" customWidth="1"/>
    <col min="2569" max="2569" width="19.42578125" bestFit="1" customWidth="1"/>
    <col min="2570" max="2570" width="20.28515625" bestFit="1" customWidth="1"/>
    <col min="2571" max="2572" width="12" bestFit="1" customWidth="1"/>
    <col min="2573" max="2574" width="12.5703125" bestFit="1" customWidth="1"/>
    <col min="2575" max="2575" width="11.7109375" bestFit="1" customWidth="1"/>
    <col min="2576" max="2576" width="19" bestFit="1" customWidth="1"/>
    <col min="2577" max="2577" width="12.140625" bestFit="1" customWidth="1"/>
    <col min="2807" max="2807" width="15" bestFit="1" customWidth="1"/>
    <col min="2808" max="2808" width="68.28515625" bestFit="1" customWidth="1"/>
    <col min="2809" max="2809" width="9.140625" bestFit="1" customWidth="1"/>
    <col min="2810" max="2810" width="21.42578125" bestFit="1" customWidth="1"/>
    <col min="2811" max="2813" width="15.42578125" bestFit="1" customWidth="1"/>
    <col min="2814" max="2814" width="8.85546875" bestFit="1" customWidth="1"/>
    <col min="2815" max="2815" width="10" bestFit="1" customWidth="1"/>
    <col min="2816" max="2816" width="12.7109375" bestFit="1" customWidth="1"/>
    <col min="2817" max="2817" width="8.85546875" bestFit="1" customWidth="1"/>
    <col min="2818" max="2818" width="17.7109375" bestFit="1" customWidth="1"/>
    <col min="2819" max="2819" width="13" bestFit="1" customWidth="1"/>
    <col min="2820" max="2820" width="13.42578125" bestFit="1" customWidth="1"/>
    <col min="2821" max="2821" width="10.85546875" bestFit="1" customWidth="1"/>
    <col min="2822" max="2822" width="26.85546875" bestFit="1" customWidth="1"/>
    <col min="2823" max="2823" width="20.85546875" bestFit="1" customWidth="1"/>
    <col min="2824" max="2824" width="30.42578125" bestFit="1" customWidth="1"/>
    <col min="2825" max="2825" width="19.42578125" bestFit="1" customWidth="1"/>
    <col min="2826" max="2826" width="20.28515625" bestFit="1" customWidth="1"/>
    <col min="2827" max="2828" width="12" bestFit="1" customWidth="1"/>
    <col min="2829" max="2830" width="12.5703125" bestFit="1" customWidth="1"/>
    <col min="2831" max="2831" width="11.7109375" bestFit="1" customWidth="1"/>
    <col min="2832" max="2832" width="19" bestFit="1" customWidth="1"/>
    <col min="2833" max="2833" width="12.140625" bestFit="1" customWidth="1"/>
    <col min="3063" max="3063" width="15" bestFit="1" customWidth="1"/>
    <col min="3064" max="3064" width="68.28515625" bestFit="1" customWidth="1"/>
    <col min="3065" max="3065" width="9.140625" bestFit="1" customWidth="1"/>
    <col min="3066" max="3066" width="21.42578125" bestFit="1" customWidth="1"/>
    <col min="3067" max="3069" width="15.42578125" bestFit="1" customWidth="1"/>
    <col min="3070" max="3070" width="8.85546875" bestFit="1" customWidth="1"/>
    <col min="3071" max="3071" width="10" bestFit="1" customWidth="1"/>
    <col min="3072" max="3072" width="12.7109375" bestFit="1" customWidth="1"/>
    <col min="3073" max="3073" width="8.85546875" bestFit="1" customWidth="1"/>
    <col min="3074" max="3074" width="17.7109375" bestFit="1" customWidth="1"/>
    <col min="3075" max="3075" width="13" bestFit="1" customWidth="1"/>
    <col min="3076" max="3076" width="13.42578125" bestFit="1" customWidth="1"/>
    <col min="3077" max="3077" width="10.85546875" bestFit="1" customWidth="1"/>
    <col min="3078" max="3078" width="26.85546875" bestFit="1" customWidth="1"/>
    <col min="3079" max="3079" width="20.85546875" bestFit="1" customWidth="1"/>
    <col min="3080" max="3080" width="30.42578125" bestFit="1" customWidth="1"/>
    <col min="3081" max="3081" width="19.42578125" bestFit="1" customWidth="1"/>
    <col min="3082" max="3082" width="20.28515625" bestFit="1" customWidth="1"/>
    <col min="3083" max="3084" width="12" bestFit="1" customWidth="1"/>
    <col min="3085" max="3086" width="12.5703125" bestFit="1" customWidth="1"/>
    <col min="3087" max="3087" width="11.7109375" bestFit="1" customWidth="1"/>
    <col min="3088" max="3088" width="19" bestFit="1" customWidth="1"/>
    <col min="3089" max="3089" width="12.140625" bestFit="1" customWidth="1"/>
    <col min="3319" max="3319" width="15" bestFit="1" customWidth="1"/>
    <col min="3320" max="3320" width="68.28515625" bestFit="1" customWidth="1"/>
    <col min="3321" max="3321" width="9.140625" bestFit="1" customWidth="1"/>
    <col min="3322" max="3322" width="21.42578125" bestFit="1" customWidth="1"/>
    <col min="3323" max="3325" width="15.42578125" bestFit="1" customWidth="1"/>
    <col min="3326" max="3326" width="8.85546875" bestFit="1" customWidth="1"/>
    <col min="3327" max="3327" width="10" bestFit="1" customWidth="1"/>
    <col min="3328" max="3328" width="12.7109375" bestFit="1" customWidth="1"/>
    <col min="3329" max="3329" width="8.85546875" bestFit="1" customWidth="1"/>
    <col min="3330" max="3330" width="17.7109375" bestFit="1" customWidth="1"/>
    <col min="3331" max="3331" width="13" bestFit="1" customWidth="1"/>
    <col min="3332" max="3332" width="13.42578125" bestFit="1" customWidth="1"/>
    <col min="3333" max="3333" width="10.85546875" bestFit="1" customWidth="1"/>
    <col min="3334" max="3334" width="26.85546875" bestFit="1" customWidth="1"/>
    <col min="3335" max="3335" width="20.85546875" bestFit="1" customWidth="1"/>
    <col min="3336" max="3336" width="30.42578125" bestFit="1" customWidth="1"/>
    <col min="3337" max="3337" width="19.42578125" bestFit="1" customWidth="1"/>
    <col min="3338" max="3338" width="20.28515625" bestFit="1" customWidth="1"/>
    <col min="3339" max="3340" width="12" bestFit="1" customWidth="1"/>
    <col min="3341" max="3342" width="12.5703125" bestFit="1" customWidth="1"/>
    <col min="3343" max="3343" width="11.7109375" bestFit="1" customWidth="1"/>
    <col min="3344" max="3344" width="19" bestFit="1" customWidth="1"/>
    <col min="3345" max="3345" width="12.140625" bestFit="1" customWidth="1"/>
    <col min="3575" max="3575" width="15" bestFit="1" customWidth="1"/>
    <col min="3576" max="3576" width="68.28515625" bestFit="1" customWidth="1"/>
    <col min="3577" max="3577" width="9.140625" bestFit="1" customWidth="1"/>
    <col min="3578" max="3578" width="21.42578125" bestFit="1" customWidth="1"/>
    <col min="3579" max="3581" width="15.42578125" bestFit="1" customWidth="1"/>
    <col min="3582" max="3582" width="8.85546875" bestFit="1" customWidth="1"/>
    <col min="3583" max="3583" width="10" bestFit="1" customWidth="1"/>
    <col min="3584" max="3584" width="12.7109375" bestFit="1" customWidth="1"/>
    <col min="3585" max="3585" width="8.85546875" bestFit="1" customWidth="1"/>
    <col min="3586" max="3586" width="17.7109375" bestFit="1" customWidth="1"/>
    <col min="3587" max="3587" width="13" bestFit="1" customWidth="1"/>
    <col min="3588" max="3588" width="13.42578125" bestFit="1" customWidth="1"/>
    <col min="3589" max="3589" width="10.85546875" bestFit="1" customWidth="1"/>
    <col min="3590" max="3590" width="26.85546875" bestFit="1" customWidth="1"/>
    <col min="3591" max="3591" width="20.85546875" bestFit="1" customWidth="1"/>
    <col min="3592" max="3592" width="30.42578125" bestFit="1" customWidth="1"/>
    <col min="3593" max="3593" width="19.42578125" bestFit="1" customWidth="1"/>
    <col min="3594" max="3594" width="20.28515625" bestFit="1" customWidth="1"/>
    <col min="3595" max="3596" width="12" bestFit="1" customWidth="1"/>
    <col min="3597" max="3598" width="12.5703125" bestFit="1" customWidth="1"/>
    <col min="3599" max="3599" width="11.7109375" bestFit="1" customWidth="1"/>
    <col min="3600" max="3600" width="19" bestFit="1" customWidth="1"/>
    <col min="3601" max="3601" width="12.140625" bestFit="1" customWidth="1"/>
    <col min="3831" max="3831" width="15" bestFit="1" customWidth="1"/>
    <col min="3832" max="3832" width="68.28515625" bestFit="1" customWidth="1"/>
    <col min="3833" max="3833" width="9.140625" bestFit="1" customWidth="1"/>
    <col min="3834" max="3834" width="21.42578125" bestFit="1" customWidth="1"/>
    <col min="3835" max="3837" width="15.42578125" bestFit="1" customWidth="1"/>
    <col min="3838" max="3838" width="8.85546875" bestFit="1" customWidth="1"/>
    <col min="3839" max="3839" width="10" bestFit="1" customWidth="1"/>
    <col min="3840" max="3840" width="12.7109375" bestFit="1" customWidth="1"/>
    <col min="3841" max="3841" width="8.85546875" bestFit="1" customWidth="1"/>
    <col min="3842" max="3842" width="17.7109375" bestFit="1" customWidth="1"/>
    <col min="3843" max="3843" width="13" bestFit="1" customWidth="1"/>
    <col min="3844" max="3844" width="13.42578125" bestFit="1" customWidth="1"/>
    <col min="3845" max="3845" width="10.85546875" bestFit="1" customWidth="1"/>
    <col min="3846" max="3846" width="26.85546875" bestFit="1" customWidth="1"/>
    <col min="3847" max="3847" width="20.85546875" bestFit="1" customWidth="1"/>
    <col min="3848" max="3848" width="30.42578125" bestFit="1" customWidth="1"/>
    <col min="3849" max="3849" width="19.42578125" bestFit="1" customWidth="1"/>
    <col min="3850" max="3850" width="20.28515625" bestFit="1" customWidth="1"/>
    <col min="3851" max="3852" width="12" bestFit="1" customWidth="1"/>
    <col min="3853" max="3854" width="12.5703125" bestFit="1" customWidth="1"/>
    <col min="3855" max="3855" width="11.7109375" bestFit="1" customWidth="1"/>
    <col min="3856" max="3856" width="19" bestFit="1" customWidth="1"/>
    <col min="3857" max="3857" width="12.140625" bestFit="1" customWidth="1"/>
    <col min="4087" max="4087" width="15" bestFit="1" customWidth="1"/>
    <col min="4088" max="4088" width="68.28515625" bestFit="1" customWidth="1"/>
    <col min="4089" max="4089" width="9.140625" bestFit="1" customWidth="1"/>
    <col min="4090" max="4090" width="21.42578125" bestFit="1" customWidth="1"/>
    <col min="4091" max="4093" width="15.42578125" bestFit="1" customWidth="1"/>
    <col min="4094" max="4094" width="8.85546875" bestFit="1" customWidth="1"/>
    <col min="4095" max="4095" width="10" bestFit="1" customWidth="1"/>
    <col min="4096" max="4096" width="12.7109375" bestFit="1" customWidth="1"/>
    <col min="4097" max="4097" width="8.85546875" bestFit="1" customWidth="1"/>
    <col min="4098" max="4098" width="17.7109375" bestFit="1" customWidth="1"/>
    <col min="4099" max="4099" width="13" bestFit="1" customWidth="1"/>
    <col min="4100" max="4100" width="13.42578125" bestFit="1" customWidth="1"/>
    <col min="4101" max="4101" width="10.85546875" bestFit="1" customWidth="1"/>
    <col min="4102" max="4102" width="26.85546875" bestFit="1" customWidth="1"/>
    <col min="4103" max="4103" width="20.85546875" bestFit="1" customWidth="1"/>
    <col min="4104" max="4104" width="30.42578125" bestFit="1" customWidth="1"/>
    <col min="4105" max="4105" width="19.42578125" bestFit="1" customWidth="1"/>
    <col min="4106" max="4106" width="20.28515625" bestFit="1" customWidth="1"/>
    <col min="4107" max="4108" width="12" bestFit="1" customWidth="1"/>
    <col min="4109" max="4110" width="12.5703125" bestFit="1" customWidth="1"/>
    <col min="4111" max="4111" width="11.7109375" bestFit="1" customWidth="1"/>
    <col min="4112" max="4112" width="19" bestFit="1" customWidth="1"/>
    <col min="4113" max="4113" width="12.140625" bestFit="1" customWidth="1"/>
    <col min="4343" max="4343" width="15" bestFit="1" customWidth="1"/>
    <col min="4344" max="4344" width="68.28515625" bestFit="1" customWidth="1"/>
    <col min="4345" max="4345" width="9.140625" bestFit="1" customWidth="1"/>
    <col min="4346" max="4346" width="21.42578125" bestFit="1" customWidth="1"/>
    <col min="4347" max="4349" width="15.42578125" bestFit="1" customWidth="1"/>
    <col min="4350" max="4350" width="8.85546875" bestFit="1" customWidth="1"/>
    <col min="4351" max="4351" width="10" bestFit="1" customWidth="1"/>
    <col min="4352" max="4352" width="12.7109375" bestFit="1" customWidth="1"/>
    <col min="4353" max="4353" width="8.85546875" bestFit="1" customWidth="1"/>
    <col min="4354" max="4354" width="17.7109375" bestFit="1" customWidth="1"/>
    <col min="4355" max="4355" width="13" bestFit="1" customWidth="1"/>
    <col min="4356" max="4356" width="13.42578125" bestFit="1" customWidth="1"/>
    <col min="4357" max="4357" width="10.85546875" bestFit="1" customWidth="1"/>
    <col min="4358" max="4358" width="26.85546875" bestFit="1" customWidth="1"/>
    <col min="4359" max="4359" width="20.85546875" bestFit="1" customWidth="1"/>
    <col min="4360" max="4360" width="30.42578125" bestFit="1" customWidth="1"/>
    <col min="4361" max="4361" width="19.42578125" bestFit="1" customWidth="1"/>
    <col min="4362" max="4362" width="20.28515625" bestFit="1" customWidth="1"/>
    <col min="4363" max="4364" width="12" bestFit="1" customWidth="1"/>
    <col min="4365" max="4366" width="12.5703125" bestFit="1" customWidth="1"/>
    <col min="4367" max="4367" width="11.7109375" bestFit="1" customWidth="1"/>
    <col min="4368" max="4368" width="19" bestFit="1" customWidth="1"/>
    <col min="4369" max="4369" width="12.140625" bestFit="1" customWidth="1"/>
    <col min="4599" max="4599" width="15" bestFit="1" customWidth="1"/>
    <col min="4600" max="4600" width="68.28515625" bestFit="1" customWidth="1"/>
    <col min="4601" max="4601" width="9.140625" bestFit="1" customWidth="1"/>
    <col min="4602" max="4602" width="21.42578125" bestFit="1" customWidth="1"/>
    <col min="4603" max="4605" width="15.42578125" bestFit="1" customWidth="1"/>
    <col min="4606" max="4606" width="8.85546875" bestFit="1" customWidth="1"/>
    <col min="4607" max="4607" width="10" bestFit="1" customWidth="1"/>
    <col min="4608" max="4608" width="12.7109375" bestFit="1" customWidth="1"/>
    <col min="4609" max="4609" width="8.85546875" bestFit="1" customWidth="1"/>
    <col min="4610" max="4610" width="17.7109375" bestFit="1" customWidth="1"/>
    <col min="4611" max="4611" width="13" bestFit="1" customWidth="1"/>
    <col min="4612" max="4612" width="13.42578125" bestFit="1" customWidth="1"/>
    <col min="4613" max="4613" width="10.85546875" bestFit="1" customWidth="1"/>
    <col min="4614" max="4614" width="26.85546875" bestFit="1" customWidth="1"/>
    <col min="4615" max="4615" width="20.85546875" bestFit="1" customWidth="1"/>
    <col min="4616" max="4616" width="30.42578125" bestFit="1" customWidth="1"/>
    <col min="4617" max="4617" width="19.42578125" bestFit="1" customWidth="1"/>
    <col min="4618" max="4618" width="20.28515625" bestFit="1" customWidth="1"/>
    <col min="4619" max="4620" width="12" bestFit="1" customWidth="1"/>
    <col min="4621" max="4622" width="12.5703125" bestFit="1" customWidth="1"/>
    <col min="4623" max="4623" width="11.7109375" bestFit="1" customWidth="1"/>
    <col min="4624" max="4624" width="19" bestFit="1" customWidth="1"/>
    <col min="4625" max="4625" width="12.140625" bestFit="1" customWidth="1"/>
    <col min="4855" max="4855" width="15" bestFit="1" customWidth="1"/>
    <col min="4856" max="4856" width="68.28515625" bestFit="1" customWidth="1"/>
    <col min="4857" max="4857" width="9.140625" bestFit="1" customWidth="1"/>
    <col min="4858" max="4858" width="21.42578125" bestFit="1" customWidth="1"/>
    <col min="4859" max="4861" width="15.42578125" bestFit="1" customWidth="1"/>
    <col min="4862" max="4862" width="8.85546875" bestFit="1" customWidth="1"/>
    <col min="4863" max="4863" width="10" bestFit="1" customWidth="1"/>
    <col min="4864" max="4864" width="12.7109375" bestFit="1" customWidth="1"/>
    <col min="4865" max="4865" width="8.85546875" bestFit="1" customWidth="1"/>
    <col min="4866" max="4866" width="17.7109375" bestFit="1" customWidth="1"/>
    <col min="4867" max="4867" width="13" bestFit="1" customWidth="1"/>
    <col min="4868" max="4868" width="13.42578125" bestFit="1" customWidth="1"/>
    <col min="4869" max="4869" width="10.85546875" bestFit="1" customWidth="1"/>
    <col min="4870" max="4870" width="26.85546875" bestFit="1" customWidth="1"/>
    <col min="4871" max="4871" width="20.85546875" bestFit="1" customWidth="1"/>
    <col min="4872" max="4872" width="30.42578125" bestFit="1" customWidth="1"/>
    <col min="4873" max="4873" width="19.42578125" bestFit="1" customWidth="1"/>
    <col min="4874" max="4874" width="20.28515625" bestFit="1" customWidth="1"/>
    <col min="4875" max="4876" width="12" bestFit="1" customWidth="1"/>
    <col min="4877" max="4878" width="12.5703125" bestFit="1" customWidth="1"/>
    <col min="4879" max="4879" width="11.7109375" bestFit="1" customWidth="1"/>
    <col min="4880" max="4880" width="19" bestFit="1" customWidth="1"/>
    <col min="4881" max="4881" width="12.140625" bestFit="1" customWidth="1"/>
    <col min="5111" max="5111" width="15" bestFit="1" customWidth="1"/>
    <col min="5112" max="5112" width="68.28515625" bestFit="1" customWidth="1"/>
    <col min="5113" max="5113" width="9.140625" bestFit="1" customWidth="1"/>
    <col min="5114" max="5114" width="21.42578125" bestFit="1" customWidth="1"/>
    <col min="5115" max="5117" width="15.42578125" bestFit="1" customWidth="1"/>
    <col min="5118" max="5118" width="8.85546875" bestFit="1" customWidth="1"/>
    <col min="5119" max="5119" width="10" bestFit="1" customWidth="1"/>
    <col min="5120" max="5120" width="12.7109375" bestFit="1" customWidth="1"/>
    <col min="5121" max="5121" width="8.85546875" bestFit="1" customWidth="1"/>
    <col min="5122" max="5122" width="17.7109375" bestFit="1" customWidth="1"/>
    <col min="5123" max="5123" width="13" bestFit="1" customWidth="1"/>
    <col min="5124" max="5124" width="13.42578125" bestFit="1" customWidth="1"/>
    <col min="5125" max="5125" width="10.85546875" bestFit="1" customWidth="1"/>
    <col min="5126" max="5126" width="26.85546875" bestFit="1" customWidth="1"/>
    <col min="5127" max="5127" width="20.85546875" bestFit="1" customWidth="1"/>
    <col min="5128" max="5128" width="30.42578125" bestFit="1" customWidth="1"/>
    <col min="5129" max="5129" width="19.42578125" bestFit="1" customWidth="1"/>
    <col min="5130" max="5130" width="20.28515625" bestFit="1" customWidth="1"/>
    <col min="5131" max="5132" width="12" bestFit="1" customWidth="1"/>
    <col min="5133" max="5134" width="12.5703125" bestFit="1" customWidth="1"/>
    <col min="5135" max="5135" width="11.7109375" bestFit="1" customWidth="1"/>
    <col min="5136" max="5136" width="19" bestFit="1" customWidth="1"/>
    <col min="5137" max="5137" width="12.140625" bestFit="1" customWidth="1"/>
    <col min="5367" max="5367" width="15" bestFit="1" customWidth="1"/>
    <col min="5368" max="5368" width="68.28515625" bestFit="1" customWidth="1"/>
    <col min="5369" max="5369" width="9.140625" bestFit="1" customWidth="1"/>
    <col min="5370" max="5370" width="21.42578125" bestFit="1" customWidth="1"/>
    <col min="5371" max="5373" width="15.42578125" bestFit="1" customWidth="1"/>
    <col min="5374" max="5374" width="8.85546875" bestFit="1" customWidth="1"/>
    <col min="5375" max="5375" width="10" bestFit="1" customWidth="1"/>
    <col min="5376" max="5376" width="12.7109375" bestFit="1" customWidth="1"/>
    <col min="5377" max="5377" width="8.85546875" bestFit="1" customWidth="1"/>
    <col min="5378" max="5378" width="17.7109375" bestFit="1" customWidth="1"/>
    <col min="5379" max="5379" width="13" bestFit="1" customWidth="1"/>
    <col min="5380" max="5380" width="13.42578125" bestFit="1" customWidth="1"/>
    <col min="5381" max="5381" width="10.85546875" bestFit="1" customWidth="1"/>
    <col min="5382" max="5382" width="26.85546875" bestFit="1" customWidth="1"/>
    <col min="5383" max="5383" width="20.85546875" bestFit="1" customWidth="1"/>
    <col min="5384" max="5384" width="30.42578125" bestFit="1" customWidth="1"/>
    <col min="5385" max="5385" width="19.42578125" bestFit="1" customWidth="1"/>
    <col min="5386" max="5386" width="20.28515625" bestFit="1" customWidth="1"/>
    <col min="5387" max="5388" width="12" bestFit="1" customWidth="1"/>
    <col min="5389" max="5390" width="12.5703125" bestFit="1" customWidth="1"/>
    <col min="5391" max="5391" width="11.7109375" bestFit="1" customWidth="1"/>
    <col min="5392" max="5392" width="19" bestFit="1" customWidth="1"/>
    <col min="5393" max="5393" width="12.140625" bestFit="1" customWidth="1"/>
    <col min="5623" max="5623" width="15" bestFit="1" customWidth="1"/>
    <col min="5624" max="5624" width="68.28515625" bestFit="1" customWidth="1"/>
    <col min="5625" max="5625" width="9.140625" bestFit="1" customWidth="1"/>
    <col min="5626" max="5626" width="21.42578125" bestFit="1" customWidth="1"/>
    <col min="5627" max="5629" width="15.42578125" bestFit="1" customWidth="1"/>
    <col min="5630" max="5630" width="8.85546875" bestFit="1" customWidth="1"/>
    <col min="5631" max="5631" width="10" bestFit="1" customWidth="1"/>
    <col min="5632" max="5632" width="12.7109375" bestFit="1" customWidth="1"/>
    <col min="5633" max="5633" width="8.85546875" bestFit="1" customWidth="1"/>
    <col min="5634" max="5634" width="17.7109375" bestFit="1" customWidth="1"/>
    <col min="5635" max="5635" width="13" bestFit="1" customWidth="1"/>
    <col min="5636" max="5636" width="13.42578125" bestFit="1" customWidth="1"/>
    <col min="5637" max="5637" width="10.85546875" bestFit="1" customWidth="1"/>
    <col min="5638" max="5638" width="26.85546875" bestFit="1" customWidth="1"/>
    <col min="5639" max="5639" width="20.85546875" bestFit="1" customWidth="1"/>
    <col min="5640" max="5640" width="30.42578125" bestFit="1" customWidth="1"/>
    <col min="5641" max="5641" width="19.42578125" bestFit="1" customWidth="1"/>
    <col min="5642" max="5642" width="20.28515625" bestFit="1" customWidth="1"/>
    <col min="5643" max="5644" width="12" bestFit="1" customWidth="1"/>
    <col min="5645" max="5646" width="12.5703125" bestFit="1" customWidth="1"/>
    <col min="5647" max="5647" width="11.7109375" bestFit="1" customWidth="1"/>
    <col min="5648" max="5648" width="19" bestFit="1" customWidth="1"/>
    <col min="5649" max="5649" width="12.140625" bestFit="1" customWidth="1"/>
    <col min="5879" max="5879" width="15" bestFit="1" customWidth="1"/>
    <col min="5880" max="5880" width="68.28515625" bestFit="1" customWidth="1"/>
    <col min="5881" max="5881" width="9.140625" bestFit="1" customWidth="1"/>
    <col min="5882" max="5882" width="21.42578125" bestFit="1" customWidth="1"/>
    <col min="5883" max="5885" width="15.42578125" bestFit="1" customWidth="1"/>
    <col min="5886" max="5886" width="8.85546875" bestFit="1" customWidth="1"/>
    <col min="5887" max="5887" width="10" bestFit="1" customWidth="1"/>
    <col min="5888" max="5888" width="12.7109375" bestFit="1" customWidth="1"/>
    <col min="5889" max="5889" width="8.85546875" bestFit="1" customWidth="1"/>
    <col min="5890" max="5890" width="17.7109375" bestFit="1" customWidth="1"/>
    <col min="5891" max="5891" width="13" bestFit="1" customWidth="1"/>
    <col min="5892" max="5892" width="13.42578125" bestFit="1" customWidth="1"/>
    <col min="5893" max="5893" width="10.85546875" bestFit="1" customWidth="1"/>
    <col min="5894" max="5894" width="26.85546875" bestFit="1" customWidth="1"/>
    <col min="5895" max="5895" width="20.85546875" bestFit="1" customWidth="1"/>
    <col min="5896" max="5896" width="30.42578125" bestFit="1" customWidth="1"/>
    <col min="5897" max="5897" width="19.42578125" bestFit="1" customWidth="1"/>
    <col min="5898" max="5898" width="20.28515625" bestFit="1" customWidth="1"/>
    <col min="5899" max="5900" width="12" bestFit="1" customWidth="1"/>
    <col min="5901" max="5902" width="12.5703125" bestFit="1" customWidth="1"/>
    <col min="5903" max="5903" width="11.7109375" bestFit="1" customWidth="1"/>
    <col min="5904" max="5904" width="19" bestFit="1" customWidth="1"/>
    <col min="5905" max="5905" width="12.140625" bestFit="1" customWidth="1"/>
    <col min="6135" max="6135" width="15" bestFit="1" customWidth="1"/>
    <col min="6136" max="6136" width="68.28515625" bestFit="1" customWidth="1"/>
    <col min="6137" max="6137" width="9.140625" bestFit="1" customWidth="1"/>
    <col min="6138" max="6138" width="21.42578125" bestFit="1" customWidth="1"/>
    <col min="6139" max="6141" width="15.42578125" bestFit="1" customWidth="1"/>
    <col min="6142" max="6142" width="8.85546875" bestFit="1" customWidth="1"/>
    <col min="6143" max="6143" width="10" bestFit="1" customWidth="1"/>
    <col min="6144" max="6144" width="12.7109375" bestFit="1" customWidth="1"/>
    <col min="6145" max="6145" width="8.85546875" bestFit="1" customWidth="1"/>
    <col min="6146" max="6146" width="17.7109375" bestFit="1" customWidth="1"/>
    <col min="6147" max="6147" width="13" bestFit="1" customWidth="1"/>
    <col min="6148" max="6148" width="13.42578125" bestFit="1" customWidth="1"/>
    <col min="6149" max="6149" width="10.85546875" bestFit="1" customWidth="1"/>
    <col min="6150" max="6150" width="26.85546875" bestFit="1" customWidth="1"/>
    <col min="6151" max="6151" width="20.85546875" bestFit="1" customWidth="1"/>
    <col min="6152" max="6152" width="30.42578125" bestFit="1" customWidth="1"/>
    <col min="6153" max="6153" width="19.42578125" bestFit="1" customWidth="1"/>
    <col min="6154" max="6154" width="20.28515625" bestFit="1" customWidth="1"/>
    <col min="6155" max="6156" width="12" bestFit="1" customWidth="1"/>
    <col min="6157" max="6158" width="12.5703125" bestFit="1" customWidth="1"/>
    <col min="6159" max="6159" width="11.7109375" bestFit="1" customWidth="1"/>
    <col min="6160" max="6160" width="19" bestFit="1" customWidth="1"/>
    <col min="6161" max="6161" width="12.140625" bestFit="1" customWidth="1"/>
    <col min="6391" max="6391" width="15" bestFit="1" customWidth="1"/>
    <col min="6392" max="6392" width="68.28515625" bestFit="1" customWidth="1"/>
    <col min="6393" max="6393" width="9.140625" bestFit="1" customWidth="1"/>
    <col min="6394" max="6394" width="21.42578125" bestFit="1" customWidth="1"/>
    <col min="6395" max="6397" width="15.42578125" bestFit="1" customWidth="1"/>
    <col min="6398" max="6398" width="8.85546875" bestFit="1" customWidth="1"/>
    <col min="6399" max="6399" width="10" bestFit="1" customWidth="1"/>
    <col min="6400" max="6400" width="12.7109375" bestFit="1" customWidth="1"/>
    <col min="6401" max="6401" width="8.85546875" bestFit="1" customWidth="1"/>
    <col min="6402" max="6402" width="17.7109375" bestFit="1" customWidth="1"/>
    <col min="6403" max="6403" width="13" bestFit="1" customWidth="1"/>
    <col min="6404" max="6404" width="13.42578125" bestFit="1" customWidth="1"/>
    <col min="6405" max="6405" width="10.85546875" bestFit="1" customWidth="1"/>
    <col min="6406" max="6406" width="26.85546875" bestFit="1" customWidth="1"/>
    <col min="6407" max="6407" width="20.85546875" bestFit="1" customWidth="1"/>
    <col min="6408" max="6408" width="30.42578125" bestFit="1" customWidth="1"/>
    <col min="6409" max="6409" width="19.42578125" bestFit="1" customWidth="1"/>
    <col min="6410" max="6410" width="20.28515625" bestFit="1" customWidth="1"/>
    <col min="6411" max="6412" width="12" bestFit="1" customWidth="1"/>
    <col min="6413" max="6414" width="12.5703125" bestFit="1" customWidth="1"/>
    <col min="6415" max="6415" width="11.7109375" bestFit="1" customWidth="1"/>
    <col min="6416" max="6416" width="19" bestFit="1" customWidth="1"/>
    <col min="6417" max="6417" width="12.140625" bestFit="1" customWidth="1"/>
    <col min="6647" max="6647" width="15" bestFit="1" customWidth="1"/>
    <col min="6648" max="6648" width="68.28515625" bestFit="1" customWidth="1"/>
    <col min="6649" max="6649" width="9.140625" bestFit="1" customWidth="1"/>
    <col min="6650" max="6650" width="21.42578125" bestFit="1" customWidth="1"/>
    <col min="6651" max="6653" width="15.42578125" bestFit="1" customWidth="1"/>
    <col min="6654" max="6654" width="8.85546875" bestFit="1" customWidth="1"/>
    <col min="6655" max="6655" width="10" bestFit="1" customWidth="1"/>
    <col min="6656" max="6656" width="12.7109375" bestFit="1" customWidth="1"/>
    <col min="6657" max="6657" width="8.85546875" bestFit="1" customWidth="1"/>
    <col min="6658" max="6658" width="17.7109375" bestFit="1" customWidth="1"/>
    <col min="6659" max="6659" width="13" bestFit="1" customWidth="1"/>
    <col min="6660" max="6660" width="13.42578125" bestFit="1" customWidth="1"/>
    <col min="6661" max="6661" width="10.85546875" bestFit="1" customWidth="1"/>
    <col min="6662" max="6662" width="26.85546875" bestFit="1" customWidth="1"/>
    <col min="6663" max="6663" width="20.85546875" bestFit="1" customWidth="1"/>
    <col min="6664" max="6664" width="30.42578125" bestFit="1" customWidth="1"/>
    <col min="6665" max="6665" width="19.42578125" bestFit="1" customWidth="1"/>
    <col min="6666" max="6666" width="20.28515625" bestFit="1" customWidth="1"/>
    <col min="6667" max="6668" width="12" bestFit="1" customWidth="1"/>
    <col min="6669" max="6670" width="12.5703125" bestFit="1" customWidth="1"/>
    <col min="6671" max="6671" width="11.7109375" bestFit="1" customWidth="1"/>
    <col min="6672" max="6672" width="19" bestFit="1" customWidth="1"/>
    <col min="6673" max="6673" width="12.140625" bestFit="1" customWidth="1"/>
    <col min="6903" max="6903" width="15" bestFit="1" customWidth="1"/>
    <col min="6904" max="6904" width="68.28515625" bestFit="1" customWidth="1"/>
    <col min="6905" max="6905" width="9.140625" bestFit="1" customWidth="1"/>
    <col min="6906" max="6906" width="21.42578125" bestFit="1" customWidth="1"/>
    <col min="6907" max="6909" width="15.42578125" bestFit="1" customWidth="1"/>
    <col min="6910" max="6910" width="8.85546875" bestFit="1" customWidth="1"/>
    <col min="6911" max="6911" width="10" bestFit="1" customWidth="1"/>
    <col min="6912" max="6912" width="12.7109375" bestFit="1" customWidth="1"/>
    <col min="6913" max="6913" width="8.85546875" bestFit="1" customWidth="1"/>
    <col min="6914" max="6914" width="17.7109375" bestFit="1" customWidth="1"/>
    <col min="6915" max="6915" width="13" bestFit="1" customWidth="1"/>
    <col min="6916" max="6916" width="13.42578125" bestFit="1" customWidth="1"/>
    <col min="6917" max="6917" width="10.85546875" bestFit="1" customWidth="1"/>
    <col min="6918" max="6918" width="26.85546875" bestFit="1" customWidth="1"/>
    <col min="6919" max="6919" width="20.85546875" bestFit="1" customWidth="1"/>
    <col min="6920" max="6920" width="30.42578125" bestFit="1" customWidth="1"/>
    <col min="6921" max="6921" width="19.42578125" bestFit="1" customWidth="1"/>
    <col min="6922" max="6922" width="20.28515625" bestFit="1" customWidth="1"/>
    <col min="6923" max="6924" width="12" bestFit="1" customWidth="1"/>
    <col min="6925" max="6926" width="12.5703125" bestFit="1" customWidth="1"/>
    <col min="6927" max="6927" width="11.7109375" bestFit="1" customWidth="1"/>
    <col min="6928" max="6928" width="19" bestFit="1" customWidth="1"/>
    <col min="6929" max="6929" width="12.140625" bestFit="1" customWidth="1"/>
    <col min="7159" max="7159" width="15" bestFit="1" customWidth="1"/>
    <col min="7160" max="7160" width="68.28515625" bestFit="1" customWidth="1"/>
    <col min="7161" max="7161" width="9.140625" bestFit="1" customWidth="1"/>
    <col min="7162" max="7162" width="21.42578125" bestFit="1" customWidth="1"/>
    <col min="7163" max="7165" width="15.42578125" bestFit="1" customWidth="1"/>
    <col min="7166" max="7166" width="8.85546875" bestFit="1" customWidth="1"/>
    <col min="7167" max="7167" width="10" bestFit="1" customWidth="1"/>
    <col min="7168" max="7168" width="12.7109375" bestFit="1" customWidth="1"/>
    <col min="7169" max="7169" width="8.85546875" bestFit="1" customWidth="1"/>
    <col min="7170" max="7170" width="17.7109375" bestFit="1" customWidth="1"/>
    <col min="7171" max="7171" width="13" bestFit="1" customWidth="1"/>
    <col min="7172" max="7172" width="13.42578125" bestFit="1" customWidth="1"/>
    <col min="7173" max="7173" width="10.85546875" bestFit="1" customWidth="1"/>
    <col min="7174" max="7174" width="26.85546875" bestFit="1" customWidth="1"/>
    <col min="7175" max="7175" width="20.85546875" bestFit="1" customWidth="1"/>
    <col min="7176" max="7176" width="30.42578125" bestFit="1" customWidth="1"/>
    <col min="7177" max="7177" width="19.42578125" bestFit="1" customWidth="1"/>
    <col min="7178" max="7178" width="20.28515625" bestFit="1" customWidth="1"/>
    <col min="7179" max="7180" width="12" bestFit="1" customWidth="1"/>
    <col min="7181" max="7182" width="12.5703125" bestFit="1" customWidth="1"/>
    <col min="7183" max="7183" width="11.7109375" bestFit="1" customWidth="1"/>
    <col min="7184" max="7184" width="19" bestFit="1" customWidth="1"/>
    <col min="7185" max="7185" width="12.140625" bestFit="1" customWidth="1"/>
    <col min="7415" max="7415" width="15" bestFit="1" customWidth="1"/>
    <col min="7416" max="7416" width="68.28515625" bestFit="1" customWidth="1"/>
    <col min="7417" max="7417" width="9.140625" bestFit="1" customWidth="1"/>
    <col min="7418" max="7418" width="21.42578125" bestFit="1" customWidth="1"/>
    <col min="7419" max="7421" width="15.42578125" bestFit="1" customWidth="1"/>
    <col min="7422" max="7422" width="8.85546875" bestFit="1" customWidth="1"/>
    <col min="7423" max="7423" width="10" bestFit="1" customWidth="1"/>
    <col min="7424" max="7424" width="12.7109375" bestFit="1" customWidth="1"/>
    <col min="7425" max="7425" width="8.85546875" bestFit="1" customWidth="1"/>
    <col min="7426" max="7426" width="17.7109375" bestFit="1" customWidth="1"/>
    <col min="7427" max="7427" width="13" bestFit="1" customWidth="1"/>
    <col min="7428" max="7428" width="13.42578125" bestFit="1" customWidth="1"/>
    <col min="7429" max="7429" width="10.85546875" bestFit="1" customWidth="1"/>
    <col min="7430" max="7430" width="26.85546875" bestFit="1" customWidth="1"/>
    <col min="7431" max="7431" width="20.85546875" bestFit="1" customWidth="1"/>
    <col min="7432" max="7432" width="30.42578125" bestFit="1" customWidth="1"/>
    <col min="7433" max="7433" width="19.42578125" bestFit="1" customWidth="1"/>
    <col min="7434" max="7434" width="20.28515625" bestFit="1" customWidth="1"/>
    <col min="7435" max="7436" width="12" bestFit="1" customWidth="1"/>
    <col min="7437" max="7438" width="12.5703125" bestFit="1" customWidth="1"/>
    <col min="7439" max="7439" width="11.7109375" bestFit="1" customWidth="1"/>
    <col min="7440" max="7440" width="19" bestFit="1" customWidth="1"/>
    <col min="7441" max="7441" width="12.140625" bestFit="1" customWidth="1"/>
    <col min="7671" max="7671" width="15" bestFit="1" customWidth="1"/>
    <col min="7672" max="7672" width="68.28515625" bestFit="1" customWidth="1"/>
    <col min="7673" max="7673" width="9.140625" bestFit="1" customWidth="1"/>
    <col min="7674" max="7674" width="21.42578125" bestFit="1" customWidth="1"/>
    <col min="7675" max="7677" width="15.42578125" bestFit="1" customWidth="1"/>
    <col min="7678" max="7678" width="8.85546875" bestFit="1" customWidth="1"/>
    <col min="7679" max="7679" width="10" bestFit="1" customWidth="1"/>
    <col min="7680" max="7680" width="12.7109375" bestFit="1" customWidth="1"/>
    <col min="7681" max="7681" width="8.85546875" bestFit="1" customWidth="1"/>
    <col min="7682" max="7682" width="17.7109375" bestFit="1" customWidth="1"/>
    <col min="7683" max="7683" width="13" bestFit="1" customWidth="1"/>
    <col min="7684" max="7684" width="13.42578125" bestFit="1" customWidth="1"/>
    <col min="7685" max="7685" width="10.85546875" bestFit="1" customWidth="1"/>
    <col min="7686" max="7686" width="26.85546875" bestFit="1" customWidth="1"/>
    <col min="7687" max="7687" width="20.85546875" bestFit="1" customWidth="1"/>
    <col min="7688" max="7688" width="30.42578125" bestFit="1" customWidth="1"/>
    <col min="7689" max="7689" width="19.42578125" bestFit="1" customWidth="1"/>
    <col min="7690" max="7690" width="20.28515625" bestFit="1" customWidth="1"/>
    <col min="7691" max="7692" width="12" bestFit="1" customWidth="1"/>
    <col min="7693" max="7694" width="12.5703125" bestFit="1" customWidth="1"/>
    <col min="7695" max="7695" width="11.7109375" bestFit="1" customWidth="1"/>
    <col min="7696" max="7696" width="19" bestFit="1" customWidth="1"/>
    <col min="7697" max="7697" width="12.140625" bestFit="1" customWidth="1"/>
    <col min="7927" max="7927" width="15" bestFit="1" customWidth="1"/>
    <col min="7928" max="7928" width="68.28515625" bestFit="1" customWidth="1"/>
    <col min="7929" max="7929" width="9.140625" bestFit="1" customWidth="1"/>
    <col min="7930" max="7930" width="21.42578125" bestFit="1" customWidth="1"/>
    <col min="7931" max="7933" width="15.42578125" bestFit="1" customWidth="1"/>
    <col min="7934" max="7934" width="8.85546875" bestFit="1" customWidth="1"/>
    <col min="7935" max="7935" width="10" bestFit="1" customWidth="1"/>
    <col min="7936" max="7936" width="12.7109375" bestFit="1" customWidth="1"/>
    <col min="7937" max="7937" width="8.85546875" bestFit="1" customWidth="1"/>
    <col min="7938" max="7938" width="17.7109375" bestFit="1" customWidth="1"/>
    <col min="7939" max="7939" width="13" bestFit="1" customWidth="1"/>
    <col min="7940" max="7940" width="13.42578125" bestFit="1" customWidth="1"/>
    <col min="7941" max="7941" width="10.85546875" bestFit="1" customWidth="1"/>
    <col min="7942" max="7942" width="26.85546875" bestFit="1" customWidth="1"/>
    <col min="7943" max="7943" width="20.85546875" bestFit="1" customWidth="1"/>
    <col min="7944" max="7944" width="30.42578125" bestFit="1" customWidth="1"/>
    <col min="7945" max="7945" width="19.42578125" bestFit="1" customWidth="1"/>
    <col min="7946" max="7946" width="20.28515625" bestFit="1" customWidth="1"/>
    <col min="7947" max="7948" width="12" bestFit="1" customWidth="1"/>
    <col min="7949" max="7950" width="12.5703125" bestFit="1" customWidth="1"/>
    <col min="7951" max="7951" width="11.7109375" bestFit="1" customWidth="1"/>
    <col min="7952" max="7952" width="19" bestFit="1" customWidth="1"/>
    <col min="7953" max="7953" width="12.140625" bestFit="1" customWidth="1"/>
    <col min="8183" max="8183" width="15" bestFit="1" customWidth="1"/>
    <col min="8184" max="8184" width="68.28515625" bestFit="1" customWidth="1"/>
    <col min="8185" max="8185" width="9.140625" bestFit="1" customWidth="1"/>
    <col min="8186" max="8186" width="21.42578125" bestFit="1" customWidth="1"/>
    <col min="8187" max="8189" width="15.42578125" bestFit="1" customWidth="1"/>
    <col min="8190" max="8190" width="8.85546875" bestFit="1" customWidth="1"/>
    <col min="8191" max="8191" width="10" bestFit="1" customWidth="1"/>
    <col min="8192" max="8192" width="12.7109375" bestFit="1" customWidth="1"/>
    <col min="8193" max="8193" width="8.85546875" bestFit="1" customWidth="1"/>
    <col min="8194" max="8194" width="17.7109375" bestFit="1" customWidth="1"/>
    <col min="8195" max="8195" width="13" bestFit="1" customWidth="1"/>
    <col min="8196" max="8196" width="13.42578125" bestFit="1" customWidth="1"/>
    <col min="8197" max="8197" width="10.85546875" bestFit="1" customWidth="1"/>
    <col min="8198" max="8198" width="26.85546875" bestFit="1" customWidth="1"/>
    <col min="8199" max="8199" width="20.85546875" bestFit="1" customWidth="1"/>
    <col min="8200" max="8200" width="30.42578125" bestFit="1" customWidth="1"/>
    <col min="8201" max="8201" width="19.42578125" bestFit="1" customWidth="1"/>
    <col min="8202" max="8202" width="20.28515625" bestFit="1" customWidth="1"/>
    <col min="8203" max="8204" width="12" bestFit="1" customWidth="1"/>
    <col min="8205" max="8206" width="12.5703125" bestFit="1" customWidth="1"/>
    <col min="8207" max="8207" width="11.7109375" bestFit="1" customWidth="1"/>
    <col min="8208" max="8208" width="19" bestFit="1" customWidth="1"/>
    <col min="8209" max="8209" width="12.140625" bestFit="1" customWidth="1"/>
    <col min="8439" max="8439" width="15" bestFit="1" customWidth="1"/>
    <col min="8440" max="8440" width="68.28515625" bestFit="1" customWidth="1"/>
    <col min="8441" max="8441" width="9.140625" bestFit="1" customWidth="1"/>
    <col min="8442" max="8442" width="21.42578125" bestFit="1" customWidth="1"/>
    <col min="8443" max="8445" width="15.42578125" bestFit="1" customWidth="1"/>
    <col min="8446" max="8446" width="8.85546875" bestFit="1" customWidth="1"/>
    <col min="8447" max="8447" width="10" bestFit="1" customWidth="1"/>
    <col min="8448" max="8448" width="12.7109375" bestFit="1" customWidth="1"/>
    <col min="8449" max="8449" width="8.85546875" bestFit="1" customWidth="1"/>
    <col min="8450" max="8450" width="17.7109375" bestFit="1" customWidth="1"/>
    <col min="8451" max="8451" width="13" bestFit="1" customWidth="1"/>
    <col min="8452" max="8452" width="13.42578125" bestFit="1" customWidth="1"/>
    <col min="8453" max="8453" width="10.85546875" bestFit="1" customWidth="1"/>
    <col min="8454" max="8454" width="26.85546875" bestFit="1" customWidth="1"/>
    <col min="8455" max="8455" width="20.85546875" bestFit="1" customWidth="1"/>
    <col min="8456" max="8456" width="30.42578125" bestFit="1" customWidth="1"/>
    <col min="8457" max="8457" width="19.42578125" bestFit="1" customWidth="1"/>
    <col min="8458" max="8458" width="20.28515625" bestFit="1" customWidth="1"/>
    <col min="8459" max="8460" width="12" bestFit="1" customWidth="1"/>
    <col min="8461" max="8462" width="12.5703125" bestFit="1" customWidth="1"/>
    <col min="8463" max="8463" width="11.7109375" bestFit="1" customWidth="1"/>
    <col min="8464" max="8464" width="19" bestFit="1" customWidth="1"/>
    <col min="8465" max="8465" width="12.140625" bestFit="1" customWidth="1"/>
    <col min="8695" max="8695" width="15" bestFit="1" customWidth="1"/>
    <col min="8696" max="8696" width="68.28515625" bestFit="1" customWidth="1"/>
    <col min="8697" max="8697" width="9.140625" bestFit="1" customWidth="1"/>
    <col min="8698" max="8698" width="21.42578125" bestFit="1" customWidth="1"/>
    <col min="8699" max="8701" width="15.42578125" bestFit="1" customWidth="1"/>
    <col min="8702" max="8702" width="8.85546875" bestFit="1" customWidth="1"/>
    <col min="8703" max="8703" width="10" bestFit="1" customWidth="1"/>
    <col min="8704" max="8704" width="12.7109375" bestFit="1" customWidth="1"/>
    <col min="8705" max="8705" width="8.85546875" bestFit="1" customWidth="1"/>
    <col min="8706" max="8706" width="17.7109375" bestFit="1" customWidth="1"/>
    <col min="8707" max="8707" width="13" bestFit="1" customWidth="1"/>
    <col min="8708" max="8708" width="13.42578125" bestFit="1" customWidth="1"/>
    <col min="8709" max="8709" width="10.85546875" bestFit="1" customWidth="1"/>
    <col min="8710" max="8710" width="26.85546875" bestFit="1" customWidth="1"/>
    <col min="8711" max="8711" width="20.85546875" bestFit="1" customWidth="1"/>
    <col min="8712" max="8712" width="30.42578125" bestFit="1" customWidth="1"/>
    <col min="8713" max="8713" width="19.42578125" bestFit="1" customWidth="1"/>
    <col min="8714" max="8714" width="20.28515625" bestFit="1" customWidth="1"/>
    <col min="8715" max="8716" width="12" bestFit="1" customWidth="1"/>
    <col min="8717" max="8718" width="12.5703125" bestFit="1" customWidth="1"/>
    <col min="8719" max="8719" width="11.7109375" bestFit="1" customWidth="1"/>
    <col min="8720" max="8720" width="19" bestFit="1" customWidth="1"/>
    <col min="8721" max="8721" width="12.140625" bestFit="1" customWidth="1"/>
    <col min="8951" max="8951" width="15" bestFit="1" customWidth="1"/>
    <col min="8952" max="8952" width="68.28515625" bestFit="1" customWidth="1"/>
    <col min="8953" max="8953" width="9.140625" bestFit="1" customWidth="1"/>
    <col min="8954" max="8954" width="21.42578125" bestFit="1" customWidth="1"/>
    <col min="8955" max="8957" width="15.42578125" bestFit="1" customWidth="1"/>
    <col min="8958" max="8958" width="8.85546875" bestFit="1" customWidth="1"/>
    <col min="8959" max="8959" width="10" bestFit="1" customWidth="1"/>
    <col min="8960" max="8960" width="12.7109375" bestFit="1" customWidth="1"/>
    <col min="8961" max="8961" width="8.85546875" bestFit="1" customWidth="1"/>
    <col min="8962" max="8962" width="17.7109375" bestFit="1" customWidth="1"/>
    <col min="8963" max="8963" width="13" bestFit="1" customWidth="1"/>
    <col min="8964" max="8964" width="13.42578125" bestFit="1" customWidth="1"/>
    <col min="8965" max="8965" width="10.85546875" bestFit="1" customWidth="1"/>
    <col min="8966" max="8966" width="26.85546875" bestFit="1" customWidth="1"/>
    <col min="8967" max="8967" width="20.85546875" bestFit="1" customWidth="1"/>
    <col min="8968" max="8968" width="30.42578125" bestFit="1" customWidth="1"/>
    <col min="8969" max="8969" width="19.42578125" bestFit="1" customWidth="1"/>
    <col min="8970" max="8970" width="20.28515625" bestFit="1" customWidth="1"/>
    <col min="8971" max="8972" width="12" bestFit="1" customWidth="1"/>
    <col min="8973" max="8974" width="12.5703125" bestFit="1" customWidth="1"/>
    <col min="8975" max="8975" width="11.7109375" bestFit="1" customWidth="1"/>
    <col min="8976" max="8976" width="19" bestFit="1" customWidth="1"/>
    <col min="8977" max="8977" width="12.140625" bestFit="1" customWidth="1"/>
    <col min="9207" max="9207" width="15" bestFit="1" customWidth="1"/>
    <col min="9208" max="9208" width="68.28515625" bestFit="1" customWidth="1"/>
    <col min="9209" max="9209" width="9.140625" bestFit="1" customWidth="1"/>
    <col min="9210" max="9210" width="21.42578125" bestFit="1" customWidth="1"/>
    <col min="9211" max="9213" width="15.42578125" bestFit="1" customWidth="1"/>
    <col min="9214" max="9214" width="8.85546875" bestFit="1" customWidth="1"/>
    <col min="9215" max="9215" width="10" bestFit="1" customWidth="1"/>
    <col min="9216" max="9216" width="12.7109375" bestFit="1" customWidth="1"/>
    <col min="9217" max="9217" width="8.85546875" bestFit="1" customWidth="1"/>
    <col min="9218" max="9218" width="17.7109375" bestFit="1" customWidth="1"/>
    <col min="9219" max="9219" width="13" bestFit="1" customWidth="1"/>
    <col min="9220" max="9220" width="13.42578125" bestFit="1" customWidth="1"/>
    <col min="9221" max="9221" width="10.85546875" bestFit="1" customWidth="1"/>
    <col min="9222" max="9222" width="26.85546875" bestFit="1" customWidth="1"/>
    <col min="9223" max="9223" width="20.85546875" bestFit="1" customWidth="1"/>
    <col min="9224" max="9224" width="30.42578125" bestFit="1" customWidth="1"/>
    <col min="9225" max="9225" width="19.42578125" bestFit="1" customWidth="1"/>
    <col min="9226" max="9226" width="20.28515625" bestFit="1" customWidth="1"/>
    <col min="9227" max="9228" width="12" bestFit="1" customWidth="1"/>
    <col min="9229" max="9230" width="12.5703125" bestFit="1" customWidth="1"/>
    <col min="9231" max="9231" width="11.7109375" bestFit="1" customWidth="1"/>
    <col min="9232" max="9232" width="19" bestFit="1" customWidth="1"/>
    <col min="9233" max="9233" width="12.140625" bestFit="1" customWidth="1"/>
    <col min="9463" max="9463" width="15" bestFit="1" customWidth="1"/>
    <col min="9464" max="9464" width="68.28515625" bestFit="1" customWidth="1"/>
    <col min="9465" max="9465" width="9.140625" bestFit="1" customWidth="1"/>
    <col min="9466" max="9466" width="21.42578125" bestFit="1" customWidth="1"/>
    <col min="9467" max="9469" width="15.42578125" bestFit="1" customWidth="1"/>
    <col min="9470" max="9470" width="8.85546875" bestFit="1" customWidth="1"/>
    <col min="9471" max="9471" width="10" bestFit="1" customWidth="1"/>
    <col min="9472" max="9472" width="12.7109375" bestFit="1" customWidth="1"/>
    <col min="9473" max="9473" width="8.85546875" bestFit="1" customWidth="1"/>
    <col min="9474" max="9474" width="17.7109375" bestFit="1" customWidth="1"/>
    <col min="9475" max="9475" width="13" bestFit="1" customWidth="1"/>
    <col min="9476" max="9476" width="13.42578125" bestFit="1" customWidth="1"/>
    <col min="9477" max="9477" width="10.85546875" bestFit="1" customWidth="1"/>
    <col min="9478" max="9478" width="26.85546875" bestFit="1" customWidth="1"/>
    <col min="9479" max="9479" width="20.85546875" bestFit="1" customWidth="1"/>
    <col min="9480" max="9480" width="30.42578125" bestFit="1" customWidth="1"/>
    <col min="9481" max="9481" width="19.42578125" bestFit="1" customWidth="1"/>
    <col min="9482" max="9482" width="20.28515625" bestFit="1" customWidth="1"/>
    <col min="9483" max="9484" width="12" bestFit="1" customWidth="1"/>
    <col min="9485" max="9486" width="12.5703125" bestFit="1" customWidth="1"/>
    <col min="9487" max="9487" width="11.7109375" bestFit="1" customWidth="1"/>
    <col min="9488" max="9488" width="19" bestFit="1" customWidth="1"/>
    <col min="9489" max="9489" width="12.140625" bestFit="1" customWidth="1"/>
    <col min="9719" max="9719" width="15" bestFit="1" customWidth="1"/>
    <col min="9720" max="9720" width="68.28515625" bestFit="1" customWidth="1"/>
    <col min="9721" max="9721" width="9.140625" bestFit="1" customWidth="1"/>
    <col min="9722" max="9722" width="21.42578125" bestFit="1" customWidth="1"/>
    <col min="9723" max="9725" width="15.42578125" bestFit="1" customWidth="1"/>
    <col min="9726" max="9726" width="8.85546875" bestFit="1" customWidth="1"/>
    <col min="9727" max="9727" width="10" bestFit="1" customWidth="1"/>
    <col min="9728" max="9728" width="12.7109375" bestFit="1" customWidth="1"/>
    <col min="9729" max="9729" width="8.85546875" bestFit="1" customWidth="1"/>
    <col min="9730" max="9730" width="17.7109375" bestFit="1" customWidth="1"/>
    <col min="9731" max="9731" width="13" bestFit="1" customWidth="1"/>
    <col min="9732" max="9732" width="13.42578125" bestFit="1" customWidth="1"/>
    <col min="9733" max="9733" width="10.85546875" bestFit="1" customWidth="1"/>
    <col min="9734" max="9734" width="26.85546875" bestFit="1" customWidth="1"/>
    <col min="9735" max="9735" width="20.85546875" bestFit="1" customWidth="1"/>
    <col min="9736" max="9736" width="30.42578125" bestFit="1" customWidth="1"/>
    <col min="9737" max="9737" width="19.42578125" bestFit="1" customWidth="1"/>
    <col min="9738" max="9738" width="20.28515625" bestFit="1" customWidth="1"/>
    <col min="9739" max="9740" width="12" bestFit="1" customWidth="1"/>
    <col min="9741" max="9742" width="12.5703125" bestFit="1" customWidth="1"/>
    <col min="9743" max="9743" width="11.7109375" bestFit="1" customWidth="1"/>
    <col min="9744" max="9744" width="19" bestFit="1" customWidth="1"/>
    <col min="9745" max="9745" width="12.140625" bestFit="1" customWidth="1"/>
    <col min="9975" max="9975" width="15" bestFit="1" customWidth="1"/>
    <col min="9976" max="9976" width="68.28515625" bestFit="1" customWidth="1"/>
    <col min="9977" max="9977" width="9.140625" bestFit="1" customWidth="1"/>
    <col min="9978" max="9978" width="21.42578125" bestFit="1" customWidth="1"/>
    <col min="9979" max="9981" width="15.42578125" bestFit="1" customWidth="1"/>
    <col min="9982" max="9982" width="8.85546875" bestFit="1" customWidth="1"/>
    <col min="9983" max="9983" width="10" bestFit="1" customWidth="1"/>
    <col min="9984" max="9984" width="12.7109375" bestFit="1" customWidth="1"/>
    <col min="9985" max="9985" width="8.85546875" bestFit="1" customWidth="1"/>
    <col min="9986" max="9986" width="17.7109375" bestFit="1" customWidth="1"/>
    <col min="9987" max="9987" width="13" bestFit="1" customWidth="1"/>
    <col min="9988" max="9988" width="13.42578125" bestFit="1" customWidth="1"/>
    <col min="9989" max="9989" width="10.85546875" bestFit="1" customWidth="1"/>
    <col min="9990" max="9990" width="26.85546875" bestFit="1" customWidth="1"/>
    <col min="9991" max="9991" width="20.85546875" bestFit="1" customWidth="1"/>
    <col min="9992" max="9992" width="30.42578125" bestFit="1" customWidth="1"/>
    <col min="9993" max="9993" width="19.42578125" bestFit="1" customWidth="1"/>
    <col min="9994" max="9994" width="20.28515625" bestFit="1" customWidth="1"/>
    <col min="9995" max="9996" width="12" bestFit="1" customWidth="1"/>
    <col min="9997" max="9998" width="12.5703125" bestFit="1" customWidth="1"/>
    <col min="9999" max="9999" width="11.7109375" bestFit="1" customWidth="1"/>
    <col min="10000" max="10000" width="19" bestFit="1" customWidth="1"/>
    <col min="10001" max="10001" width="12.140625" bestFit="1" customWidth="1"/>
    <col min="10231" max="10231" width="15" bestFit="1" customWidth="1"/>
    <col min="10232" max="10232" width="68.28515625" bestFit="1" customWidth="1"/>
    <col min="10233" max="10233" width="9.140625" bestFit="1" customWidth="1"/>
    <col min="10234" max="10234" width="21.42578125" bestFit="1" customWidth="1"/>
    <col min="10235" max="10237" width="15.42578125" bestFit="1" customWidth="1"/>
    <col min="10238" max="10238" width="8.85546875" bestFit="1" customWidth="1"/>
    <col min="10239" max="10239" width="10" bestFit="1" customWidth="1"/>
    <col min="10240" max="10240" width="12.7109375" bestFit="1" customWidth="1"/>
    <col min="10241" max="10241" width="8.85546875" bestFit="1" customWidth="1"/>
    <col min="10242" max="10242" width="17.7109375" bestFit="1" customWidth="1"/>
    <col min="10243" max="10243" width="13" bestFit="1" customWidth="1"/>
    <col min="10244" max="10244" width="13.42578125" bestFit="1" customWidth="1"/>
    <col min="10245" max="10245" width="10.85546875" bestFit="1" customWidth="1"/>
    <col min="10246" max="10246" width="26.85546875" bestFit="1" customWidth="1"/>
    <col min="10247" max="10247" width="20.85546875" bestFit="1" customWidth="1"/>
    <col min="10248" max="10248" width="30.42578125" bestFit="1" customWidth="1"/>
    <col min="10249" max="10249" width="19.42578125" bestFit="1" customWidth="1"/>
    <col min="10250" max="10250" width="20.28515625" bestFit="1" customWidth="1"/>
    <col min="10251" max="10252" width="12" bestFit="1" customWidth="1"/>
    <col min="10253" max="10254" width="12.5703125" bestFit="1" customWidth="1"/>
    <col min="10255" max="10255" width="11.7109375" bestFit="1" customWidth="1"/>
    <col min="10256" max="10256" width="19" bestFit="1" customWidth="1"/>
    <col min="10257" max="10257" width="12.140625" bestFit="1" customWidth="1"/>
    <col min="10487" max="10487" width="15" bestFit="1" customWidth="1"/>
    <col min="10488" max="10488" width="68.28515625" bestFit="1" customWidth="1"/>
    <col min="10489" max="10489" width="9.140625" bestFit="1" customWidth="1"/>
    <col min="10490" max="10490" width="21.42578125" bestFit="1" customWidth="1"/>
    <col min="10491" max="10493" width="15.42578125" bestFit="1" customWidth="1"/>
    <col min="10494" max="10494" width="8.85546875" bestFit="1" customWidth="1"/>
    <col min="10495" max="10495" width="10" bestFit="1" customWidth="1"/>
    <col min="10496" max="10496" width="12.7109375" bestFit="1" customWidth="1"/>
    <col min="10497" max="10497" width="8.85546875" bestFit="1" customWidth="1"/>
    <col min="10498" max="10498" width="17.7109375" bestFit="1" customWidth="1"/>
    <col min="10499" max="10499" width="13" bestFit="1" customWidth="1"/>
    <col min="10500" max="10500" width="13.42578125" bestFit="1" customWidth="1"/>
    <col min="10501" max="10501" width="10.85546875" bestFit="1" customWidth="1"/>
    <col min="10502" max="10502" width="26.85546875" bestFit="1" customWidth="1"/>
    <col min="10503" max="10503" width="20.85546875" bestFit="1" customWidth="1"/>
    <col min="10504" max="10504" width="30.42578125" bestFit="1" customWidth="1"/>
    <col min="10505" max="10505" width="19.42578125" bestFit="1" customWidth="1"/>
    <col min="10506" max="10506" width="20.28515625" bestFit="1" customWidth="1"/>
    <col min="10507" max="10508" width="12" bestFit="1" customWidth="1"/>
    <col min="10509" max="10510" width="12.5703125" bestFit="1" customWidth="1"/>
    <col min="10511" max="10511" width="11.7109375" bestFit="1" customWidth="1"/>
    <col min="10512" max="10512" width="19" bestFit="1" customWidth="1"/>
    <col min="10513" max="10513" width="12.140625" bestFit="1" customWidth="1"/>
    <col min="10743" max="10743" width="15" bestFit="1" customWidth="1"/>
    <col min="10744" max="10744" width="68.28515625" bestFit="1" customWidth="1"/>
    <col min="10745" max="10745" width="9.140625" bestFit="1" customWidth="1"/>
    <col min="10746" max="10746" width="21.42578125" bestFit="1" customWidth="1"/>
    <col min="10747" max="10749" width="15.42578125" bestFit="1" customWidth="1"/>
    <col min="10750" max="10750" width="8.85546875" bestFit="1" customWidth="1"/>
    <col min="10751" max="10751" width="10" bestFit="1" customWidth="1"/>
    <col min="10752" max="10752" width="12.7109375" bestFit="1" customWidth="1"/>
    <col min="10753" max="10753" width="8.85546875" bestFit="1" customWidth="1"/>
    <col min="10754" max="10754" width="17.7109375" bestFit="1" customWidth="1"/>
    <col min="10755" max="10755" width="13" bestFit="1" customWidth="1"/>
    <col min="10756" max="10756" width="13.42578125" bestFit="1" customWidth="1"/>
    <col min="10757" max="10757" width="10.85546875" bestFit="1" customWidth="1"/>
    <col min="10758" max="10758" width="26.85546875" bestFit="1" customWidth="1"/>
    <col min="10759" max="10759" width="20.85546875" bestFit="1" customWidth="1"/>
    <col min="10760" max="10760" width="30.42578125" bestFit="1" customWidth="1"/>
    <col min="10761" max="10761" width="19.42578125" bestFit="1" customWidth="1"/>
    <col min="10762" max="10762" width="20.28515625" bestFit="1" customWidth="1"/>
    <col min="10763" max="10764" width="12" bestFit="1" customWidth="1"/>
    <col min="10765" max="10766" width="12.5703125" bestFit="1" customWidth="1"/>
    <col min="10767" max="10767" width="11.7109375" bestFit="1" customWidth="1"/>
    <col min="10768" max="10768" width="19" bestFit="1" customWidth="1"/>
    <col min="10769" max="10769" width="12.140625" bestFit="1" customWidth="1"/>
    <col min="10999" max="10999" width="15" bestFit="1" customWidth="1"/>
    <col min="11000" max="11000" width="68.28515625" bestFit="1" customWidth="1"/>
    <col min="11001" max="11001" width="9.140625" bestFit="1" customWidth="1"/>
    <col min="11002" max="11002" width="21.42578125" bestFit="1" customWidth="1"/>
    <col min="11003" max="11005" width="15.42578125" bestFit="1" customWidth="1"/>
    <col min="11006" max="11006" width="8.85546875" bestFit="1" customWidth="1"/>
    <col min="11007" max="11007" width="10" bestFit="1" customWidth="1"/>
    <col min="11008" max="11008" width="12.7109375" bestFit="1" customWidth="1"/>
    <col min="11009" max="11009" width="8.85546875" bestFit="1" customWidth="1"/>
    <col min="11010" max="11010" width="17.7109375" bestFit="1" customWidth="1"/>
    <col min="11011" max="11011" width="13" bestFit="1" customWidth="1"/>
    <col min="11012" max="11012" width="13.42578125" bestFit="1" customWidth="1"/>
    <col min="11013" max="11013" width="10.85546875" bestFit="1" customWidth="1"/>
    <col min="11014" max="11014" width="26.85546875" bestFit="1" customWidth="1"/>
    <col min="11015" max="11015" width="20.85546875" bestFit="1" customWidth="1"/>
    <col min="11016" max="11016" width="30.42578125" bestFit="1" customWidth="1"/>
    <col min="11017" max="11017" width="19.42578125" bestFit="1" customWidth="1"/>
    <col min="11018" max="11018" width="20.28515625" bestFit="1" customWidth="1"/>
    <col min="11019" max="11020" width="12" bestFit="1" customWidth="1"/>
    <col min="11021" max="11022" width="12.5703125" bestFit="1" customWidth="1"/>
    <col min="11023" max="11023" width="11.7109375" bestFit="1" customWidth="1"/>
    <col min="11024" max="11024" width="19" bestFit="1" customWidth="1"/>
    <col min="11025" max="11025" width="12.140625" bestFit="1" customWidth="1"/>
    <col min="11255" max="11255" width="15" bestFit="1" customWidth="1"/>
    <col min="11256" max="11256" width="68.28515625" bestFit="1" customWidth="1"/>
    <col min="11257" max="11257" width="9.140625" bestFit="1" customWidth="1"/>
    <col min="11258" max="11258" width="21.42578125" bestFit="1" customWidth="1"/>
    <col min="11259" max="11261" width="15.42578125" bestFit="1" customWidth="1"/>
    <col min="11262" max="11262" width="8.85546875" bestFit="1" customWidth="1"/>
    <col min="11263" max="11263" width="10" bestFit="1" customWidth="1"/>
    <col min="11264" max="11264" width="12.7109375" bestFit="1" customWidth="1"/>
    <col min="11265" max="11265" width="8.85546875" bestFit="1" customWidth="1"/>
    <col min="11266" max="11266" width="17.7109375" bestFit="1" customWidth="1"/>
    <col min="11267" max="11267" width="13" bestFit="1" customWidth="1"/>
    <col min="11268" max="11268" width="13.42578125" bestFit="1" customWidth="1"/>
    <col min="11269" max="11269" width="10.85546875" bestFit="1" customWidth="1"/>
    <col min="11270" max="11270" width="26.85546875" bestFit="1" customWidth="1"/>
    <col min="11271" max="11271" width="20.85546875" bestFit="1" customWidth="1"/>
    <col min="11272" max="11272" width="30.42578125" bestFit="1" customWidth="1"/>
    <col min="11273" max="11273" width="19.42578125" bestFit="1" customWidth="1"/>
    <col min="11274" max="11274" width="20.28515625" bestFit="1" customWidth="1"/>
    <col min="11275" max="11276" width="12" bestFit="1" customWidth="1"/>
    <col min="11277" max="11278" width="12.5703125" bestFit="1" customWidth="1"/>
    <col min="11279" max="11279" width="11.7109375" bestFit="1" customWidth="1"/>
    <col min="11280" max="11280" width="19" bestFit="1" customWidth="1"/>
    <col min="11281" max="11281" width="12.140625" bestFit="1" customWidth="1"/>
    <col min="11511" max="11511" width="15" bestFit="1" customWidth="1"/>
    <col min="11512" max="11512" width="68.28515625" bestFit="1" customWidth="1"/>
    <col min="11513" max="11513" width="9.140625" bestFit="1" customWidth="1"/>
    <col min="11514" max="11514" width="21.42578125" bestFit="1" customWidth="1"/>
    <col min="11515" max="11517" width="15.42578125" bestFit="1" customWidth="1"/>
    <col min="11518" max="11518" width="8.85546875" bestFit="1" customWidth="1"/>
    <col min="11519" max="11519" width="10" bestFit="1" customWidth="1"/>
    <col min="11520" max="11520" width="12.7109375" bestFit="1" customWidth="1"/>
    <col min="11521" max="11521" width="8.85546875" bestFit="1" customWidth="1"/>
    <col min="11522" max="11522" width="17.7109375" bestFit="1" customWidth="1"/>
    <col min="11523" max="11523" width="13" bestFit="1" customWidth="1"/>
    <col min="11524" max="11524" width="13.42578125" bestFit="1" customWidth="1"/>
    <col min="11525" max="11525" width="10.85546875" bestFit="1" customWidth="1"/>
    <col min="11526" max="11526" width="26.85546875" bestFit="1" customWidth="1"/>
    <col min="11527" max="11527" width="20.85546875" bestFit="1" customWidth="1"/>
    <col min="11528" max="11528" width="30.42578125" bestFit="1" customWidth="1"/>
    <col min="11529" max="11529" width="19.42578125" bestFit="1" customWidth="1"/>
    <col min="11530" max="11530" width="20.28515625" bestFit="1" customWidth="1"/>
    <col min="11531" max="11532" width="12" bestFit="1" customWidth="1"/>
    <col min="11533" max="11534" width="12.5703125" bestFit="1" customWidth="1"/>
    <col min="11535" max="11535" width="11.7109375" bestFit="1" customWidth="1"/>
    <col min="11536" max="11536" width="19" bestFit="1" customWidth="1"/>
    <col min="11537" max="11537" width="12.140625" bestFit="1" customWidth="1"/>
    <col min="11767" max="11767" width="15" bestFit="1" customWidth="1"/>
    <col min="11768" max="11768" width="68.28515625" bestFit="1" customWidth="1"/>
    <col min="11769" max="11769" width="9.140625" bestFit="1" customWidth="1"/>
    <col min="11770" max="11770" width="21.42578125" bestFit="1" customWidth="1"/>
    <col min="11771" max="11773" width="15.42578125" bestFit="1" customWidth="1"/>
    <col min="11774" max="11774" width="8.85546875" bestFit="1" customWidth="1"/>
    <col min="11775" max="11775" width="10" bestFit="1" customWidth="1"/>
    <col min="11776" max="11776" width="12.7109375" bestFit="1" customWidth="1"/>
    <col min="11777" max="11777" width="8.85546875" bestFit="1" customWidth="1"/>
    <col min="11778" max="11778" width="17.7109375" bestFit="1" customWidth="1"/>
    <col min="11779" max="11779" width="13" bestFit="1" customWidth="1"/>
    <col min="11780" max="11780" width="13.42578125" bestFit="1" customWidth="1"/>
    <col min="11781" max="11781" width="10.85546875" bestFit="1" customWidth="1"/>
    <col min="11782" max="11782" width="26.85546875" bestFit="1" customWidth="1"/>
    <col min="11783" max="11783" width="20.85546875" bestFit="1" customWidth="1"/>
    <col min="11784" max="11784" width="30.42578125" bestFit="1" customWidth="1"/>
    <col min="11785" max="11785" width="19.42578125" bestFit="1" customWidth="1"/>
    <col min="11786" max="11786" width="20.28515625" bestFit="1" customWidth="1"/>
    <col min="11787" max="11788" width="12" bestFit="1" customWidth="1"/>
    <col min="11789" max="11790" width="12.5703125" bestFit="1" customWidth="1"/>
    <col min="11791" max="11791" width="11.7109375" bestFit="1" customWidth="1"/>
    <col min="11792" max="11792" width="19" bestFit="1" customWidth="1"/>
    <col min="11793" max="11793" width="12.140625" bestFit="1" customWidth="1"/>
    <col min="12023" max="12023" width="15" bestFit="1" customWidth="1"/>
    <col min="12024" max="12024" width="68.28515625" bestFit="1" customWidth="1"/>
    <col min="12025" max="12025" width="9.140625" bestFit="1" customWidth="1"/>
    <col min="12026" max="12026" width="21.42578125" bestFit="1" customWidth="1"/>
    <col min="12027" max="12029" width="15.42578125" bestFit="1" customWidth="1"/>
    <col min="12030" max="12030" width="8.85546875" bestFit="1" customWidth="1"/>
    <col min="12031" max="12031" width="10" bestFit="1" customWidth="1"/>
    <col min="12032" max="12032" width="12.7109375" bestFit="1" customWidth="1"/>
    <col min="12033" max="12033" width="8.85546875" bestFit="1" customWidth="1"/>
    <col min="12034" max="12034" width="17.7109375" bestFit="1" customWidth="1"/>
    <col min="12035" max="12035" width="13" bestFit="1" customWidth="1"/>
    <col min="12036" max="12036" width="13.42578125" bestFit="1" customWidth="1"/>
    <col min="12037" max="12037" width="10.85546875" bestFit="1" customWidth="1"/>
    <col min="12038" max="12038" width="26.85546875" bestFit="1" customWidth="1"/>
    <col min="12039" max="12039" width="20.85546875" bestFit="1" customWidth="1"/>
    <col min="12040" max="12040" width="30.42578125" bestFit="1" customWidth="1"/>
    <col min="12041" max="12041" width="19.42578125" bestFit="1" customWidth="1"/>
    <col min="12042" max="12042" width="20.28515625" bestFit="1" customWidth="1"/>
    <col min="12043" max="12044" width="12" bestFit="1" customWidth="1"/>
    <col min="12045" max="12046" width="12.5703125" bestFit="1" customWidth="1"/>
    <col min="12047" max="12047" width="11.7109375" bestFit="1" customWidth="1"/>
    <col min="12048" max="12048" width="19" bestFit="1" customWidth="1"/>
    <col min="12049" max="12049" width="12.140625" bestFit="1" customWidth="1"/>
    <col min="12279" max="12279" width="15" bestFit="1" customWidth="1"/>
    <col min="12280" max="12280" width="68.28515625" bestFit="1" customWidth="1"/>
    <col min="12281" max="12281" width="9.140625" bestFit="1" customWidth="1"/>
    <col min="12282" max="12282" width="21.42578125" bestFit="1" customWidth="1"/>
    <col min="12283" max="12285" width="15.42578125" bestFit="1" customWidth="1"/>
    <col min="12286" max="12286" width="8.85546875" bestFit="1" customWidth="1"/>
    <col min="12287" max="12287" width="10" bestFit="1" customWidth="1"/>
    <col min="12288" max="12288" width="12.7109375" bestFit="1" customWidth="1"/>
    <col min="12289" max="12289" width="8.85546875" bestFit="1" customWidth="1"/>
    <col min="12290" max="12290" width="17.7109375" bestFit="1" customWidth="1"/>
    <col min="12291" max="12291" width="13" bestFit="1" customWidth="1"/>
    <col min="12292" max="12292" width="13.42578125" bestFit="1" customWidth="1"/>
    <col min="12293" max="12293" width="10.85546875" bestFit="1" customWidth="1"/>
    <col min="12294" max="12294" width="26.85546875" bestFit="1" customWidth="1"/>
    <col min="12295" max="12295" width="20.85546875" bestFit="1" customWidth="1"/>
    <col min="12296" max="12296" width="30.42578125" bestFit="1" customWidth="1"/>
    <col min="12297" max="12297" width="19.42578125" bestFit="1" customWidth="1"/>
    <col min="12298" max="12298" width="20.28515625" bestFit="1" customWidth="1"/>
    <col min="12299" max="12300" width="12" bestFit="1" customWidth="1"/>
    <col min="12301" max="12302" width="12.5703125" bestFit="1" customWidth="1"/>
    <col min="12303" max="12303" width="11.7109375" bestFit="1" customWidth="1"/>
    <col min="12304" max="12304" width="19" bestFit="1" customWidth="1"/>
    <col min="12305" max="12305" width="12.140625" bestFit="1" customWidth="1"/>
    <col min="12535" max="12535" width="15" bestFit="1" customWidth="1"/>
    <col min="12536" max="12536" width="68.28515625" bestFit="1" customWidth="1"/>
    <col min="12537" max="12537" width="9.140625" bestFit="1" customWidth="1"/>
    <col min="12538" max="12538" width="21.42578125" bestFit="1" customWidth="1"/>
    <col min="12539" max="12541" width="15.42578125" bestFit="1" customWidth="1"/>
    <col min="12542" max="12542" width="8.85546875" bestFit="1" customWidth="1"/>
    <col min="12543" max="12543" width="10" bestFit="1" customWidth="1"/>
    <col min="12544" max="12544" width="12.7109375" bestFit="1" customWidth="1"/>
    <col min="12545" max="12545" width="8.85546875" bestFit="1" customWidth="1"/>
    <col min="12546" max="12546" width="17.7109375" bestFit="1" customWidth="1"/>
    <col min="12547" max="12547" width="13" bestFit="1" customWidth="1"/>
    <col min="12548" max="12548" width="13.42578125" bestFit="1" customWidth="1"/>
    <col min="12549" max="12549" width="10.85546875" bestFit="1" customWidth="1"/>
    <col min="12550" max="12550" width="26.85546875" bestFit="1" customWidth="1"/>
    <col min="12551" max="12551" width="20.85546875" bestFit="1" customWidth="1"/>
    <col min="12552" max="12552" width="30.42578125" bestFit="1" customWidth="1"/>
    <col min="12553" max="12553" width="19.42578125" bestFit="1" customWidth="1"/>
    <col min="12554" max="12554" width="20.28515625" bestFit="1" customWidth="1"/>
    <col min="12555" max="12556" width="12" bestFit="1" customWidth="1"/>
    <col min="12557" max="12558" width="12.5703125" bestFit="1" customWidth="1"/>
    <col min="12559" max="12559" width="11.7109375" bestFit="1" customWidth="1"/>
    <col min="12560" max="12560" width="19" bestFit="1" customWidth="1"/>
    <col min="12561" max="12561" width="12.140625" bestFit="1" customWidth="1"/>
    <col min="12791" max="12791" width="15" bestFit="1" customWidth="1"/>
    <col min="12792" max="12792" width="68.28515625" bestFit="1" customWidth="1"/>
    <col min="12793" max="12793" width="9.140625" bestFit="1" customWidth="1"/>
    <col min="12794" max="12794" width="21.42578125" bestFit="1" customWidth="1"/>
    <col min="12795" max="12797" width="15.42578125" bestFit="1" customWidth="1"/>
    <col min="12798" max="12798" width="8.85546875" bestFit="1" customWidth="1"/>
    <col min="12799" max="12799" width="10" bestFit="1" customWidth="1"/>
    <col min="12800" max="12800" width="12.7109375" bestFit="1" customWidth="1"/>
    <col min="12801" max="12801" width="8.85546875" bestFit="1" customWidth="1"/>
    <col min="12802" max="12802" width="17.7109375" bestFit="1" customWidth="1"/>
    <col min="12803" max="12803" width="13" bestFit="1" customWidth="1"/>
    <col min="12804" max="12804" width="13.42578125" bestFit="1" customWidth="1"/>
    <col min="12805" max="12805" width="10.85546875" bestFit="1" customWidth="1"/>
    <col min="12806" max="12806" width="26.85546875" bestFit="1" customWidth="1"/>
    <col min="12807" max="12807" width="20.85546875" bestFit="1" customWidth="1"/>
    <col min="12808" max="12808" width="30.42578125" bestFit="1" customWidth="1"/>
    <col min="12809" max="12809" width="19.42578125" bestFit="1" customWidth="1"/>
    <col min="12810" max="12810" width="20.28515625" bestFit="1" customWidth="1"/>
    <col min="12811" max="12812" width="12" bestFit="1" customWidth="1"/>
    <col min="12813" max="12814" width="12.5703125" bestFit="1" customWidth="1"/>
    <col min="12815" max="12815" width="11.7109375" bestFit="1" customWidth="1"/>
    <col min="12816" max="12816" width="19" bestFit="1" customWidth="1"/>
    <col min="12817" max="12817" width="12.140625" bestFit="1" customWidth="1"/>
    <col min="13047" max="13047" width="15" bestFit="1" customWidth="1"/>
    <col min="13048" max="13048" width="68.28515625" bestFit="1" customWidth="1"/>
    <col min="13049" max="13049" width="9.140625" bestFit="1" customWidth="1"/>
    <col min="13050" max="13050" width="21.42578125" bestFit="1" customWidth="1"/>
    <col min="13051" max="13053" width="15.42578125" bestFit="1" customWidth="1"/>
    <col min="13054" max="13054" width="8.85546875" bestFit="1" customWidth="1"/>
    <col min="13055" max="13055" width="10" bestFit="1" customWidth="1"/>
    <col min="13056" max="13056" width="12.7109375" bestFit="1" customWidth="1"/>
    <col min="13057" max="13057" width="8.85546875" bestFit="1" customWidth="1"/>
    <col min="13058" max="13058" width="17.7109375" bestFit="1" customWidth="1"/>
    <col min="13059" max="13059" width="13" bestFit="1" customWidth="1"/>
    <col min="13060" max="13060" width="13.42578125" bestFit="1" customWidth="1"/>
    <col min="13061" max="13061" width="10.85546875" bestFit="1" customWidth="1"/>
    <col min="13062" max="13062" width="26.85546875" bestFit="1" customWidth="1"/>
    <col min="13063" max="13063" width="20.85546875" bestFit="1" customWidth="1"/>
    <col min="13064" max="13064" width="30.42578125" bestFit="1" customWidth="1"/>
    <col min="13065" max="13065" width="19.42578125" bestFit="1" customWidth="1"/>
    <col min="13066" max="13066" width="20.28515625" bestFit="1" customWidth="1"/>
    <col min="13067" max="13068" width="12" bestFit="1" customWidth="1"/>
    <col min="13069" max="13070" width="12.5703125" bestFit="1" customWidth="1"/>
    <col min="13071" max="13071" width="11.7109375" bestFit="1" customWidth="1"/>
    <col min="13072" max="13072" width="19" bestFit="1" customWidth="1"/>
    <col min="13073" max="13073" width="12.140625" bestFit="1" customWidth="1"/>
    <col min="13303" max="13303" width="15" bestFit="1" customWidth="1"/>
    <col min="13304" max="13304" width="68.28515625" bestFit="1" customWidth="1"/>
    <col min="13305" max="13305" width="9.140625" bestFit="1" customWidth="1"/>
    <col min="13306" max="13306" width="21.42578125" bestFit="1" customWidth="1"/>
    <col min="13307" max="13309" width="15.42578125" bestFit="1" customWidth="1"/>
    <col min="13310" max="13310" width="8.85546875" bestFit="1" customWidth="1"/>
    <col min="13311" max="13311" width="10" bestFit="1" customWidth="1"/>
    <col min="13312" max="13312" width="12.7109375" bestFit="1" customWidth="1"/>
    <col min="13313" max="13313" width="8.85546875" bestFit="1" customWidth="1"/>
    <col min="13314" max="13314" width="17.7109375" bestFit="1" customWidth="1"/>
    <col min="13315" max="13315" width="13" bestFit="1" customWidth="1"/>
    <col min="13316" max="13316" width="13.42578125" bestFit="1" customWidth="1"/>
    <col min="13317" max="13317" width="10.85546875" bestFit="1" customWidth="1"/>
    <col min="13318" max="13318" width="26.85546875" bestFit="1" customWidth="1"/>
    <col min="13319" max="13319" width="20.85546875" bestFit="1" customWidth="1"/>
    <col min="13320" max="13320" width="30.42578125" bestFit="1" customWidth="1"/>
    <col min="13321" max="13321" width="19.42578125" bestFit="1" customWidth="1"/>
    <col min="13322" max="13322" width="20.28515625" bestFit="1" customWidth="1"/>
    <col min="13323" max="13324" width="12" bestFit="1" customWidth="1"/>
    <col min="13325" max="13326" width="12.5703125" bestFit="1" customWidth="1"/>
    <col min="13327" max="13327" width="11.7109375" bestFit="1" customWidth="1"/>
    <col min="13328" max="13328" width="19" bestFit="1" customWidth="1"/>
    <col min="13329" max="13329" width="12.140625" bestFit="1" customWidth="1"/>
    <col min="13559" max="13559" width="15" bestFit="1" customWidth="1"/>
    <col min="13560" max="13560" width="68.28515625" bestFit="1" customWidth="1"/>
    <col min="13561" max="13561" width="9.140625" bestFit="1" customWidth="1"/>
    <col min="13562" max="13562" width="21.42578125" bestFit="1" customWidth="1"/>
    <col min="13563" max="13565" width="15.42578125" bestFit="1" customWidth="1"/>
    <col min="13566" max="13566" width="8.85546875" bestFit="1" customWidth="1"/>
    <col min="13567" max="13567" width="10" bestFit="1" customWidth="1"/>
    <col min="13568" max="13568" width="12.7109375" bestFit="1" customWidth="1"/>
    <col min="13569" max="13569" width="8.85546875" bestFit="1" customWidth="1"/>
    <col min="13570" max="13570" width="17.7109375" bestFit="1" customWidth="1"/>
    <col min="13571" max="13571" width="13" bestFit="1" customWidth="1"/>
    <col min="13572" max="13572" width="13.42578125" bestFit="1" customWidth="1"/>
    <col min="13573" max="13573" width="10.85546875" bestFit="1" customWidth="1"/>
    <col min="13574" max="13574" width="26.85546875" bestFit="1" customWidth="1"/>
    <col min="13575" max="13575" width="20.85546875" bestFit="1" customWidth="1"/>
    <col min="13576" max="13576" width="30.42578125" bestFit="1" customWidth="1"/>
    <col min="13577" max="13577" width="19.42578125" bestFit="1" customWidth="1"/>
    <col min="13578" max="13578" width="20.28515625" bestFit="1" customWidth="1"/>
    <col min="13579" max="13580" width="12" bestFit="1" customWidth="1"/>
    <col min="13581" max="13582" width="12.5703125" bestFit="1" customWidth="1"/>
    <col min="13583" max="13583" width="11.7109375" bestFit="1" customWidth="1"/>
    <col min="13584" max="13584" width="19" bestFit="1" customWidth="1"/>
    <col min="13585" max="13585" width="12.140625" bestFit="1" customWidth="1"/>
    <col min="13815" max="13815" width="15" bestFit="1" customWidth="1"/>
    <col min="13816" max="13816" width="68.28515625" bestFit="1" customWidth="1"/>
    <col min="13817" max="13817" width="9.140625" bestFit="1" customWidth="1"/>
    <col min="13818" max="13818" width="21.42578125" bestFit="1" customWidth="1"/>
    <col min="13819" max="13821" width="15.42578125" bestFit="1" customWidth="1"/>
    <col min="13822" max="13822" width="8.85546875" bestFit="1" customWidth="1"/>
    <col min="13823" max="13823" width="10" bestFit="1" customWidth="1"/>
    <col min="13824" max="13824" width="12.7109375" bestFit="1" customWidth="1"/>
    <col min="13825" max="13825" width="8.85546875" bestFit="1" customWidth="1"/>
    <col min="13826" max="13826" width="17.7109375" bestFit="1" customWidth="1"/>
    <col min="13827" max="13827" width="13" bestFit="1" customWidth="1"/>
    <col min="13828" max="13828" width="13.42578125" bestFit="1" customWidth="1"/>
    <col min="13829" max="13829" width="10.85546875" bestFit="1" customWidth="1"/>
    <col min="13830" max="13830" width="26.85546875" bestFit="1" customWidth="1"/>
    <col min="13831" max="13831" width="20.85546875" bestFit="1" customWidth="1"/>
    <col min="13832" max="13832" width="30.42578125" bestFit="1" customWidth="1"/>
    <col min="13833" max="13833" width="19.42578125" bestFit="1" customWidth="1"/>
    <col min="13834" max="13834" width="20.28515625" bestFit="1" customWidth="1"/>
    <col min="13835" max="13836" width="12" bestFit="1" customWidth="1"/>
    <col min="13837" max="13838" width="12.5703125" bestFit="1" customWidth="1"/>
    <col min="13839" max="13839" width="11.7109375" bestFit="1" customWidth="1"/>
    <col min="13840" max="13840" width="19" bestFit="1" customWidth="1"/>
    <col min="13841" max="13841" width="12.140625" bestFit="1" customWidth="1"/>
    <col min="14071" max="14071" width="15" bestFit="1" customWidth="1"/>
    <col min="14072" max="14072" width="68.28515625" bestFit="1" customWidth="1"/>
    <col min="14073" max="14073" width="9.140625" bestFit="1" customWidth="1"/>
    <col min="14074" max="14074" width="21.42578125" bestFit="1" customWidth="1"/>
    <col min="14075" max="14077" width="15.42578125" bestFit="1" customWidth="1"/>
    <col min="14078" max="14078" width="8.85546875" bestFit="1" customWidth="1"/>
    <col min="14079" max="14079" width="10" bestFit="1" customWidth="1"/>
    <col min="14080" max="14080" width="12.7109375" bestFit="1" customWidth="1"/>
    <col min="14081" max="14081" width="8.85546875" bestFit="1" customWidth="1"/>
    <col min="14082" max="14082" width="17.7109375" bestFit="1" customWidth="1"/>
    <col min="14083" max="14083" width="13" bestFit="1" customWidth="1"/>
    <col min="14084" max="14084" width="13.42578125" bestFit="1" customWidth="1"/>
    <col min="14085" max="14085" width="10.85546875" bestFit="1" customWidth="1"/>
    <col min="14086" max="14086" width="26.85546875" bestFit="1" customWidth="1"/>
    <col min="14087" max="14087" width="20.85546875" bestFit="1" customWidth="1"/>
    <col min="14088" max="14088" width="30.42578125" bestFit="1" customWidth="1"/>
    <col min="14089" max="14089" width="19.42578125" bestFit="1" customWidth="1"/>
    <col min="14090" max="14090" width="20.28515625" bestFit="1" customWidth="1"/>
    <col min="14091" max="14092" width="12" bestFit="1" customWidth="1"/>
    <col min="14093" max="14094" width="12.5703125" bestFit="1" customWidth="1"/>
    <col min="14095" max="14095" width="11.7109375" bestFit="1" customWidth="1"/>
    <col min="14096" max="14096" width="19" bestFit="1" customWidth="1"/>
    <col min="14097" max="14097" width="12.140625" bestFit="1" customWidth="1"/>
    <col min="14327" max="14327" width="15" bestFit="1" customWidth="1"/>
    <col min="14328" max="14328" width="68.28515625" bestFit="1" customWidth="1"/>
    <col min="14329" max="14329" width="9.140625" bestFit="1" customWidth="1"/>
    <col min="14330" max="14330" width="21.42578125" bestFit="1" customWidth="1"/>
    <col min="14331" max="14333" width="15.42578125" bestFit="1" customWidth="1"/>
    <col min="14334" max="14334" width="8.85546875" bestFit="1" customWidth="1"/>
    <col min="14335" max="14335" width="10" bestFit="1" customWidth="1"/>
    <col min="14336" max="14336" width="12.7109375" bestFit="1" customWidth="1"/>
    <col min="14337" max="14337" width="8.85546875" bestFit="1" customWidth="1"/>
    <col min="14338" max="14338" width="17.7109375" bestFit="1" customWidth="1"/>
    <col min="14339" max="14339" width="13" bestFit="1" customWidth="1"/>
    <col min="14340" max="14340" width="13.42578125" bestFit="1" customWidth="1"/>
    <col min="14341" max="14341" width="10.85546875" bestFit="1" customWidth="1"/>
    <col min="14342" max="14342" width="26.85546875" bestFit="1" customWidth="1"/>
    <col min="14343" max="14343" width="20.85546875" bestFit="1" customWidth="1"/>
    <col min="14344" max="14344" width="30.42578125" bestFit="1" customWidth="1"/>
    <col min="14345" max="14345" width="19.42578125" bestFit="1" customWidth="1"/>
    <col min="14346" max="14346" width="20.28515625" bestFit="1" customWidth="1"/>
    <col min="14347" max="14348" width="12" bestFit="1" customWidth="1"/>
    <col min="14349" max="14350" width="12.5703125" bestFit="1" customWidth="1"/>
    <col min="14351" max="14351" width="11.7109375" bestFit="1" customWidth="1"/>
    <col min="14352" max="14352" width="19" bestFit="1" customWidth="1"/>
    <col min="14353" max="14353" width="12.140625" bestFit="1" customWidth="1"/>
    <col min="14583" max="14583" width="15" bestFit="1" customWidth="1"/>
    <col min="14584" max="14584" width="68.28515625" bestFit="1" customWidth="1"/>
    <col min="14585" max="14585" width="9.140625" bestFit="1" customWidth="1"/>
    <col min="14586" max="14586" width="21.42578125" bestFit="1" customWidth="1"/>
    <col min="14587" max="14589" width="15.42578125" bestFit="1" customWidth="1"/>
    <col min="14590" max="14590" width="8.85546875" bestFit="1" customWidth="1"/>
    <col min="14591" max="14591" width="10" bestFit="1" customWidth="1"/>
    <col min="14592" max="14592" width="12.7109375" bestFit="1" customWidth="1"/>
    <col min="14593" max="14593" width="8.85546875" bestFit="1" customWidth="1"/>
    <col min="14594" max="14594" width="17.7109375" bestFit="1" customWidth="1"/>
    <col min="14595" max="14595" width="13" bestFit="1" customWidth="1"/>
    <col min="14596" max="14596" width="13.42578125" bestFit="1" customWidth="1"/>
    <col min="14597" max="14597" width="10.85546875" bestFit="1" customWidth="1"/>
    <col min="14598" max="14598" width="26.85546875" bestFit="1" customWidth="1"/>
    <col min="14599" max="14599" width="20.85546875" bestFit="1" customWidth="1"/>
    <col min="14600" max="14600" width="30.42578125" bestFit="1" customWidth="1"/>
    <col min="14601" max="14601" width="19.42578125" bestFit="1" customWidth="1"/>
    <col min="14602" max="14602" width="20.28515625" bestFit="1" customWidth="1"/>
    <col min="14603" max="14604" width="12" bestFit="1" customWidth="1"/>
    <col min="14605" max="14606" width="12.5703125" bestFit="1" customWidth="1"/>
    <col min="14607" max="14607" width="11.7109375" bestFit="1" customWidth="1"/>
    <col min="14608" max="14608" width="19" bestFit="1" customWidth="1"/>
    <col min="14609" max="14609" width="12.140625" bestFit="1" customWidth="1"/>
    <col min="14839" max="14839" width="15" bestFit="1" customWidth="1"/>
    <col min="14840" max="14840" width="68.28515625" bestFit="1" customWidth="1"/>
    <col min="14841" max="14841" width="9.140625" bestFit="1" customWidth="1"/>
    <col min="14842" max="14842" width="21.42578125" bestFit="1" customWidth="1"/>
    <col min="14843" max="14845" width="15.42578125" bestFit="1" customWidth="1"/>
    <col min="14846" max="14846" width="8.85546875" bestFit="1" customWidth="1"/>
    <col min="14847" max="14847" width="10" bestFit="1" customWidth="1"/>
    <col min="14848" max="14848" width="12.7109375" bestFit="1" customWidth="1"/>
    <col min="14849" max="14849" width="8.85546875" bestFit="1" customWidth="1"/>
    <col min="14850" max="14850" width="17.7109375" bestFit="1" customWidth="1"/>
    <col min="14851" max="14851" width="13" bestFit="1" customWidth="1"/>
    <col min="14852" max="14852" width="13.42578125" bestFit="1" customWidth="1"/>
    <col min="14853" max="14853" width="10.85546875" bestFit="1" customWidth="1"/>
    <col min="14854" max="14854" width="26.85546875" bestFit="1" customWidth="1"/>
    <col min="14855" max="14855" width="20.85546875" bestFit="1" customWidth="1"/>
    <col min="14856" max="14856" width="30.42578125" bestFit="1" customWidth="1"/>
    <col min="14857" max="14857" width="19.42578125" bestFit="1" customWidth="1"/>
    <col min="14858" max="14858" width="20.28515625" bestFit="1" customWidth="1"/>
    <col min="14859" max="14860" width="12" bestFit="1" customWidth="1"/>
    <col min="14861" max="14862" width="12.5703125" bestFit="1" customWidth="1"/>
    <col min="14863" max="14863" width="11.7109375" bestFit="1" customWidth="1"/>
    <col min="14864" max="14864" width="19" bestFit="1" customWidth="1"/>
    <col min="14865" max="14865" width="12.140625" bestFit="1" customWidth="1"/>
    <col min="15095" max="15095" width="15" bestFit="1" customWidth="1"/>
    <col min="15096" max="15096" width="68.28515625" bestFit="1" customWidth="1"/>
    <col min="15097" max="15097" width="9.140625" bestFit="1" customWidth="1"/>
    <col min="15098" max="15098" width="21.42578125" bestFit="1" customWidth="1"/>
    <col min="15099" max="15101" width="15.42578125" bestFit="1" customWidth="1"/>
    <col min="15102" max="15102" width="8.85546875" bestFit="1" customWidth="1"/>
    <col min="15103" max="15103" width="10" bestFit="1" customWidth="1"/>
    <col min="15104" max="15104" width="12.7109375" bestFit="1" customWidth="1"/>
    <col min="15105" max="15105" width="8.85546875" bestFit="1" customWidth="1"/>
    <col min="15106" max="15106" width="17.7109375" bestFit="1" customWidth="1"/>
    <col min="15107" max="15107" width="13" bestFit="1" customWidth="1"/>
    <col min="15108" max="15108" width="13.42578125" bestFit="1" customWidth="1"/>
    <col min="15109" max="15109" width="10.85546875" bestFit="1" customWidth="1"/>
    <col min="15110" max="15110" width="26.85546875" bestFit="1" customWidth="1"/>
    <col min="15111" max="15111" width="20.85546875" bestFit="1" customWidth="1"/>
    <col min="15112" max="15112" width="30.42578125" bestFit="1" customWidth="1"/>
    <col min="15113" max="15113" width="19.42578125" bestFit="1" customWidth="1"/>
    <col min="15114" max="15114" width="20.28515625" bestFit="1" customWidth="1"/>
    <col min="15115" max="15116" width="12" bestFit="1" customWidth="1"/>
    <col min="15117" max="15118" width="12.5703125" bestFit="1" customWidth="1"/>
    <col min="15119" max="15119" width="11.7109375" bestFit="1" customWidth="1"/>
    <col min="15120" max="15120" width="19" bestFit="1" customWidth="1"/>
    <col min="15121" max="15121" width="12.140625" bestFit="1" customWidth="1"/>
    <col min="15351" max="15351" width="15" bestFit="1" customWidth="1"/>
    <col min="15352" max="15352" width="68.28515625" bestFit="1" customWidth="1"/>
    <col min="15353" max="15353" width="9.140625" bestFit="1" customWidth="1"/>
    <col min="15354" max="15354" width="21.42578125" bestFit="1" customWidth="1"/>
    <col min="15355" max="15357" width="15.42578125" bestFit="1" customWidth="1"/>
    <col min="15358" max="15358" width="8.85546875" bestFit="1" customWidth="1"/>
    <col min="15359" max="15359" width="10" bestFit="1" customWidth="1"/>
    <col min="15360" max="15360" width="12.7109375" bestFit="1" customWidth="1"/>
    <col min="15361" max="15361" width="8.85546875" bestFit="1" customWidth="1"/>
    <col min="15362" max="15362" width="17.7109375" bestFit="1" customWidth="1"/>
    <col min="15363" max="15363" width="13" bestFit="1" customWidth="1"/>
    <col min="15364" max="15364" width="13.42578125" bestFit="1" customWidth="1"/>
    <col min="15365" max="15365" width="10.85546875" bestFit="1" customWidth="1"/>
    <col min="15366" max="15366" width="26.85546875" bestFit="1" customWidth="1"/>
    <col min="15367" max="15367" width="20.85546875" bestFit="1" customWidth="1"/>
    <col min="15368" max="15368" width="30.42578125" bestFit="1" customWidth="1"/>
    <col min="15369" max="15369" width="19.42578125" bestFit="1" customWidth="1"/>
    <col min="15370" max="15370" width="20.28515625" bestFit="1" customWidth="1"/>
    <col min="15371" max="15372" width="12" bestFit="1" customWidth="1"/>
    <col min="15373" max="15374" width="12.5703125" bestFit="1" customWidth="1"/>
    <col min="15375" max="15375" width="11.7109375" bestFit="1" customWidth="1"/>
    <col min="15376" max="15376" width="19" bestFit="1" customWidth="1"/>
    <col min="15377" max="15377" width="12.140625" bestFit="1" customWidth="1"/>
    <col min="15607" max="15607" width="15" bestFit="1" customWidth="1"/>
    <col min="15608" max="15608" width="68.28515625" bestFit="1" customWidth="1"/>
    <col min="15609" max="15609" width="9.140625" bestFit="1" customWidth="1"/>
    <col min="15610" max="15610" width="21.42578125" bestFit="1" customWidth="1"/>
    <col min="15611" max="15613" width="15.42578125" bestFit="1" customWidth="1"/>
    <col min="15614" max="15614" width="8.85546875" bestFit="1" customWidth="1"/>
    <col min="15615" max="15615" width="10" bestFit="1" customWidth="1"/>
    <col min="15616" max="15616" width="12.7109375" bestFit="1" customWidth="1"/>
    <col min="15617" max="15617" width="8.85546875" bestFit="1" customWidth="1"/>
    <col min="15618" max="15618" width="17.7109375" bestFit="1" customWidth="1"/>
    <col min="15619" max="15619" width="13" bestFit="1" customWidth="1"/>
    <col min="15620" max="15620" width="13.42578125" bestFit="1" customWidth="1"/>
    <col min="15621" max="15621" width="10.85546875" bestFit="1" customWidth="1"/>
    <col min="15622" max="15622" width="26.85546875" bestFit="1" customWidth="1"/>
    <col min="15623" max="15623" width="20.85546875" bestFit="1" customWidth="1"/>
    <col min="15624" max="15624" width="30.42578125" bestFit="1" customWidth="1"/>
    <col min="15625" max="15625" width="19.42578125" bestFit="1" customWidth="1"/>
    <col min="15626" max="15626" width="20.28515625" bestFit="1" customWidth="1"/>
    <col min="15627" max="15628" width="12" bestFit="1" customWidth="1"/>
    <col min="15629" max="15630" width="12.5703125" bestFit="1" customWidth="1"/>
    <col min="15631" max="15631" width="11.7109375" bestFit="1" customWidth="1"/>
    <col min="15632" max="15632" width="19" bestFit="1" customWidth="1"/>
    <col min="15633" max="15633" width="12.140625" bestFit="1" customWidth="1"/>
    <col min="15863" max="15863" width="15" bestFit="1" customWidth="1"/>
    <col min="15864" max="15864" width="68.28515625" bestFit="1" customWidth="1"/>
    <col min="15865" max="15865" width="9.140625" bestFit="1" customWidth="1"/>
    <col min="15866" max="15866" width="21.42578125" bestFit="1" customWidth="1"/>
    <col min="15867" max="15869" width="15.42578125" bestFit="1" customWidth="1"/>
    <col min="15870" max="15870" width="8.85546875" bestFit="1" customWidth="1"/>
    <col min="15871" max="15871" width="10" bestFit="1" customWidth="1"/>
    <col min="15872" max="15872" width="12.7109375" bestFit="1" customWidth="1"/>
    <col min="15873" max="15873" width="8.85546875" bestFit="1" customWidth="1"/>
    <col min="15874" max="15874" width="17.7109375" bestFit="1" customWidth="1"/>
    <col min="15875" max="15875" width="13" bestFit="1" customWidth="1"/>
    <col min="15876" max="15876" width="13.42578125" bestFit="1" customWidth="1"/>
    <col min="15877" max="15877" width="10.85546875" bestFit="1" customWidth="1"/>
    <col min="15878" max="15878" width="26.85546875" bestFit="1" customWidth="1"/>
    <col min="15879" max="15879" width="20.85546875" bestFit="1" customWidth="1"/>
    <col min="15880" max="15880" width="30.42578125" bestFit="1" customWidth="1"/>
    <col min="15881" max="15881" width="19.42578125" bestFit="1" customWidth="1"/>
    <col min="15882" max="15882" width="20.28515625" bestFit="1" customWidth="1"/>
    <col min="15883" max="15884" width="12" bestFit="1" customWidth="1"/>
    <col min="15885" max="15886" width="12.5703125" bestFit="1" customWidth="1"/>
    <col min="15887" max="15887" width="11.7109375" bestFit="1" customWidth="1"/>
    <col min="15888" max="15888" width="19" bestFit="1" customWidth="1"/>
    <col min="15889" max="15889" width="12.140625" bestFit="1" customWidth="1"/>
    <col min="16119" max="16119" width="15" bestFit="1" customWidth="1"/>
    <col min="16120" max="16120" width="68.28515625" bestFit="1" customWidth="1"/>
    <col min="16121" max="16121" width="9.140625" bestFit="1" customWidth="1"/>
    <col min="16122" max="16122" width="21.42578125" bestFit="1" customWidth="1"/>
    <col min="16123" max="16125" width="15.42578125" bestFit="1" customWidth="1"/>
    <col min="16126" max="16126" width="8.85546875" bestFit="1" customWidth="1"/>
    <col min="16127" max="16127" width="10" bestFit="1" customWidth="1"/>
    <col min="16128" max="16128" width="12.7109375" bestFit="1" customWidth="1"/>
    <col min="16129" max="16129" width="8.85546875" bestFit="1" customWidth="1"/>
    <col min="16130" max="16130" width="17.7109375" bestFit="1" customWidth="1"/>
    <col min="16131" max="16131" width="13" bestFit="1" customWidth="1"/>
    <col min="16132" max="16132" width="13.42578125" bestFit="1" customWidth="1"/>
    <col min="16133" max="16133" width="10.85546875" bestFit="1" customWidth="1"/>
    <col min="16134" max="16134" width="26.85546875" bestFit="1" customWidth="1"/>
    <col min="16135" max="16135" width="20.85546875" bestFit="1" customWidth="1"/>
    <col min="16136" max="16136" width="30.42578125" bestFit="1" customWidth="1"/>
    <col min="16137" max="16137" width="19.42578125" bestFit="1" customWidth="1"/>
    <col min="16138" max="16138" width="20.28515625" bestFit="1" customWidth="1"/>
    <col min="16139" max="16140" width="12" bestFit="1" customWidth="1"/>
    <col min="16141" max="16142" width="12.5703125" bestFit="1" customWidth="1"/>
    <col min="16143" max="16143" width="11.7109375" bestFit="1" customWidth="1"/>
    <col min="16144" max="16144" width="19" bestFit="1" customWidth="1"/>
    <col min="16145" max="16145" width="12.140625" bestFit="1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x14ac:dyDescent="0.25">
      <c r="A2" s="1" t="s">
        <v>9068</v>
      </c>
      <c r="C2" t="str">
        <f t="shared" ref="C2:C66" si="0">CONCATENATE(LEFT(T2,3),RIGHT(A2,8))</f>
        <v>KIO40129764</v>
      </c>
      <c r="D2" t="s">
        <v>8689</v>
      </c>
      <c r="E2" s="24" t="s">
        <v>9069</v>
      </c>
      <c r="F2" s="61">
        <v>1358.5</v>
      </c>
      <c r="G2" s="3">
        <v>10.5</v>
      </c>
      <c r="H2" s="4" t="s">
        <v>8690</v>
      </c>
      <c r="I2">
        <v>12</v>
      </c>
      <c r="J2" s="37">
        <v>1</v>
      </c>
      <c r="K2" s="4"/>
      <c r="L2" s="66">
        <f>((ARTICULOS_LADIAR[[#This Row],[P. Compra]]*(1+ARTICULOS_LADIAR[[#This Row],[IVA]]%))/ARTICULOS_LADIAR[[#This Row],[UnidFact]])+ARTICULOS_LADIAR[[#This Row],[CostoFlete]]</f>
        <v>1501.1424999999999</v>
      </c>
      <c r="M2">
        <v>35</v>
      </c>
      <c r="N2" s="68">
        <f>IF(L2&gt;=20,MROUND((L2*(1+(ARTICULOS_LADIAR[[#This Row],[IVA]]/100)))/(1-M2/100),50),20)</f>
        <v>2550</v>
      </c>
      <c r="O2" s="3">
        <f>MROUND((ARTICULOS_LADIAR[[#This Row],[Precio]]/0.6),50)</f>
        <v>4250</v>
      </c>
      <c r="P2" t="s">
        <v>8693</v>
      </c>
      <c r="Q2">
        <v>4</v>
      </c>
      <c r="R2" s="3">
        <f>ARTICULOS_LADIAR[[#This Row],[Bulto]]+ARTICULOS_LADIAR[[#This Row],[Minimo]]</f>
        <v>16</v>
      </c>
      <c r="S2" t="s">
        <v>70</v>
      </c>
      <c r="T2" t="s">
        <v>27</v>
      </c>
      <c r="U2" t="s">
        <v>8</v>
      </c>
      <c r="V2" t="s">
        <v>9070</v>
      </c>
      <c r="W2" t="s">
        <v>8692</v>
      </c>
      <c r="X2">
        <v>1</v>
      </c>
      <c r="Y2">
        <v>4</v>
      </c>
      <c r="Z2"/>
      <c r="AB2" s="80">
        <f>ARTICULOS_LADIAR[[#This Row],[Costo]]*ARTICULOS_LADIAR[[#This Row],[Pedido]]</f>
        <v>0</v>
      </c>
      <c r="AD2"/>
      <c r="AF2" s="2"/>
      <c r="AH2" s="2" t="str">
        <f>IF(AND(ARTICULOS_LADIAR[[#This Row],[FechaVenc]]=0,ARTICULOS_LADIAR[[#This Row],[DiasVenc]]=0),"",ARTICULOS_LADIAR[[#This Row],[FechaVenc]]-ARTICULOS_LADIAR[[#This Row],[DiasVenc]])</f>
        <v/>
      </c>
      <c r="AK2"/>
      <c r="AM2"/>
      <c r="AO2" s="30" t="s">
        <v>8689</v>
      </c>
    </row>
    <row r="3" spans="1:43" x14ac:dyDescent="0.25">
      <c r="A3" s="1" t="s">
        <v>12178</v>
      </c>
      <c r="C3" t="str">
        <f t="shared" si="0"/>
        <v>KIO40141209</v>
      </c>
      <c r="D3" t="s">
        <v>8689</v>
      </c>
      <c r="E3" s="24" t="s">
        <v>12179</v>
      </c>
      <c r="F3" s="61">
        <f>F2</f>
        <v>1358.5</v>
      </c>
      <c r="G3" s="3">
        <v>10.5</v>
      </c>
      <c r="H3" s="4" t="s">
        <v>8690</v>
      </c>
      <c r="I3">
        <v>12</v>
      </c>
      <c r="J3" s="37">
        <v>1</v>
      </c>
      <c r="K3" s="4"/>
      <c r="L3" s="66">
        <f>((ARTICULOS_LADIAR[[#This Row],[P. Compra]]*(1+ARTICULOS_LADIAR[[#This Row],[IVA]]%))/ARTICULOS_LADIAR[[#This Row],[UnidFact]])+ARTICULOS_LADIAR[[#This Row],[CostoFlete]]</f>
        <v>1501.1424999999999</v>
      </c>
      <c r="M3">
        <v>35</v>
      </c>
      <c r="N3" s="68">
        <f>IF(L3&gt;=20,MROUND((L3*(1+(ARTICULOS_LADIAR[[#This Row],[IVA]]/100)))/(1-M3/100),50),20)</f>
        <v>2550</v>
      </c>
      <c r="O3" s="3">
        <f>MROUND((ARTICULOS_LADIAR[[#This Row],[Precio]]/0.6),50)</f>
        <v>4250</v>
      </c>
      <c r="P3" t="s">
        <v>8693</v>
      </c>
      <c r="Q3">
        <v>4</v>
      </c>
      <c r="R3" s="3">
        <f>ARTICULOS_LADIAR[[#This Row],[Bulto]]+ARTICULOS_LADIAR[[#This Row],[Minimo]]</f>
        <v>16</v>
      </c>
      <c r="S3" t="s">
        <v>70</v>
      </c>
      <c r="T3" t="s">
        <v>27</v>
      </c>
      <c r="U3" t="s">
        <v>8</v>
      </c>
      <c r="V3" t="s">
        <v>9085</v>
      </c>
      <c r="W3" t="s">
        <v>8692</v>
      </c>
      <c r="X3">
        <v>1</v>
      </c>
      <c r="Y3">
        <v>0</v>
      </c>
      <c r="Z3"/>
      <c r="AB3" s="80">
        <f>ARTICULOS_LADIAR[[#This Row],[Costo]]*ARTICULOS_LADIAR[[#This Row],[Pedido]]</f>
        <v>0</v>
      </c>
      <c r="AD3"/>
      <c r="AH3" s="2" t="str">
        <f>IF(AND(ARTICULOS_LADIAR[[#This Row],[FechaVenc]]=0,ARTICULOS_LADIAR[[#This Row],[DiasVenc]]=0),"",ARTICULOS_LADIAR[[#This Row],[FechaVenc]]-ARTICULOS_LADIAR[[#This Row],[DiasVenc]])</f>
        <v/>
      </c>
      <c r="AK3"/>
      <c r="AM3"/>
      <c r="AO3" s="30" t="s">
        <v>8689</v>
      </c>
    </row>
    <row r="4" spans="1:43" ht="15" customHeight="1" x14ac:dyDescent="0.25">
      <c r="A4" s="24" t="s">
        <v>9071</v>
      </c>
      <c r="B4" s="24" t="s">
        <v>11770</v>
      </c>
      <c r="C4" t="str">
        <f t="shared" si="0"/>
        <v>KIO40141186</v>
      </c>
      <c r="D4" t="s">
        <v>8689</v>
      </c>
      <c r="E4" s="24" t="s">
        <v>9072</v>
      </c>
      <c r="F4" s="61">
        <v>395.77</v>
      </c>
      <c r="G4" s="3">
        <v>10.5</v>
      </c>
      <c r="H4" s="4" t="s">
        <v>8690</v>
      </c>
      <c r="I4">
        <v>12</v>
      </c>
      <c r="J4" s="37">
        <v>1</v>
      </c>
      <c r="K4" s="4"/>
      <c r="L4" s="66">
        <f>((ARTICULOS_LADIAR[[#This Row],[P. Compra]]*(1+ARTICULOS_LADIAR[[#This Row],[IVA]]%))/ARTICULOS_LADIAR[[#This Row],[UnidFact]])+ARTICULOS_LADIAR[[#This Row],[CostoFlete]]</f>
        <v>437.32584999999995</v>
      </c>
      <c r="M4">
        <v>35</v>
      </c>
      <c r="N4" s="68">
        <f>IF(L4&gt;=20,MROUND((L4*(1+(ARTICULOS_LADIAR[[#This Row],[IVA]]/100)))/(1-M4/100),50),20)</f>
        <v>750</v>
      </c>
      <c r="O4" s="3">
        <f>MROUND((ARTICULOS_LADIAR[[#This Row],[Precio]]/0.6),50)</f>
        <v>1250</v>
      </c>
      <c r="P4" t="s">
        <v>8693</v>
      </c>
      <c r="Q4">
        <v>4</v>
      </c>
      <c r="R4" s="3">
        <f>ARTICULOS_LADIAR[[#This Row],[Bulto]]+ARTICULOS_LADIAR[[#This Row],[Minimo]]</f>
        <v>16</v>
      </c>
      <c r="S4" t="s">
        <v>32</v>
      </c>
      <c r="T4" t="s">
        <v>27</v>
      </c>
      <c r="U4" t="s">
        <v>8</v>
      </c>
      <c r="V4" t="s">
        <v>9073</v>
      </c>
      <c r="W4" t="s">
        <v>8692</v>
      </c>
      <c r="X4">
        <v>1</v>
      </c>
      <c r="Y4">
        <v>0</v>
      </c>
      <c r="Z4"/>
      <c r="AB4" s="80">
        <f>ARTICULOS_LADIAR[[#This Row],[Costo]]*ARTICULOS_LADIAR[[#This Row],[Pedido]]</f>
        <v>0</v>
      </c>
      <c r="AD4"/>
      <c r="AH4" s="2" t="str">
        <f>IF(AND(ARTICULOS_LADIAR[[#This Row],[FechaVenc]]=0,ARTICULOS_LADIAR[[#This Row],[DiasVenc]]=0),"",ARTICULOS_LADIAR[[#This Row],[FechaVenc]]-ARTICULOS_LADIAR[[#This Row],[DiasVenc]])</f>
        <v/>
      </c>
      <c r="AK4"/>
      <c r="AM4"/>
      <c r="AO4" s="30" t="s">
        <v>8689</v>
      </c>
    </row>
    <row r="5" spans="1:43" ht="15" customHeight="1" x14ac:dyDescent="0.25">
      <c r="A5" s="24" t="s">
        <v>9074</v>
      </c>
      <c r="C5" t="str">
        <f t="shared" si="0"/>
        <v>KIO40141179</v>
      </c>
      <c r="D5" t="s">
        <v>8689</v>
      </c>
      <c r="E5" s="24" t="s">
        <v>9075</v>
      </c>
      <c r="F5" s="61">
        <f t="shared" ref="F5:F11" si="1">F4</f>
        <v>395.77</v>
      </c>
      <c r="G5" s="3">
        <v>10.5</v>
      </c>
      <c r="H5" s="4" t="s">
        <v>8690</v>
      </c>
      <c r="I5">
        <v>12</v>
      </c>
      <c r="J5" s="37">
        <v>1</v>
      </c>
      <c r="K5" s="4"/>
      <c r="L5" s="66">
        <f>((ARTICULOS_LADIAR[[#This Row],[P. Compra]]*(1+ARTICULOS_LADIAR[[#This Row],[IVA]]%))/ARTICULOS_LADIAR[[#This Row],[UnidFact]])+ARTICULOS_LADIAR[[#This Row],[CostoFlete]]</f>
        <v>437.32584999999995</v>
      </c>
      <c r="M5">
        <v>35</v>
      </c>
      <c r="N5" s="68">
        <f>IF(L5&gt;=20,MROUND((L5*(1+(ARTICULOS_LADIAR[[#This Row],[IVA]]/100)))/(1-M5/100),50),20)</f>
        <v>750</v>
      </c>
      <c r="O5" s="3">
        <f>MROUND((ARTICULOS_LADIAR[[#This Row],[Precio]]/0.6),50)</f>
        <v>1250</v>
      </c>
      <c r="P5" t="s">
        <v>8693</v>
      </c>
      <c r="Q5">
        <v>4</v>
      </c>
      <c r="R5" s="3">
        <f>ARTICULOS_LADIAR[[#This Row],[Bulto]]+ARTICULOS_LADIAR[[#This Row],[Minimo]]</f>
        <v>16</v>
      </c>
      <c r="S5" t="s">
        <v>32</v>
      </c>
      <c r="T5" t="s">
        <v>27</v>
      </c>
      <c r="U5" t="s">
        <v>8</v>
      </c>
      <c r="V5" t="s">
        <v>9073</v>
      </c>
      <c r="W5" t="s">
        <v>8692</v>
      </c>
      <c r="X5">
        <v>1</v>
      </c>
      <c r="Y5">
        <v>0</v>
      </c>
      <c r="Z5"/>
      <c r="AB5" s="80">
        <f>ARTICULOS_LADIAR[[#This Row],[Costo]]*ARTICULOS_LADIAR[[#This Row],[Pedido]]</f>
        <v>0</v>
      </c>
      <c r="AD5"/>
      <c r="AH5" s="2" t="str">
        <f>IF(AND(ARTICULOS_LADIAR[[#This Row],[FechaVenc]]=0,ARTICULOS_LADIAR[[#This Row],[DiasVenc]]=0),"",ARTICULOS_LADIAR[[#This Row],[FechaVenc]]-ARTICULOS_LADIAR[[#This Row],[DiasVenc]])</f>
        <v/>
      </c>
      <c r="AK5"/>
      <c r="AM5"/>
      <c r="AO5" s="30" t="s">
        <v>8689</v>
      </c>
    </row>
    <row r="6" spans="1:43" ht="15" customHeight="1" x14ac:dyDescent="0.25">
      <c r="A6" s="1" t="s">
        <v>9076</v>
      </c>
      <c r="C6" t="str">
        <f t="shared" si="0"/>
        <v>KIO40613706</v>
      </c>
      <c r="D6" t="s">
        <v>8689</v>
      </c>
      <c r="E6" s="24" t="s">
        <v>12612</v>
      </c>
      <c r="F6" s="61">
        <f t="shared" si="1"/>
        <v>395.77</v>
      </c>
      <c r="G6" s="3">
        <v>10.5</v>
      </c>
      <c r="H6" s="4" t="s">
        <v>8690</v>
      </c>
      <c r="I6">
        <v>12</v>
      </c>
      <c r="J6" s="37">
        <v>1</v>
      </c>
      <c r="K6" s="4"/>
      <c r="L6" s="66">
        <f>((ARTICULOS_LADIAR[[#This Row],[P. Compra]]*(1+ARTICULOS_LADIAR[[#This Row],[IVA]]%))/ARTICULOS_LADIAR[[#This Row],[UnidFact]])+ARTICULOS_LADIAR[[#This Row],[CostoFlete]]</f>
        <v>437.32584999999995</v>
      </c>
      <c r="M6">
        <v>35</v>
      </c>
      <c r="N6" s="68">
        <f>IF(L6&gt;=20,MROUND((L6*(1+(ARTICULOS_LADIAR[[#This Row],[IVA]]/100)))/(1-M6/100),50),20)</f>
        <v>750</v>
      </c>
      <c r="O6" s="3">
        <f>MROUND((ARTICULOS_LADIAR[[#This Row],[Precio]]/0.6),50)</f>
        <v>1250</v>
      </c>
      <c r="P6" t="s">
        <v>8693</v>
      </c>
      <c r="Q6">
        <v>4</v>
      </c>
      <c r="R6" s="3">
        <f>ARTICULOS_LADIAR[[#This Row],[Bulto]]+ARTICULOS_LADIAR[[#This Row],[Minimo]]</f>
        <v>16</v>
      </c>
      <c r="S6" t="s">
        <v>70</v>
      </c>
      <c r="T6" t="s">
        <v>27</v>
      </c>
      <c r="U6" t="s">
        <v>8</v>
      </c>
      <c r="V6" t="s">
        <v>9070</v>
      </c>
      <c r="W6" t="s">
        <v>8692</v>
      </c>
      <c r="X6">
        <v>1</v>
      </c>
      <c r="Y6">
        <v>4</v>
      </c>
      <c r="Z6"/>
      <c r="AB6" s="80">
        <f>ARTICULOS_LADIAR[[#This Row],[Costo]]*ARTICULOS_LADIAR[[#This Row],[Pedido]]</f>
        <v>0</v>
      </c>
      <c r="AD6"/>
      <c r="AH6" s="2" t="str">
        <f>IF(AND(ARTICULOS_LADIAR[[#This Row],[FechaVenc]]=0,ARTICULOS_LADIAR[[#This Row],[DiasVenc]]=0),"",ARTICULOS_LADIAR[[#This Row],[FechaVenc]]-ARTICULOS_LADIAR[[#This Row],[DiasVenc]])</f>
        <v/>
      </c>
      <c r="AK6"/>
      <c r="AM6"/>
      <c r="AO6" s="30" t="s">
        <v>8689</v>
      </c>
    </row>
    <row r="7" spans="1:43" x14ac:dyDescent="0.25">
      <c r="A7" s="1" t="s">
        <v>9077</v>
      </c>
      <c r="C7" t="str">
        <f t="shared" si="0"/>
        <v>KIO40613607</v>
      </c>
      <c r="D7" t="s">
        <v>8689</v>
      </c>
      <c r="E7" s="24" t="s">
        <v>12613</v>
      </c>
      <c r="F7" s="61">
        <f t="shared" si="1"/>
        <v>395.77</v>
      </c>
      <c r="G7" s="3">
        <v>10.5</v>
      </c>
      <c r="H7" s="4" t="s">
        <v>8690</v>
      </c>
      <c r="I7">
        <v>12</v>
      </c>
      <c r="J7" s="37">
        <v>1</v>
      </c>
      <c r="K7" s="4"/>
      <c r="L7" s="66">
        <f>((ARTICULOS_LADIAR[[#This Row],[P. Compra]]*(1+ARTICULOS_LADIAR[[#This Row],[IVA]]%))/ARTICULOS_LADIAR[[#This Row],[UnidFact]])+ARTICULOS_LADIAR[[#This Row],[CostoFlete]]</f>
        <v>437.32584999999995</v>
      </c>
      <c r="M7">
        <v>35</v>
      </c>
      <c r="N7" s="68">
        <f>IF(L7&gt;=20,MROUND((L7*(1+(ARTICULOS_LADIAR[[#This Row],[IVA]]/100)))/(1-M7/100),50),20)</f>
        <v>750</v>
      </c>
      <c r="O7" s="3">
        <f>MROUND((ARTICULOS_LADIAR[[#This Row],[Precio]]/0.6),50)</f>
        <v>1250</v>
      </c>
      <c r="P7" t="s">
        <v>8693</v>
      </c>
      <c r="Q7">
        <v>4</v>
      </c>
      <c r="R7" s="3">
        <f>ARTICULOS_LADIAR[[#This Row],[Bulto]]+ARTICULOS_LADIAR[[#This Row],[Minimo]]</f>
        <v>16</v>
      </c>
      <c r="S7" t="s">
        <v>70</v>
      </c>
      <c r="T7" t="s">
        <v>27</v>
      </c>
      <c r="U7" t="s">
        <v>8</v>
      </c>
      <c r="V7" t="s">
        <v>9070</v>
      </c>
      <c r="W7" t="s">
        <v>8692</v>
      </c>
      <c r="X7">
        <v>1</v>
      </c>
      <c r="Y7">
        <v>0</v>
      </c>
      <c r="Z7"/>
      <c r="AB7" s="80">
        <f>ARTICULOS_LADIAR[[#This Row],[Costo]]*ARTICULOS_LADIAR[[#This Row],[Pedido]]</f>
        <v>0</v>
      </c>
      <c r="AD7"/>
      <c r="AH7" s="2" t="str">
        <f>IF(AND(ARTICULOS_LADIAR[[#This Row],[FechaVenc]]=0,ARTICULOS_LADIAR[[#This Row],[DiasVenc]]=0),"",ARTICULOS_LADIAR[[#This Row],[FechaVenc]]-ARTICULOS_LADIAR[[#This Row],[DiasVenc]])</f>
        <v/>
      </c>
      <c r="AK7"/>
      <c r="AM7"/>
      <c r="AO7" s="30" t="s">
        <v>8689</v>
      </c>
    </row>
    <row r="8" spans="1:43" x14ac:dyDescent="0.25">
      <c r="A8" s="24" t="s">
        <v>12610</v>
      </c>
      <c r="C8" t="str">
        <f t="shared" ref="C8" si="2">CONCATENATE(LEFT(T8,3),RIGHT(A8,8))</f>
        <v>KIO40143654</v>
      </c>
      <c r="D8" t="s">
        <v>8689</v>
      </c>
      <c r="E8" s="24" t="s">
        <v>12611</v>
      </c>
      <c r="F8" s="61">
        <f>F6</f>
        <v>395.77</v>
      </c>
      <c r="G8" s="3">
        <v>10.5</v>
      </c>
      <c r="H8" s="4" t="s">
        <v>8690</v>
      </c>
      <c r="I8">
        <v>12</v>
      </c>
      <c r="J8" s="37">
        <v>1</v>
      </c>
      <c r="K8" s="4"/>
      <c r="L8" s="66">
        <f>((ARTICULOS_LADIAR[[#This Row],[P. Compra]]*(1+ARTICULOS_LADIAR[[#This Row],[IVA]]%))/ARTICULOS_LADIAR[[#This Row],[UnidFact]])+ARTICULOS_LADIAR[[#This Row],[CostoFlete]]</f>
        <v>437.32584999999995</v>
      </c>
      <c r="M8">
        <v>35</v>
      </c>
      <c r="N8" s="68">
        <f>IF(L8&gt;=20,MROUND((L8*(1+(ARTICULOS_LADIAR[[#This Row],[IVA]]/100)))/(1-M8/100),50),20)</f>
        <v>750</v>
      </c>
      <c r="O8" s="3">
        <f>MROUND((ARTICULOS_LADIAR[[#This Row],[Precio]]/0.6),50)</f>
        <v>1250</v>
      </c>
      <c r="P8" t="s">
        <v>8693</v>
      </c>
      <c r="Q8">
        <v>4</v>
      </c>
      <c r="R8" s="3">
        <f>ARTICULOS_LADIAR[[#This Row],[Bulto]]+ARTICULOS_LADIAR[[#This Row],[Minimo]]</f>
        <v>16</v>
      </c>
      <c r="S8" t="s">
        <v>70</v>
      </c>
      <c r="T8" t="s">
        <v>27</v>
      </c>
      <c r="U8" t="s">
        <v>8</v>
      </c>
      <c r="V8" t="s">
        <v>9173</v>
      </c>
      <c r="W8" t="s">
        <v>8692</v>
      </c>
      <c r="X8">
        <v>1</v>
      </c>
      <c r="Y8">
        <v>0</v>
      </c>
      <c r="Z8"/>
      <c r="AB8" s="80">
        <f>ARTICULOS_LADIAR[[#This Row],[Costo]]*ARTICULOS_LADIAR[[#This Row],[Pedido]]</f>
        <v>0</v>
      </c>
      <c r="AD8"/>
      <c r="AH8" s="2" t="str">
        <f>IF(AND(ARTICULOS_LADIAR[[#This Row],[FechaVenc]]=0,ARTICULOS_LADIAR[[#This Row],[DiasVenc]]=0),"",ARTICULOS_LADIAR[[#This Row],[FechaVenc]]-ARTICULOS_LADIAR[[#This Row],[DiasVenc]])</f>
        <v/>
      </c>
      <c r="AK8"/>
      <c r="AM8"/>
      <c r="AO8" s="30" t="s">
        <v>8689</v>
      </c>
    </row>
    <row r="9" spans="1:43" x14ac:dyDescent="0.25">
      <c r="A9" s="1" t="s">
        <v>12180</v>
      </c>
      <c r="C9" t="str">
        <f t="shared" si="0"/>
        <v>KIO40143647</v>
      </c>
      <c r="D9" t="s">
        <v>8689</v>
      </c>
      <c r="E9" s="24" t="s">
        <v>12181</v>
      </c>
      <c r="F9" s="61">
        <f>F7</f>
        <v>395.77</v>
      </c>
      <c r="G9" s="3">
        <v>10.5</v>
      </c>
      <c r="H9" s="4" t="s">
        <v>8690</v>
      </c>
      <c r="I9">
        <v>12</v>
      </c>
      <c r="J9" s="37">
        <v>1</v>
      </c>
      <c r="K9" s="4"/>
      <c r="L9" s="66">
        <f>((ARTICULOS_LADIAR[[#This Row],[P. Compra]]*(1+ARTICULOS_LADIAR[[#This Row],[IVA]]%))/ARTICULOS_LADIAR[[#This Row],[UnidFact]])+ARTICULOS_LADIAR[[#This Row],[CostoFlete]]</f>
        <v>437.32584999999995</v>
      </c>
      <c r="M9">
        <v>35</v>
      </c>
      <c r="N9" s="68">
        <f>IF(L9&gt;=20,MROUND((L9*(1+(ARTICULOS_LADIAR[[#This Row],[IVA]]/100)))/(1-M9/100),50),20)</f>
        <v>750</v>
      </c>
      <c r="O9" s="3">
        <f>MROUND((ARTICULOS_LADIAR[[#This Row],[Precio]]/0.6),50)</f>
        <v>1250</v>
      </c>
      <c r="P9" t="s">
        <v>8693</v>
      </c>
      <c r="Q9">
        <v>4</v>
      </c>
      <c r="R9" s="3">
        <f>ARTICULOS_LADIAR[[#This Row],[Bulto]]+ARTICULOS_LADIAR[[#This Row],[Minimo]]</f>
        <v>16</v>
      </c>
      <c r="S9" t="s">
        <v>70</v>
      </c>
      <c r="T9" t="s">
        <v>27</v>
      </c>
      <c r="U9" t="s">
        <v>8</v>
      </c>
      <c r="V9" t="s">
        <v>9173</v>
      </c>
      <c r="W9" t="s">
        <v>8692</v>
      </c>
      <c r="X9">
        <v>1</v>
      </c>
      <c r="Y9">
        <v>0</v>
      </c>
      <c r="Z9"/>
      <c r="AB9" s="80">
        <f>ARTICULOS_LADIAR[[#This Row],[Costo]]*ARTICULOS_LADIAR[[#This Row],[Pedido]]</f>
        <v>0</v>
      </c>
      <c r="AD9"/>
      <c r="AH9" s="2" t="str">
        <f>IF(AND(ARTICULOS_LADIAR[[#This Row],[FechaVenc]]=0,ARTICULOS_LADIAR[[#This Row],[DiasVenc]]=0),"",ARTICULOS_LADIAR[[#This Row],[FechaVenc]]-ARTICULOS_LADIAR[[#This Row],[DiasVenc]])</f>
        <v/>
      </c>
      <c r="AK9"/>
      <c r="AM9"/>
      <c r="AO9" s="30" t="s">
        <v>8689</v>
      </c>
    </row>
    <row r="10" spans="1:43" x14ac:dyDescent="0.25">
      <c r="A10" s="1" t="s">
        <v>9078</v>
      </c>
      <c r="C10" t="str">
        <f t="shared" si="0"/>
        <v>KIO40484801</v>
      </c>
      <c r="D10" t="s">
        <v>8689</v>
      </c>
      <c r="E10" s="24" t="s">
        <v>9079</v>
      </c>
      <c r="F10" s="61">
        <f t="shared" si="1"/>
        <v>395.77</v>
      </c>
      <c r="G10" s="3">
        <v>10.5</v>
      </c>
      <c r="H10" s="4" t="s">
        <v>8690</v>
      </c>
      <c r="I10">
        <v>12</v>
      </c>
      <c r="J10" s="37">
        <v>1</v>
      </c>
      <c r="K10" s="4"/>
      <c r="L10" s="66">
        <f>((ARTICULOS_LADIAR[[#This Row],[P. Compra]]*(1+ARTICULOS_LADIAR[[#This Row],[IVA]]%))/ARTICULOS_LADIAR[[#This Row],[UnidFact]])+ARTICULOS_LADIAR[[#This Row],[CostoFlete]]</f>
        <v>437.32584999999995</v>
      </c>
      <c r="M10">
        <v>35</v>
      </c>
      <c r="N10" s="68">
        <f>IF(L10&gt;=20,MROUND((L10*(1+(ARTICULOS_LADIAR[[#This Row],[IVA]]/100)))/(1-M10/100),50),20)</f>
        <v>750</v>
      </c>
      <c r="O10" s="3">
        <f>MROUND((ARTICULOS_LADIAR[[#This Row],[Precio]]/0.6),50)</f>
        <v>1250</v>
      </c>
      <c r="P10" t="s">
        <v>8693</v>
      </c>
      <c r="Q10">
        <v>4</v>
      </c>
      <c r="R10" s="3">
        <f>ARTICULOS_LADIAR[[#This Row],[Bulto]]+ARTICULOS_LADIAR[[#This Row],[Minimo]]</f>
        <v>16</v>
      </c>
      <c r="S10" t="s">
        <v>70</v>
      </c>
      <c r="T10" t="s">
        <v>27</v>
      </c>
      <c r="U10" t="s">
        <v>8</v>
      </c>
      <c r="V10" t="s">
        <v>9080</v>
      </c>
      <c r="W10" t="s">
        <v>8692</v>
      </c>
      <c r="X10">
        <v>1</v>
      </c>
      <c r="Y10">
        <v>6</v>
      </c>
      <c r="Z10"/>
      <c r="AB10" s="80">
        <f>ARTICULOS_LADIAR[[#This Row],[Costo]]*ARTICULOS_LADIAR[[#This Row],[Pedido]]</f>
        <v>0</v>
      </c>
      <c r="AD10"/>
      <c r="AH10" s="2" t="str">
        <f>IF(AND(ARTICULOS_LADIAR[[#This Row],[FechaVenc]]=0,ARTICULOS_LADIAR[[#This Row],[DiasVenc]]=0),"",ARTICULOS_LADIAR[[#This Row],[FechaVenc]]-ARTICULOS_LADIAR[[#This Row],[DiasVenc]])</f>
        <v/>
      </c>
      <c r="AK10"/>
      <c r="AM10"/>
      <c r="AO10" s="30" t="s">
        <v>8689</v>
      </c>
    </row>
    <row r="11" spans="1:43" x14ac:dyDescent="0.25">
      <c r="A11" s="1" t="s">
        <v>9081</v>
      </c>
      <c r="C11" t="str">
        <f t="shared" si="0"/>
        <v>KIO40953703</v>
      </c>
      <c r="D11" t="s">
        <v>8689</v>
      </c>
      <c r="E11" s="24" t="s">
        <v>9082</v>
      </c>
      <c r="F11" s="61">
        <f t="shared" si="1"/>
        <v>395.77</v>
      </c>
      <c r="G11" s="3">
        <v>10.5</v>
      </c>
      <c r="H11" s="4" t="s">
        <v>8690</v>
      </c>
      <c r="I11">
        <v>12</v>
      </c>
      <c r="J11" s="37">
        <v>1</v>
      </c>
      <c r="K11" s="4"/>
      <c r="L11" s="66">
        <f>((ARTICULOS_LADIAR[[#This Row],[P. Compra]]*(1+ARTICULOS_LADIAR[[#This Row],[IVA]]%))/ARTICULOS_LADIAR[[#This Row],[UnidFact]])+ARTICULOS_LADIAR[[#This Row],[CostoFlete]]</f>
        <v>437.32584999999995</v>
      </c>
      <c r="M11">
        <v>35</v>
      </c>
      <c r="N11" s="68">
        <f>IF(L11&gt;=20,MROUND((L11*(1+(ARTICULOS_LADIAR[[#This Row],[IVA]]/100)))/(1-M11/100),50),20)</f>
        <v>750</v>
      </c>
      <c r="O11" s="3">
        <f>MROUND((ARTICULOS_LADIAR[[#This Row],[Precio]]/0.6),50)</f>
        <v>1250</v>
      </c>
      <c r="P11" t="s">
        <v>8693</v>
      </c>
      <c r="Q11">
        <v>4</v>
      </c>
      <c r="R11" s="3">
        <f>ARTICULOS_LADIAR[[#This Row],[Bulto]]+ARTICULOS_LADIAR[[#This Row],[Minimo]]</f>
        <v>16</v>
      </c>
      <c r="S11" t="s">
        <v>70</v>
      </c>
      <c r="T11" t="s">
        <v>27</v>
      </c>
      <c r="U11" t="s">
        <v>8</v>
      </c>
      <c r="V11" t="s">
        <v>9080</v>
      </c>
      <c r="W11" t="s">
        <v>8692</v>
      </c>
      <c r="X11">
        <v>1</v>
      </c>
      <c r="Y11">
        <v>0</v>
      </c>
      <c r="Z11"/>
      <c r="AB11" s="80">
        <f>ARTICULOS_LADIAR[[#This Row],[Costo]]*ARTICULOS_LADIAR[[#This Row],[Pedido]]</f>
        <v>0</v>
      </c>
      <c r="AD11"/>
      <c r="AH11" s="2" t="str">
        <f>IF(AND(ARTICULOS_LADIAR[[#This Row],[FechaVenc]]=0,ARTICULOS_LADIAR[[#This Row],[DiasVenc]]=0),"",ARTICULOS_LADIAR[[#This Row],[FechaVenc]]-ARTICULOS_LADIAR[[#This Row],[DiasVenc]])</f>
        <v/>
      </c>
      <c r="AK11"/>
      <c r="AM11"/>
      <c r="AO11" s="30" t="s">
        <v>8689</v>
      </c>
    </row>
    <row r="12" spans="1:43" x14ac:dyDescent="0.25">
      <c r="A12" s="1" t="s">
        <v>9083</v>
      </c>
      <c r="C12" t="str">
        <f t="shared" si="0"/>
        <v>KIO40133570</v>
      </c>
      <c r="D12" t="s">
        <v>8689</v>
      </c>
      <c r="E12" s="1" t="s">
        <v>9084</v>
      </c>
      <c r="F12" s="61">
        <v>635.75</v>
      </c>
      <c r="G12" s="3">
        <v>10.5</v>
      </c>
      <c r="H12" s="4" t="s">
        <v>8690</v>
      </c>
      <c r="I12">
        <v>12</v>
      </c>
      <c r="J12" s="37">
        <v>1</v>
      </c>
      <c r="K12" s="4"/>
      <c r="L12" s="66">
        <f>((ARTICULOS_LADIAR[[#This Row],[P. Compra]]*(1+ARTICULOS_LADIAR[[#This Row],[IVA]]%))/ARTICULOS_LADIAR[[#This Row],[UnidFact]])+ARTICULOS_LADIAR[[#This Row],[CostoFlete]]</f>
        <v>702.50374999999997</v>
      </c>
      <c r="M12">
        <v>35</v>
      </c>
      <c r="N12" s="68">
        <f>IF(L12&gt;=20,MROUND((L12*(1+(ARTICULOS_LADIAR[[#This Row],[IVA]]/100)))/(1-M12/100),50),20)</f>
        <v>1200</v>
      </c>
      <c r="O12" s="3">
        <f>MROUND((ARTICULOS_LADIAR[[#This Row],[Precio]]/0.6),50)</f>
        <v>2000</v>
      </c>
      <c r="P12" t="s">
        <v>8693</v>
      </c>
      <c r="Q12">
        <v>4</v>
      </c>
      <c r="R12" s="3">
        <f>ARTICULOS_LADIAR[[#This Row],[Bulto]]+ARTICULOS_LADIAR[[#This Row],[Minimo]]</f>
        <v>16</v>
      </c>
      <c r="S12" t="s">
        <v>70</v>
      </c>
      <c r="T12" t="s">
        <v>27</v>
      </c>
      <c r="U12" t="s">
        <v>8</v>
      </c>
      <c r="V12" t="s">
        <v>9085</v>
      </c>
      <c r="W12" t="s">
        <v>8692</v>
      </c>
      <c r="X12">
        <v>1</v>
      </c>
      <c r="Y12">
        <v>0</v>
      </c>
      <c r="Z12"/>
      <c r="AB12" s="80">
        <f>ARTICULOS_LADIAR[[#This Row],[Costo]]*ARTICULOS_LADIAR[[#This Row],[Pedido]]</f>
        <v>0</v>
      </c>
      <c r="AD12"/>
      <c r="AH12" s="2" t="str">
        <f>IF(AND(ARTICULOS_LADIAR[[#This Row],[FechaVenc]]=0,ARTICULOS_LADIAR[[#This Row],[DiasVenc]]=0),"",ARTICULOS_LADIAR[[#This Row],[FechaVenc]]-ARTICULOS_LADIAR[[#This Row],[DiasVenc]])</f>
        <v/>
      </c>
      <c r="AK12"/>
      <c r="AM12"/>
      <c r="AO12" s="30" t="s">
        <v>8689</v>
      </c>
    </row>
    <row r="13" spans="1:43" x14ac:dyDescent="0.25">
      <c r="A13" s="1" t="s">
        <v>9086</v>
      </c>
      <c r="C13" t="str">
        <f t="shared" si="0"/>
        <v>KIO40133594</v>
      </c>
      <c r="D13" t="s">
        <v>8689</v>
      </c>
      <c r="E13" s="1" t="s">
        <v>9087</v>
      </c>
      <c r="F13" s="61">
        <f t="shared" ref="F13:F19" si="3">F12</f>
        <v>635.75</v>
      </c>
      <c r="G13" s="3">
        <v>10.5</v>
      </c>
      <c r="H13" s="4" t="s">
        <v>8690</v>
      </c>
      <c r="I13">
        <v>12</v>
      </c>
      <c r="J13" s="37">
        <v>1</v>
      </c>
      <c r="K13" s="4"/>
      <c r="L13" s="66">
        <f>((ARTICULOS_LADIAR[[#This Row],[P. Compra]]*(1+ARTICULOS_LADIAR[[#This Row],[IVA]]%))/ARTICULOS_LADIAR[[#This Row],[UnidFact]])+ARTICULOS_LADIAR[[#This Row],[CostoFlete]]</f>
        <v>702.50374999999997</v>
      </c>
      <c r="M13">
        <v>35</v>
      </c>
      <c r="N13" s="68">
        <f>IF(L13&gt;=20,MROUND((L13*(1+(ARTICULOS_LADIAR[[#This Row],[IVA]]/100)))/(1-M13/100),50),20)</f>
        <v>1200</v>
      </c>
      <c r="O13" s="3">
        <f>MROUND((ARTICULOS_LADIAR[[#This Row],[Precio]]/0.6),50)</f>
        <v>2000</v>
      </c>
      <c r="P13" t="s">
        <v>8693</v>
      </c>
      <c r="Q13">
        <v>4</v>
      </c>
      <c r="R13" s="3">
        <f>ARTICULOS_LADIAR[[#This Row],[Bulto]]+ARTICULOS_LADIAR[[#This Row],[Minimo]]</f>
        <v>16</v>
      </c>
      <c r="S13" t="s">
        <v>70</v>
      </c>
      <c r="T13" t="s">
        <v>27</v>
      </c>
      <c r="U13" t="s">
        <v>8</v>
      </c>
      <c r="V13" t="s">
        <v>9085</v>
      </c>
      <c r="W13" t="s">
        <v>8692</v>
      </c>
      <c r="X13">
        <v>1</v>
      </c>
      <c r="Y13">
        <v>4</v>
      </c>
      <c r="Z13"/>
      <c r="AB13" s="80">
        <f>ARTICULOS_LADIAR[[#This Row],[Costo]]*ARTICULOS_LADIAR[[#This Row],[Pedido]]</f>
        <v>0</v>
      </c>
      <c r="AD13"/>
      <c r="AH13" s="2" t="str">
        <f>IF(AND(ARTICULOS_LADIAR[[#This Row],[FechaVenc]]=0,ARTICULOS_LADIAR[[#This Row],[DiasVenc]]=0),"",ARTICULOS_LADIAR[[#This Row],[FechaVenc]]-ARTICULOS_LADIAR[[#This Row],[DiasVenc]])</f>
        <v/>
      </c>
      <c r="AK13"/>
      <c r="AM13"/>
      <c r="AO13" s="30" t="s">
        <v>8689</v>
      </c>
    </row>
    <row r="14" spans="1:43" x14ac:dyDescent="0.25">
      <c r="A14" s="1" t="s">
        <v>9088</v>
      </c>
      <c r="C14" t="str">
        <f t="shared" si="0"/>
        <v>KIO40133587</v>
      </c>
      <c r="D14" t="s">
        <v>8689</v>
      </c>
      <c r="E14" s="1" t="s">
        <v>9089</v>
      </c>
      <c r="F14" s="61">
        <f t="shared" si="3"/>
        <v>635.75</v>
      </c>
      <c r="G14" s="3">
        <v>10.5</v>
      </c>
      <c r="H14" s="4" t="s">
        <v>8690</v>
      </c>
      <c r="I14">
        <v>12</v>
      </c>
      <c r="J14" s="37">
        <v>1</v>
      </c>
      <c r="K14" s="4"/>
      <c r="L14" s="66">
        <f>((ARTICULOS_LADIAR[[#This Row],[P. Compra]]*(1+ARTICULOS_LADIAR[[#This Row],[IVA]]%))/ARTICULOS_LADIAR[[#This Row],[UnidFact]])+ARTICULOS_LADIAR[[#This Row],[CostoFlete]]</f>
        <v>702.50374999999997</v>
      </c>
      <c r="M14">
        <v>35</v>
      </c>
      <c r="N14" s="68">
        <f>IF(L14&gt;=20,MROUND((L14*(1+(ARTICULOS_LADIAR[[#This Row],[IVA]]/100)))/(1-M14/100),50),20)</f>
        <v>1200</v>
      </c>
      <c r="O14" s="3">
        <f>MROUND((ARTICULOS_LADIAR[[#This Row],[Precio]]/0.6),50)</f>
        <v>2000</v>
      </c>
      <c r="P14" t="s">
        <v>8693</v>
      </c>
      <c r="Q14">
        <v>4</v>
      </c>
      <c r="R14" s="3">
        <f>ARTICULOS_LADIAR[[#This Row],[Bulto]]+ARTICULOS_LADIAR[[#This Row],[Minimo]]</f>
        <v>16</v>
      </c>
      <c r="S14" t="s">
        <v>70</v>
      </c>
      <c r="T14" t="s">
        <v>27</v>
      </c>
      <c r="U14" t="s">
        <v>8</v>
      </c>
      <c r="V14" t="s">
        <v>9085</v>
      </c>
      <c r="W14" t="s">
        <v>8692</v>
      </c>
      <c r="X14">
        <v>1</v>
      </c>
      <c r="Y14">
        <v>6</v>
      </c>
      <c r="Z14"/>
      <c r="AB14" s="80">
        <f>ARTICULOS_LADIAR[[#This Row],[Costo]]*ARTICULOS_LADIAR[[#This Row],[Pedido]]</f>
        <v>0</v>
      </c>
      <c r="AD14"/>
      <c r="AH14" s="2" t="str">
        <f>IF(AND(ARTICULOS_LADIAR[[#This Row],[FechaVenc]]=0,ARTICULOS_LADIAR[[#This Row],[DiasVenc]]=0),"",ARTICULOS_LADIAR[[#This Row],[FechaVenc]]-ARTICULOS_LADIAR[[#This Row],[DiasVenc]])</f>
        <v/>
      </c>
      <c r="AK14"/>
      <c r="AM14"/>
      <c r="AO14" s="30" t="s">
        <v>8689</v>
      </c>
    </row>
    <row r="15" spans="1:43" x14ac:dyDescent="0.25">
      <c r="A15" s="1" t="s">
        <v>9090</v>
      </c>
      <c r="C15" t="str">
        <f t="shared" si="0"/>
        <v>KIO40133600</v>
      </c>
      <c r="D15" t="s">
        <v>8689</v>
      </c>
      <c r="E15" s="1" t="s">
        <v>9091</v>
      </c>
      <c r="F15" s="61">
        <f t="shared" si="3"/>
        <v>635.75</v>
      </c>
      <c r="G15" s="3">
        <v>10.5</v>
      </c>
      <c r="H15" s="4" t="s">
        <v>8690</v>
      </c>
      <c r="I15">
        <v>12</v>
      </c>
      <c r="J15" s="37">
        <v>1</v>
      </c>
      <c r="K15" s="4"/>
      <c r="L15" s="66">
        <f>((ARTICULOS_LADIAR[[#This Row],[P. Compra]]*(1+ARTICULOS_LADIAR[[#This Row],[IVA]]%))/ARTICULOS_LADIAR[[#This Row],[UnidFact]])+ARTICULOS_LADIAR[[#This Row],[CostoFlete]]</f>
        <v>702.50374999999997</v>
      </c>
      <c r="M15">
        <v>35</v>
      </c>
      <c r="N15" s="68">
        <f>IF(L15&gt;=20,MROUND((L15*(1+(ARTICULOS_LADIAR[[#This Row],[IVA]]/100)))/(1-M15/100),50),20)</f>
        <v>1200</v>
      </c>
      <c r="O15" s="3">
        <f>MROUND((ARTICULOS_LADIAR[[#This Row],[Precio]]/0.6),50)</f>
        <v>2000</v>
      </c>
      <c r="P15" t="s">
        <v>8693</v>
      </c>
      <c r="Q15">
        <v>4</v>
      </c>
      <c r="R15" s="3">
        <f>ARTICULOS_LADIAR[[#This Row],[Bulto]]+ARTICULOS_LADIAR[[#This Row],[Minimo]]</f>
        <v>16</v>
      </c>
      <c r="S15" t="s">
        <v>70</v>
      </c>
      <c r="T15" t="s">
        <v>27</v>
      </c>
      <c r="U15" t="s">
        <v>8</v>
      </c>
      <c r="V15" t="s">
        <v>9085</v>
      </c>
      <c r="W15" t="s">
        <v>8692</v>
      </c>
      <c r="X15">
        <v>1</v>
      </c>
      <c r="Y15">
        <v>6</v>
      </c>
      <c r="Z15"/>
      <c r="AB15" s="80">
        <f>ARTICULOS_LADIAR[[#This Row],[Costo]]*ARTICULOS_LADIAR[[#This Row],[Pedido]]</f>
        <v>0</v>
      </c>
      <c r="AD15"/>
      <c r="AH15" s="2" t="str">
        <f>IF(AND(ARTICULOS_LADIAR[[#This Row],[FechaVenc]]=0,ARTICULOS_LADIAR[[#This Row],[DiasVenc]]=0),"",ARTICULOS_LADIAR[[#This Row],[FechaVenc]]-ARTICULOS_LADIAR[[#This Row],[DiasVenc]])</f>
        <v/>
      </c>
      <c r="AK15"/>
      <c r="AM15"/>
      <c r="AO15" s="30" t="s">
        <v>8689</v>
      </c>
    </row>
    <row r="16" spans="1:43" x14ac:dyDescent="0.25">
      <c r="A16" s="1" t="s">
        <v>9092</v>
      </c>
      <c r="C16" t="str">
        <f t="shared" si="0"/>
        <v>KIO40991910</v>
      </c>
      <c r="D16" t="s">
        <v>8689</v>
      </c>
      <c r="E16" s="24" t="s">
        <v>9093</v>
      </c>
      <c r="F16" s="61">
        <f t="shared" si="3"/>
        <v>635.75</v>
      </c>
      <c r="G16" s="3">
        <v>10.5</v>
      </c>
      <c r="H16" s="4" t="s">
        <v>8690</v>
      </c>
      <c r="I16">
        <v>12</v>
      </c>
      <c r="J16" s="37">
        <v>1</v>
      </c>
      <c r="K16" s="4"/>
      <c r="L16" s="66">
        <f>((ARTICULOS_LADIAR[[#This Row],[P. Compra]]*(1+ARTICULOS_LADIAR[[#This Row],[IVA]]%))/ARTICULOS_LADIAR[[#This Row],[UnidFact]])+ARTICULOS_LADIAR[[#This Row],[CostoFlete]]</f>
        <v>702.50374999999997</v>
      </c>
      <c r="M16">
        <v>35</v>
      </c>
      <c r="N16" s="68">
        <f>IF(L16&gt;=20,MROUND((L16*(1+(ARTICULOS_LADIAR[[#This Row],[IVA]]/100)))/(1-M16/100),50),20)</f>
        <v>1200</v>
      </c>
      <c r="O16" s="3">
        <f>MROUND((ARTICULOS_LADIAR[[#This Row],[Precio]]/0.6),50)</f>
        <v>2000</v>
      </c>
      <c r="P16" t="s">
        <v>8693</v>
      </c>
      <c r="Q16">
        <v>4</v>
      </c>
      <c r="R16" s="3">
        <f>ARTICULOS_LADIAR[[#This Row],[Bulto]]+ARTICULOS_LADIAR[[#This Row],[Minimo]]</f>
        <v>16</v>
      </c>
      <c r="S16" t="s">
        <v>32</v>
      </c>
      <c r="T16" t="s">
        <v>27</v>
      </c>
      <c r="U16" t="s">
        <v>8</v>
      </c>
      <c r="V16" t="s">
        <v>9073</v>
      </c>
      <c r="W16" t="s">
        <v>8692</v>
      </c>
      <c r="X16">
        <v>1</v>
      </c>
      <c r="Y16">
        <v>0</v>
      </c>
      <c r="Z16"/>
      <c r="AB16" s="80">
        <f>ARTICULOS_LADIAR[[#This Row],[Costo]]*ARTICULOS_LADIAR[[#This Row],[Pedido]]</f>
        <v>0</v>
      </c>
      <c r="AD16"/>
      <c r="AH16" s="2" t="str">
        <f>IF(AND(ARTICULOS_LADIAR[[#This Row],[FechaVenc]]=0,ARTICULOS_LADIAR[[#This Row],[DiasVenc]]=0),"",ARTICULOS_LADIAR[[#This Row],[FechaVenc]]-ARTICULOS_LADIAR[[#This Row],[DiasVenc]])</f>
        <v/>
      </c>
      <c r="AK16"/>
      <c r="AM16"/>
      <c r="AO16" s="30" t="s">
        <v>8689</v>
      </c>
    </row>
    <row r="17" spans="1:41" x14ac:dyDescent="0.25">
      <c r="A17" s="1" t="s">
        <v>9094</v>
      </c>
      <c r="B17" s="24" t="s">
        <v>11771</v>
      </c>
      <c r="C17" t="str">
        <f t="shared" si="0"/>
        <v>KIO40375000</v>
      </c>
      <c r="D17" t="s">
        <v>8689</v>
      </c>
      <c r="E17" s="24" t="s">
        <v>9095</v>
      </c>
      <c r="F17" s="61">
        <f t="shared" si="3"/>
        <v>635.75</v>
      </c>
      <c r="G17" s="3">
        <v>10.5</v>
      </c>
      <c r="H17" s="4" t="s">
        <v>8690</v>
      </c>
      <c r="I17">
        <v>12</v>
      </c>
      <c r="J17" s="37">
        <v>1</v>
      </c>
      <c r="K17" s="4"/>
      <c r="L17" s="66">
        <f>((ARTICULOS_LADIAR[[#This Row],[P. Compra]]*(1+ARTICULOS_LADIAR[[#This Row],[IVA]]%))/ARTICULOS_LADIAR[[#This Row],[UnidFact]])+ARTICULOS_LADIAR[[#This Row],[CostoFlete]]</f>
        <v>702.50374999999997</v>
      </c>
      <c r="M17">
        <v>35</v>
      </c>
      <c r="N17" s="68">
        <f>IF(L17&gt;=20,MROUND((L17*(1+(ARTICULOS_LADIAR[[#This Row],[IVA]]/100)))/(1-M17/100),50),20)</f>
        <v>1200</v>
      </c>
      <c r="O17" s="3">
        <f>MROUND((ARTICULOS_LADIAR[[#This Row],[Precio]]/0.6),50)</f>
        <v>2000</v>
      </c>
      <c r="P17" t="s">
        <v>8693</v>
      </c>
      <c r="Q17">
        <v>4</v>
      </c>
      <c r="R17" s="3">
        <f>ARTICULOS_LADIAR[[#This Row],[Bulto]]+ARTICULOS_LADIAR[[#This Row],[Minimo]]</f>
        <v>16</v>
      </c>
      <c r="S17" t="s">
        <v>32</v>
      </c>
      <c r="T17" t="s">
        <v>27</v>
      </c>
      <c r="U17" t="s">
        <v>8</v>
      </c>
      <c r="V17" t="s">
        <v>9073</v>
      </c>
      <c r="W17" t="s">
        <v>8692</v>
      </c>
      <c r="X17">
        <v>1</v>
      </c>
      <c r="Y17">
        <v>0</v>
      </c>
      <c r="Z17"/>
      <c r="AB17" s="80">
        <f>ARTICULOS_LADIAR[[#This Row],[Costo]]*ARTICULOS_LADIAR[[#This Row],[Pedido]]</f>
        <v>0</v>
      </c>
      <c r="AD17"/>
      <c r="AH17" s="2" t="str">
        <f>IF(AND(ARTICULOS_LADIAR[[#This Row],[FechaVenc]]=0,ARTICULOS_LADIAR[[#This Row],[DiasVenc]]=0),"",ARTICULOS_LADIAR[[#This Row],[FechaVenc]]-ARTICULOS_LADIAR[[#This Row],[DiasVenc]])</f>
        <v/>
      </c>
      <c r="AK17"/>
      <c r="AM17"/>
      <c r="AO17" s="30" t="s">
        <v>8689</v>
      </c>
    </row>
    <row r="18" spans="1:41" x14ac:dyDescent="0.25">
      <c r="A18" s="1" t="s">
        <v>9096</v>
      </c>
      <c r="C18" t="str">
        <f t="shared" si="0"/>
        <v>KIO40614000</v>
      </c>
      <c r="D18" t="s">
        <v>8689</v>
      </c>
      <c r="E18" s="24" t="s">
        <v>9097</v>
      </c>
      <c r="F18" s="61">
        <f t="shared" si="3"/>
        <v>635.75</v>
      </c>
      <c r="G18" s="3">
        <v>10.5</v>
      </c>
      <c r="H18" s="4" t="s">
        <v>8690</v>
      </c>
      <c r="I18">
        <v>12</v>
      </c>
      <c r="J18" s="37">
        <v>1</v>
      </c>
      <c r="K18" s="4"/>
      <c r="L18" s="66">
        <f>((ARTICULOS_LADIAR[[#This Row],[P. Compra]]*(1+ARTICULOS_LADIAR[[#This Row],[IVA]]%))/ARTICULOS_LADIAR[[#This Row],[UnidFact]])+ARTICULOS_LADIAR[[#This Row],[CostoFlete]]</f>
        <v>702.50374999999997</v>
      </c>
      <c r="M18">
        <v>35</v>
      </c>
      <c r="N18" s="68">
        <f>IF(L18&gt;=20,MROUND((L18*(1+(ARTICULOS_LADIAR[[#This Row],[IVA]]/100)))/(1-M18/100),50),20)</f>
        <v>1200</v>
      </c>
      <c r="O18" s="3">
        <f>MROUND((ARTICULOS_LADIAR[[#This Row],[Precio]]/0.6),50)</f>
        <v>2000</v>
      </c>
      <c r="P18" t="s">
        <v>8693</v>
      </c>
      <c r="Q18">
        <v>4</v>
      </c>
      <c r="R18" s="3">
        <f>ARTICULOS_LADIAR[[#This Row],[Bulto]]+ARTICULOS_LADIAR[[#This Row],[Minimo]]</f>
        <v>16</v>
      </c>
      <c r="S18" t="s">
        <v>70</v>
      </c>
      <c r="T18" t="s">
        <v>27</v>
      </c>
      <c r="U18" t="s">
        <v>8</v>
      </c>
      <c r="V18" t="s">
        <v>9070</v>
      </c>
      <c r="W18" t="s">
        <v>8692</v>
      </c>
      <c r="X18">
        <v>1</v>
      </c>
      <c r="Y18">
        <v>3</v>
      </c>
      <c r="Z18"/>
      <c r="AB18" s="80">
        <f>ARTICULOS_LADIAR[[#This Row],[Costo]]*ARTICULOS_LADIAR[[#This Row],[Pedido]]</f>
        <v>0</v>
      </c>
      <c r="AD18"/>
      <c r="AH18" s="2" t="str">
        <f>IF(AND(ARTICULOS_LADIAR[[#This Row],[FechaVenc]]=0,ARTICULOS_LADIAR[[#This Row],[DiasVenc]]=0),"",ARTICULOS_LADIAR[[#This Row],[FechaVenc]]-ARTICULOS_LADIAR[[#This Row],[DiasVenc]])</f>
        <v/>
      </c>
      <c r="AK18"/>
      <c r="AM18"/>
      <c r="AO18" s="30" t="s">
        <v>8689</v>
      </c>
    </row>
    <row r="19" spans="1:41" x14ac:dyDescent="0.25">
      <c r="A19" s="1" t="s">
        <v>9098</v>
      </c>
      <c r="C19" t="str">
        <f t="shared" si="0"/>
        <v>KIO40659605</v>
      </c>
      <c r="D19" t="s">
        <v>8689</v>
      </c>
      <c r="E19" s="24" t="s">
        <v>9099</v>
      </c>
      <c r="F19" s="61">
        <f t="shared" si="3"/>
        <v>635.75</v>
      </c>
      <c r="G19" s="3">
        <v>10.5</v>
      </c>
      <c r="H19" s="4" t="s">
        <v>8690</v>
      </c>
      <c r="I19">
        <v>12</v>
      </c>
      <c r="J19" s="37">
        <v>1</v>
      </c>
      <c r="K19" s="4"/>
      <c r="L19" s="66">
        <f>((ARTICULOS_LADIAR[[#This Row],[P. Compra]]*(1+ARTICULOS_LADIAR[[#This Row],[IVA]]%))/ARTICULOS_LADIAR[[#This Row],[UnidFact]])+ARTICULOS_LADIAR[[#This Row],[CostoFlete]]</f>
        <v>702.50374999999997</v>
      </c>
      <c r="M19">
        <v>35</v>
      </c>
      <c r="N19" s="68">
        <f>IF(L19&gt;=20,MROUND((L19*(1+(ARTICULOS_LADIAR[[#This Row],[IVA]]/100)))/(1-M19/100),50),20)</f>
        <v>1200</v>
      </c>
      <c r="O19" s="3">
        <f>MROUND((ARTICULOS_LADIAR[[#This Row],[Precio]]/0.6),50)</f>
        <v>2000</v>
      </c>
      <c r="P19" t="s">
        <v>8693</v>
      </c>
      <c r="Q19">
        <v>4</v>
      </c>
      <c r="R19" s="3">
        <f>ARTICULOS_LADIAR[[#This Row],[Bulto]]+ARTICULOS_LADIAR[[#This Row],[Minimo]]</f>
        <v>16</v>
      </c>
      <c r="S19" t="s">
        <v>70</v>
      </c>
      <c r="T19" t="s">
        <v>27</v>
      </c>
      <c r="U19" t="s">
        <v>8</v>
      </c>
      <c r="V19" t="s">
        <v>9100</v>
      </c>
      <c r="W19" t="s">
        <v>8692</v>
      </c>
      <c r="X19">
        <v>1</v>
      </c>
      <c r="Y19">
        <v>5</v>
      </c>
      <c r="Z19"/>
      <c r="AB19" s="80">
        <f>ARTICULOS_LADIAR[[#This Row],[Costo]]*ARTICULOS_LADIAR[[#This Row],[Pedido]]</f>
        <v>0</v>
      </c>
      <c r="AD19"/>
      <c r="AH19" s="2" t="str">
        <f>IF(AND(ARTICULOS_LADIAR[[#This Row],[FechaVenc]]=0,ARTICULOS_LADIAR[[#This Row],[DiasVenc]]=0),"",ARTICULOS_LADIAR[[#This Row],[FechaVenc]]-ARTICULOS_LADIAR[[#This Row],[DiasVenc]])</f>
        <v/>
      </c>
      <c r="AK19"/>
      <c r="AM19"/>
      <c r="AO19" s="30" t="s">
        <v>8689</v>
      </c>
    </row>
    <row r="20" spans="1:41" x14ac:dyDescent="0.25">
      <c r="A20" s="1" t="s">
        <v>9101</v>
      </c>
      <c r="C20" t="str">
        <f t="shared" si="0"/>
        <v>KIO80134099</v>
      </c>
      <c r="D20" t="s">
        <v>8689</v>
      </c>
      <c r="E20" s="24" t="s">
        <v>9102</v>
      </c>
      <c r="F20" s="61">
        <v>4713.9399999999996</v>
      </c>
      <c r="G20" s="3">
        <v>10.5</v>
      </c>
      <c r="H20" s="4" t="s">
        <v>8690</v>
      </c>
      <c r="I20">
        <v>135</v>
      </c>
      <c r="J20" s="37">
        <f>ARTICULOS_LADIAR[[#This Row],[Bulto]]</f>
        <v>135</v>
      </c>
      <c r="K20" s="4"/>
      <c r="L20" s="66">
        <f>((ARTICULOS_LADIAR[[#This Row],[P. Compra]]*(1+ARTICULOS_LADIAR[[#This Row],[IVA]]%))/ARTICULOS_LADIAR[[#This Row],[UnidFact]])+ARTICULOS_LADIAR[[#This Row],[CostoFlete]]</f>
        <v>38.584471851851852</v>
      </c>
      <c r="M20">
        <v>50</v>
      </c>
      <c r="N20" s="68">
        <f>IF(L20&gt;=20,MROUND((L20*(1+(ARTICULOS_LADIAR[[#This Row],[IVA]]/100)))/(1-M20/100),50),20)</f>
        <v>100</v>
      </c>
      <c r="O20" s="3">
        <f>MROUND((ARTICULOS_LADIAR[[#This Row],[Precio]]/0.6),50)</f>
        <v>150</v>
      </c>
      <c r="P20" t="s">
        <v>8693</v>
      </c>
      <c r="Q20">
        <v>20</v>
      </c>
      <c r="R20" s="3">
        <f>ARTICULOS_LADIAR[[#This Row],[Bulto]]+ARTICULOS_LADIAR[[#This Row],[Minimo]]</f>
        <v>155</v>
      </c>
      <c r="S20" t="s">
        <v>32</v>
      </c>
      <c r="T20" t="s">
        <v>27</v>
      </c>
      <c r="U20" t="s">
        <v>19</v>
      </c>
      <c r="V20" t="s">
        <v>9102</v>
      </c>
      <c r="W20" t="s">
        <v>8692</v>
      </c>
      <c r="X20">
        <v>1</v>
      </c>
      <c r="Y20">
        <f>108+37+126+106</f>
        <v>377</v>
      </c>
      <c r="Z20"/>
      <c r="AB20" s="80">
        <f>ARTICULOS_LADIAR[[#This Row],[Costo]]*ARTICULOS_LADIAR[[#This Row],[Pedido]]</f>
        <v>0</v>
      </c>
      <c r="AD20"/>
      <c r="AH20" s="2" t="str">
        <f>IF(AND(ARTICULOS_LADIAR[[#This Row],[FechaVenc]]=0,ARTICULOS_LADIAR[[#This Row],[DiasVenc]]=0),"",ARTICULOS_LADIAR[[#This Row],[FechaVenc]]-ARTICULOS_LADIAR[[#This Row],[DiasVenc]])</f>
        <v/>
      </c>
      <c r="AK20"/>
      <c r="AM20"/>
      <c r="AO20" s="30" t="s">
        <v>8689</v>
      </c>
    </row>
    <row r="21" spans="1:41" x14ac:dyDescent="0.25">
      <c r="A21" s="1" t="s">
        <v>9106</v>
      </c>
      <c r="C21" t="str">
        <f t="shared" si="0"/>
        <v>KIO80118273</v>
      </c>
      <c r="D21" t="s">
        <v>8689</v>
      </c>
      <c r="E21" s="24" t="s">
        <v>11764</v>
      </c>
      <c r="F21" s="61">
        <v>5486.26</v>
      </c>
      <c r="G21" s="3">
        <v>10.5</v>
      </c>
      <c r="H21" s="4" t="s">
        <v>8690</v>
      </c>
      <c r="I21">
        <v>180</v>
      </c>
      <c r="J21" s="37">
        <f>ARTICULOS_LADIAR[[#This Row],[Bulto]]</f>
        <v>180</v>
      </c>
      <c r="K21" s="4"/>
      <c r="L21" s="66">
        <f>((ARTICULOS_LADIAR[[#This Row],[P. Compra]]*(1+ARTICULOS_LADIAR[[#This Row],[IVA]]%))/ARTICULOS_LADIAR[[#This Row],[UnidFact]])+ARTICULOS_LADIAR[[#This Row],[CostoFlete]]</f>
        <v>33.679540555555555</v>
      </c>
      <c r="M21">
        <v>50</v>
      </c>
      <c r="N21" s="68">
        <f>IF(L21&gt;=20,MROUND((L21*(1+(ARTICULOS_LADIAR[[#This Row],[IVA]]/100)))/(1-M21/100),50),20)</f>
        <v>50</v>
      </c>
      <c r="O21" s="3">
        <f>MROUND((ARTICULOS_LADIAR[[#This Row],[Precio]]/0.6),50)</f>
        <v>100</v>
      </c>
      <c r="P21" t="s">
        <v>8693</v>
      </c>
      <c r="Q21">
        <v>15</v>
      </c>
      <c r="R21" s="3">
        <f>ARTICULOS_LADIAR[[#This Row],[Bulto]]+ARTICULOS_LADIAR[[#This Row],[Minimo]]</f>
        <v>195</v>
      </c>
      <c r="S21" t="s">
        <v>32</v>
      </c>
      <c r="T21" t="s">
        <v>27</v>
      </c>
      <c r="U21" t="s">
        <v>19</v>
      </c>
      <c r="V21" t="s">
        <v>9105</v>
      </c>
      <c r="W21" t="s">
        <v>8692</v>
      </c>
      <c r="X21">
        <v>1</v>
      </c>
      <c r="Y21">
        <f>46+52+9+166</f>
        <v>273</v>
      </c>
      <c r="Z21"/>
      <c r="AB21" s="80">
        <f>ARTICULOS_LADIAR[[#This Row],[Costo]]*ARTICULOS_LADIAR[[#This Row],[Pedido]]</f>
        <v>0</v>
      </c>
      <c r="AD21"/>
      <c r="AH21" s="2" t="str">
        <f>IF(AND(ARTICULOS_LADIAR[[#This Row],[FechaVenc]]=0,ARTICULOS_LADIAR[[#This Row],[DiasVenc]]=0),"",ARTICULOS_LADIAR[[#This Row],[FechaVenc]]-ARTICULOS_LADIAR[[#This Row],[DiasVenc]])</f>
        <v/>
      </c>
      <c r="AK21"/>
      <c r="AM21"/>
      <c r="AO21" s="30" t="s">
        <v>8689</v>
      </c>
    </row>
    <row r="22" spans="1:41" x14ac:dyDescent="0.25">
      <c r="A22" s="24" t="s">
        <v>9103</v>
      </c>
      <c r="C22" t="str">
        <f t="shared" si="0"/>
        <v>KIO80141356</v>
      </c>
      <c r="D22" t="s">
        <v>8689</v>
      </c>
      <c r="E22" s="24" t="s">
        <v>9104</v>
      </c>
      <c r="F22" s="61">
        <v>4125.3</v>
      </c>
      <c r="G22" s="3">
        <v>10.5</v>
      </c>
      <c r="H22" s="4" t="s">
        <v>8690</v>
      </c>
      <c r="I22">
        <v>10</v>
      </c>
      <c r="J22" s="37">
        <v>20</v>
      </c>
      <c r="K22" s="4"/>
      <c r="L22" s="66">
        <f>((ARTICULOS_LADIAR[[#This Row],[P. Compra]]*(1+ARTICULOS_LADIAR[[#This Row],[IVA]]%))/ARTICULOS_LADIAR[[#This Row],[UnidFact]])+ARTICULOS_LADIAR[[#This Row],[CostoFlete]]</f>
        <v>227.92282500000002</v>
      </c>
      <c r="M22">
        <v>50</v>
      </c>
      <c r="N22" s="68">
        <f>IF(L22&gt;=20,MROUND((L22*(1+(ARTICULOS_LADIAR[[#This Row],[IVA]]/100)))/(1-M22/100),50),20)</f>
        <v>500</v>
      </c>
      <c r="O22" s="3">
        <f>MROUND((ARTICULOS_LADIAR[[#This Row],[Precio]]/0.6),50)</f>
        <v>850</v>
      </c>
      <c r="P22" t="s">
        <v>8693</v>
      </c>
      <c r="Q22">
        <v>28</v>
      </c>
      <c r="R22" s="3">
        <f>ARTICULOS_LADIAR[[#This Row],[Bulto]]+ARTICULOS_LADIAR[[#This Row],[Minimo]]</f>
        <v>38</v>
      </c>
      <c r="S22" t="s">
        <v>32</v>
      </c>
      <c r="T22" t="s">
        <v>27</v>
      </c>
      <c r="U22" t="s">
        <v>19</v>
      </c>
      <c r="V22" t="s">
        <v>9105</v>
      </c>
      <c r="W22" t="s">
        <v>8692</v>
      </c>
      <c r="X22">
        <v>1</v>
      </c>
      <c r="Y22">
        <v>10</v>
      </c>
      <c r="Z22"/>
      <c r="AB22" s="80">
        <f>ARTICULOS_LADIAR[[#This Row],[Costo]]*ARTICULOS_LADIAR[[#This Row],[Pedido]]</f>
        <v>0</v>
      </c>
      <c r="AD22"/>
      <c r="AH22" s="2" t="str">
        <f>IF(AND(ARTICULOS_LADIAR[[#This Row],[FechaVenc]]=0,ARTICULOS_LADIAR[[#This Row],[DiasVenc]]=0),"",ARTICULOS_LADIAR[[#This Row],[FechaVenc]]-ARTICULOS_LADIAR[[#This Row],[DiasVenc]])</f>
        <v/>
      </c>
      <c r="AK22"/>
      <c r="AM22"/>
      <c r="AO22" s="30" t="s">
        <v>8689</v>
      </c>
    </row>
    <row r="23" spans="1:41" x14ac:dyDescent="0.25">
      <c r="A23" s="24" t="s">
        <v>11766</v>
      </c>
      <c r="C23" t="str">
        <f t="shared" si="0"/>
        <v>KIO80128524</v>
      </c>
      <c r="D23" t="s">
        <v>8689</v>
      </c>
      <c r="E23" s="24" t="s">
        <v>11765</v>
      </c>
      <c r="F23" s="61">
        <v>4125.3</v>
      </c>
      <c r="G23" s="3">
        <v>10.5</v>
      </c>
      <c r="H23" s="4" t="s">
        <v>8690</v>
      </c>
      <c r="I23">
        <v>400</v>
      </c>
      <c r="J23" s="37">
        <f>ARTICULOS_LADIAR[[#This Row],[Bulto]]</f>
        <v>400</v>
      </c>
      <c r="K23" s="4"/>
      <c r="L23" s="66">
        <f>((ARTICULOS_LADIAR[[#This Row],[P. Compra]]*(1+ARTICULOS_LADIAR[[#This Row],[IVA]]%))/ARTICULOS_LADIAR[[#This Row],[UnidFact]])+ARTICULOS_LADIAR[[#This Row],[CostoFlete]]</f>
        <v>11.396141250000001</v>
      </c>
      <c r="M23">
        <v>50</v>
      </c>
      <c r="N23" s="68">
        <f>IF(L23&gt;=20,MROUND((L23*(1+(ARTICULOS_LADIAR[[#This Row],[IVA]]/100)))/(1-M23/100),50),20)</f>
        <v>20</v>
      </c>
      <c r="O23" s="3">
        <f>MROUND((ARTICULOS_LADIAR[[#This Row],[Precio]]/0.6),50)</f>
        <v>50</v>
      </c>
      <c r="P23" t="s">
        <v>8693</v>
      </c>
      <c r="Q23">
        <v>15</v>
      </c>
      <c r="R23" s="3">
        <f>ARTICULOS_LADIAR[[#This Row],[Bulto]]+ARTICULOS_LADIAR[[#This Row],[Minimo]]</f>
        <v>415</v>
      </c>
      <c r="S23" t="s">
        <v>32</v>
      </c>
      <c r="T23" t="s">
        <v>27</v>
      </c>
      <c r="U23" t="s">
        <v>19</v>
      </c>
      <c r="V23" t="s">
        <v>9105</v>
      </c>
      <c r="W23" t="s">
        <v>8692</v>
      </c>
      <c r="X23">
        <v>1</v>
      </c>
      <c r="Y23">
        <f>277+400</f>
        <v>677</v>
      </c>
      <c r="Z23"/>
      <c r="AB23" s="80">
        <f>ARTICULOS_LADIAR[[#This Row],[Costo]]*ARTICULOS_LADIAR[[#This Row],[Pedido]]</f>
        <v>0</v>
      </c>
      <c r="AD23"/>
      <c r="AH23" s="2" t="str">
        <f>IF(AND(ARTICULOS_LADIAR[[#This Row],[FechaVenc]]=0,ARTICULOS_LADIAR[[#This Row],[DiasVenc]]=0),"",ARTICULOS_LADIAR[[#This Row],[FechaVenc]]-ARTICULOS_LADIAR[[#This Row],[DiasVenc]])</f>
        <v/>
      </c>
      <c r="AK23"/>
      <c r="AM23"/>
      <c r="AO23" s="30" t="s">
        <v>8689</v>
      </c>
    </row>
    <row r="24" spans="1:41" ht="15" customHeight="1" x14ac:dyDescent="0.25">
      <c r="A24" s="1" t="s">
        <v>9107</v>
      </c>
      <c r="C24" t="str">
        <f t="shared" si="0"/>
        <v>KIO80178208</v>
      </c>
      <c r="D24" t="s">
        <v>8689</v>
      </c>
      <c r="E24" s="24" t="s">
        <v>11774</v>
      </c>
      <c r="F24" s="61">
        <v>4461</v>
      </c>
      <c r="G24" s="3">
        <v>10.5</v>
      </c>
      <c r="H24" s="4" t="s">
        <v>8690</v>
      </c>
      <c r="I24">
        <v>242</v>
      </c>
      <c r="J24" s="37">
        <f>ARTICULOS_LADIAR[[#This Row],[Bulto]]</f>
        <v>242</v>
      </c>
      <c r="K24" s="4"/>
      <c r="L24" s="66">
        <f>((ARTICULOS_LADIAR[[#This Row],[P. Compra]]*(1+ARTICULOS_LADIAR[[#This Row],[IVA]]%))/ARTICULOS_LADIAR[[#This Row],[UnidFact]])+ARTICULOS_LADIAR[[#This Row],[CostoFlete]]</f>
        <v>20.369442148760328</v>
      </c>
      <c r="M24">
        <v>50</v>
      </c>
      <c r="N24" s="68">
        <f>IF(L24&gt;=20,MROUND((L24*(1+(ARTICULOS_LADIAR[[#This Row],[IVA]]/100)))/(1-M24/100),50),20)</f>
        <v>50</v>
      </c>
      <c r="O24" s="3">
        <f>MROUND((ARTICULOS_LADIAR[[#This Row],[Precio]]/0.6),50)</f>
        <v>100</v>
      </c>
      <c r="P24" t="s">
        <v>8693</v>
      </c>
      <c r="Q24">
        <v>28</v>
      </c>
      <c r="R24" s="3">
        <f>ARTICULOS_LADIAR[[#This Row],[Bulto]]+ARTICULOS_LADIAR[[#This Row],[Minimo]]</f>
        <v>270</v>
      </c>
      <c r="S24" t="s">
        <v>32</v>
      </c>
      <c r="T24" t="s">
        <v>27</v>
      </c>
      <c r="U24" t="s">
        <v>19</v>
      </c>
      <c r="V24" t="s">
        <v>9105</v>
      </c>
      <c r="W24" t="s">
        <v>8692</v>
      </c>
      <c r="X24">
        <v>1</v>
      </c>
      <c r="Y24">
        <f>20+197</f>
        <v>217</v>
      </c>
      <c r="Z24"/>
      <c r="AB24" s="80">
        <f>ARTICULOS_LADIAR[[#This Row],[Costo]]*ARTICULOS_LADIAR[[#This Row],[Pedido]]</f>
        <v>0</v>
      </c>
      <c r="AD24"/>
      <c r="AH24" s="2" t="str">
        <f>IF(AND(ARTICULOS_LADIAR[[#This Row],[FechaVenc]]=0,ARTICULOS_LADIAR[[#This Row],[DiasVenc]]=0),"",ARTICULOS_LADIAR[[#This Row],[FechaVenc]]-ARTICULOS_LADIAR[[#This Row],[DiasVenc]])</f>
        <v/>
      </c>
      <c r="AK24"/>
      <c r="AM24"/>
      <c r="AO24" s="30" t="s">
        <v>8689</v>
      </c>
    </row>
    <row r="25" spans="1:41" x14ac:dyDescent="0.25">
      <c r="A25" s="1" t="s">
        <v>9108</v>
      </c>
      <c r="C25" t="str">
        <f t="shared" si="0"/>
        <v>KIO80133528</v>
      </c>
      <c r="D25" t="s">
        <v>8689</v>
      </c>
      <c r="E25" s="1" t="s">
        <v>9109</v>
      </c>
      <c r="F25" s="61">
        <v>1764.65</v>
      </c>
      <c r="G25" s="3">
        <v>10.5</v>
      </c>
      <c r="H25" s="4" t="s">
        <v>8690</v>
      </c>
      <c r="I25">
        <v>6</v>
      </c>
      <c r="J25" s="37">
        <v>1</v>
      </c>
      <c r="K25" s="4"/>
      <c r="L25" s="66">
        <f>((ARTICULOS_LADIAR[[#This Row],[P. Compra]]*(1+ARTICULOS_LADIAR[[#This Row],[IVA]]%))/ARTICULOS_LADIAR[[#This Row],[UnidFact]])+ARTICULOS_LADIAR[[#This Row],[CostoFlete]]</f>
        <v>1949.9382500000002</v>
      </c>
      <c r="M25">
        <v>35</v>
      </c>
      <c r="N25" s="68">
        <f>IF(L25&gt;=20,MROUND((L25*(1+(ARTICULOS_LADIAR[[#This Row],[IVA]]/100)))/(1-M25/100),50),20)</f>
        <v>3300</v>
      </c>
      <c r="O25" s="3">
        <f>MROUND((ARTICULOS_LADIAR[[#This Row],[Precio]]/0.6),50)</f>
        <v>5500</v>
      </c>
      <c r="P25" t="s">
        <v>8693</v>
      </c>
      <c r="Q25">
        <v>2</v>
      </c>
      <c r="R25" s="3">
        <f>ARTICULOS_LADIAR[[#This Row],[Bulto]]+ARTICULOS_LADIAR[[#This Row],[Minimo]]</f>
        <v>8</v>
      </c>
      <c r="S25" t="s">
        <v>32</v>
      </c>
      <c r="T25" t="s">
        <v>27</v>
      </c>
      <c r="U25" t="s">
        <v>19</v>
      </c>
      <c r="V25" t="s">
        <v>9105</v>
      </c>
      <c r="W25" t="s">
        <v>8692</v>
      </c>
      <c r="X25">
        <v>1</v>
      </c>
      <c r="Y25">
        <v>2</v>
      </c>
      <c r="Z25"/>
      <c r="AB25" s="80">
        <f>ARTICULOS_LADIAR[[#This Row],[Costo]]*ARTICULOS_LADIAR[[#This Row],[Pedido]]</f>
        <v>0</v>
      </c>
      <c r="AD25"/>
      <c r="AH25" s="2" t="str">
        <f>IF(AND(ARTICULOS_LADIAR[[#This Row],[FechaVenc]]=0,ARTICULOS_LADIAR[[#This Row],[DiasVenc]]=0),"",ARTICULOS_LADIAR[[#This Row],[FechaVenc]]-ARTICULOS_LADIAR[[#This Row],[DiasVenc]])</f>
        <v/>
      </c>
      <c r="AK25"/>
      <c r="AM25"/>
      <c r="AO25" s="30" t="s">
        <v>8689</v>
      </c>
    </row>
    <row r="26" spans="1:41" x14ac:dyDescent="0.25">
      <c r="A26" s="1" t="s">
        <v>9110</v>
      </c>
      <c r="B26" s="1" t="s">
        <v>9111</v>
      </c>
      <c r="C26" t="str">
        <f t="shared" si="0"/>
        <v>KIO80587307</v>
      </c>
      <c r="D26" t="s">
        <v>8689</v>
      </c>
      <c r="E26" s="1" t="s">
        <v>9112</v>
      </c>
      <c r="F26" s="61">
        <v>3381.19</v>
      </c>
      <c r="G26" s="3">
        <v>10.5</v>
      </c>
      <c r="H26" s="4" t="s">
        <v>8690</v>
      </c>
      <c r="I26">
        <v>14</v>
      </c>
      <c r="J26" s="37">
        <f>ARTICULOS_LADIAR[[#This Row],[Bulto]]</f>
        <v>14</v>
      </c>
      <c r="K26" s="4"/>
      <c r="L26" s="66">
        <f>((ARTICULOS_LADIAR[[#This Row],[P. Compra]]*(1+ARTICULOS_LADIAR[[#This Row],[IVA]]%))/ARTICULOS_LADIAR[[#This Row],[UnidFact]])+ARTICULOS_LADIAR[[#This Row],[CostoFlete]]</f>
        <v>266.87249642857142</v>
      </c>
      <c r="M26">
        <v>40</v>
      </c>
      <c r="N26" s="68">
        <f>IF(L26&gt;=20,MROUND((L26*(1+(ARTICULOS_LADIAR[[#This Row],[IVA]]/100)))/(1-M26/100),50),20)</f>
        <v>500</v>
      </c>
      <c r="O26" s="3">
        <f>MROUND((ARTICULOS_LADIAR[[#This Row],[Precio]]/0.6),50)</f>
        <v>850</v>
      </c>
      <c r="P26" t="s">
        <v>8693</v>
      </c>
      <c r="Q26">
        <v>3</v>
      </c>
      <c r="R26" s="3">
        <f>ARTICULOS_LADIAR[[#This Row],[Bulto]]+ARTICULOS_LADIAR[[#This Row],[Minimo]]</f>
        <v>17</v>
      </c>
      <c r="S26" t="s">
        <v>32</v>
      </c>
      <c r="T26" t="s">
        <v>27</v>
      </c>
      <c r="U26" t="s">
        <v>25</v>
      </c>
      <c r="V26" t="s">
        <v>9105</v>
      </c>
      <c r="W26" t="s">
        <v>8692</v>
      </c>
      <c r="X26">
        <v>1</v>
      </c>
      <c r="Y26">
        <v>0</v>
      </c>
      <c r="Z26"/>
      <c r="AB26" s="80">
        <f>ARTICULOS_LADIAR[[#This Row],[Costo]]*ARTICULOS_LADIAR[[#This Row],[Pedido]]</f>
        <v>0</v>
      </c>
      <c r="AD26"/>
      <c r="AH26" s="2" t="str">
        <f>IF(AND(ARTICULOS_LADIAR[[#This Row],[FechaVenc]]=0,ARTICULOS_LADIAR[[#This Row],[DiasVenc]]=0),"",ARTICULOS_LADIAR[[#This Row],[FechaVenc]]-ARTICULOS_LADIAR[[#This Row],[DiasVenc]])</f>
        <v/>
      </c>
      <c r="AK26"/>
      <c r="AM26"/>
      <c r="AO26" s="30" t="s">
        <v>8689</v>
      </c>
    </row>
    <row r="27" spans="1:41" x14ac:dyDescent="0.25">
      <c r="A27" s="1" t="s">
        <v>9113</v>
      </c>
      <c r="B27" s="1" t="s">
        <v>9114</v>
      </c>
      <c r="C27" t="str">
        <f t="shared" si="0"/>
        <v>KIO80587109</v>
      </c>
      <c r="D27" t="s">
        <v>8689</v>
      </c>
      <c r="E27" s="1" t="s">
        <v>9115</v>
      </c>
      <c r="F27" s="61">
        <f>F26</f>
        <v>3381.19</v>
      </c>
      <c r="G27" s="3">
        <v>10.5</v>
      </c>
      <c r="H27" s="4" t="s">
        <v>8690</v>
      </c>
      <c r="I27">
        <v>14</v>
      </c>
      <c r="J27" s="37">
        <f>ARTICULOS_LADIAR[[#This Row],[Bulto]]</f>
        <v>14</v>
      </c>
      <c r="K27" s="4"/>
      <c r="L27" s="66">
        <f>((ARTICULOS_LADIAR[[#This Row],[P. Compra]]*(1+ARTICULOS_LADIAR[[#This Row],[IVA]]%))/ARTICULOS_LADIAR[[#This Row],[UnidFact]])+ARTICULOS_LADIAR[[#This Row],[CostoFlete]]</f>
        <v>266.87249642857142</v>
      </c>
      <c r="M27">
        <v>40</v>
      </c>
      <c r="N27" s="68">
        <f>IF(L27&gt;=20,MROUND((L27*(1+(ARTICULOS_LADIAR[[#This Row],[IVA]]/100)))/(1-M27/100),50),20)</f>
        <v>500</v>
      </c>
      <c r="O27" s="3">
        <f>MROUND((ARTICULOS_LADIAR[[#This Row],[Precio]]/0.6),50)</f>
        <v>850</v>
      </c>
      <c r="P27" t="s">
        <v>8693</v>
      </c>
      <c r="Q27">
        <v>3</v>
      </c>
      <c r="R27" s="3">
        <f>ARTICULOS_LADIAR[[#This Row],[Bulto]]+ARTICULOS_LADIAR[[#This Row],[Minimo]]</f>
        <v>17</v>
      </c>
      <c r="S27" t="s">
        <v>32</v>
      </c>
      <c r="T27" t="s">
        <v>27</v>
      </c>
      <c r="U27" t="s">
        <v>25</v>
      </c>
      <c r="V27" t="s">
        <v>9105</v>
      </c>
      <c r="W27" t="s">
        <v>8692</v>
      </c>
      <c r="X27">
        <v>1</v>
      </c>
      <c r="Y27">
        <v>11</v>
      </c>
      <c r="Z27"/>
      <c r="AB27" s="80">
        <f>ARTICULOS_LADIAR[[#This Row],[Costo]]*ARTICULOS_LADIAR[[#This Row],[Pedido]]</f>
        <v>0</v>
      </c>
      <c r="AD27"/>
      <c r="AH27" s="2" t="str">
        <f>IF(AND(ARTICULOS_LADIAR[[#This Row],[FechaVenc]]=0,ARTICULOS_LADIAR[[#This Row],[DiasVenc]]=0),"",ARTICULOS_LADIAR[[#This Row],[FechaVenc]]-ARTICULOS_LADIAR[[#This Row],[DiasVenc]])</f>
        <v/>
      </c>
      <c r="AK27"/>
      <c r="AM27"/>
      <c r="AO27" s="30" t="s">
        <v>8689</v>
      </c>
    </row>
    <row r="28" spans="1:41" x14ac:dyDescent="0.25">
      <c r="A28" s="1" t="s">
        <v>9116</v>
      </c>
      <c r="C28" t="str">
        <f t="shared" si="0"/>
        <v>KIO77916389</v>
      </c>
      <c r="D28" t="s">
        <v>8689</v>
      </c>
      <c r="E28" s="1" t="s">
        <v>9117</v>
      </c>
      <c r="F28" s="61">
        <v>4281.43</v>
      </c>
      <c r="G28" s="3">
        <v>10.5</v>
      </c>
      <c r="H28" s="4" t="s">
        <v>8690</v>
      </c>
      <c r="I28">
        <v>20</v>
      </c>
      <c r="J28" s="37">
        <f>ARTICULOS_LADIAR[[#This Row],[Bulto]]</f>
        <v>20</v>
      </c>
      <c r="K28" s="4"/>
      <c r="L28" s="66">
        <f>((ARTICULOS_LADIAR[[#This Row],[P. Compra]]*(1+ARTICULOS_LADIAR[[#This Row],[IVA]]%))/ARTICULOS_LADIAR[[#This Row],[UnidFact]])+ARTICULOS_LADIAR[[#This Row],[CostoFlete]]</f>
        <v>236.54900750000002</v>
      </c>
      <c r="M28">
        <v>40</v>
      </c>
      <c r="N28" s="68">
        <f>IF(L28&gt;=20,MROUND((L28*(1+(ARTICULOS_LADIAR[[#This Row],[IVA]]/100)))/(1-M28/100),50),20)</f>
        <v>450</v>
      </c>
      <c r="O28" s="3">
        <f>MROUND((ARTICULOS_LADIAR[[#This Row],[Precio]]/0.6),50)</f>
        <v>750</v>
      </c>
      <c r="P28" t="s">
        <v>8693</v>
      </c>
      <c r="Q28">
        <v>4</v>
      </c>
      <c r="R28" s="3">
        <f>ARTICULOS_LADIAR[[#This Row],[Bulto]]+ARTICULOS_LADIAR[[#This Row],[Minimo]]</f>
        <v>24</v>
      </c>
      <c r="S28" t="s">
        <v>32</v>
      </c>
      <c r="T28" t="s">
        <v>27</v>
      </c>
      <c r="U28" t="s">
        <v>25</v>
      </c>
      <c r="V28" t="s">
        <v>9118</v>
      </c>
      <c r="W28" t="s">
        <v>8692</v>
      </c>
      <c r="X28">
        <v>1</v>
      </c>
      <c r="Y28">
        <v>5</v>
      </c>
      <c r="AB28" s="80">
        <f>ARTICULOS_LADIAR[[#This Row],[Costo]]*ARTICULOS_LADIAR[[#This Row],[Pedido]]</f>
        <v>0</v>
      </c>
      <c r="AD28"/>
      <c r="AH28" s="2" t="str">
        <f>IF(AND(ARTICULOS_LADIAR[[#This Row],[FechaVenc]]=0,ARTICULOS_LADIAR[[#This Row],[DiasVenc]]=0),"",ARTICULOS_LADIAR[[#This Row],[FechaVenc]]-ARTICULOS_LADIAR[[#This Row],[DiasVenc]])</f>
        <v/>
      </c>
      <c r="AK28"/>
      <c r="AM28"/>
      <c r="AO28" s="30" t="s">
        <v>8689</v>
      </c>
    </row>
    <row r="29" spans="1:41" x14ac:dyDescent="0.25">
      <c r="A29" s="1" t="s">
        <v>9119</v>
      </c>
      <c r="C29" t="str">
        <f t="shared" si="0"/>
        <v>KIO77916426</v>
      </c>
      <c r="D29" t="s">
        <v>8689</v>
      </c>
      <c r="E29" s="1" t="s">
        <v>9120</v>
      </c>
      <c r="F29" s="61">
        <f>F28</f>
        <v>4281.43</v>
      </c>
      <c r="G29" s="3">
        <v>10.5</v>
      </c>
      <c r="H29" s="4" t="s">
        <v>8690</v>
      </c>
      <c r="I29">
        <v>20</v>
      </c>
      <c r="J29" s="37">
        <f>ARTICULOS_LADIAR[[#This Row],[Bulto]]</f>
        <v>20</v>
      </c>
      <c r="K29" s="4"/>
      <c r="L29" s="66">
        <f>((ARTICULOS_LADIAR[[#This Row],[P. Compra]]*(1+ARTICULOS_LADIAR[[#This Row],[IVA]]%))/ARTICULOS_LADIAR[[#This Row],[UnidFact]])+ARTICULOS_LADIAR[[#This Row],[CostoFlete]]</f>
        <v>236.54900750000002</v>
      </c>
      <c r="M29">
        <v>40</v>
      </c>
      <c r="N29" s="68">
        <f>IF(L29&gt;=20,MROUND((L29*(1+(ARTICULOS_LADIAR[[#This Row],[IVA]]/100)))/(1-M29/100),50),20)</f>
        <v>450</v>
      </c>
      <c r="O29" s="3">
        <f>MROUND((ARTICULOS_LADIAR[[#This Row],[Precio]]/0.6),50)</f>
        <v>750</v>
      </c>
      <c r="P29" t="s">
        <v>8693</v>
      </c>
      <c r="Q29">
        <v>4</v>
      </c>
      <c r="R29" s="3">
        <f>ARTICULOS_LADIAR[[#This Row],[Bulto]]+ARTICULOS_LADIAR[[#This Row],[Minimo]]</f>
        <v>24</v>
      </c>
      <c r="S29" t="s">
        <v>32</v>
      </c>
      <c r="T29" t="s">
        <v>27</v>
      </c>
      <c r="U29" t="s">
        <v>25</v>
      </c>
      <c r="V29" t="s">
        <v>9118</v>
      </c>
      <c r="W29" t="s">
        <v>8692</v>
      </c>
      <c r="X29">
        <v>1</v>
      </c>
      <c r="Y29">
        <v>41</v>
      </c>
      <c r="AB29" s="80">
        <f>ARTICULOS_LADIAR[[#This Row],[Costo]]*ARTICULOS_LADIAR[[#This Row],[Pedido]]</f>
        <v>0</v>
      </c>
      <c r="AD29"/>
      <c r="AH29" s="2" t="str">
        <f>IF(AND(ARTICULOS_LADIAR[[#This Row],[FechaVenc]]=0,ARTICULOS_LADIAR[[#This Row],[DiasVenc]]=0),"",ARTICULOS_LADIAR[[#This Row],[FechaVenc]]-ARTICULOS_LADIAR[[#This Row],[DiasVenc]])</f>
        <v/>
      </c>
      <c r="AK29"/>
      <c r="AM29"/>
      <c r="AO29" s="30" t="s">
        <v>8689</v>
      </c>
    </row>
    <row r="30" spans="1:41" x14ac:dyDescent="0.25">
      <c r="A30" s="1" t="s">
        <v>9121</v>
      </c>
      <c r="C30" t="str">
        <f t="shared" si="0"/>
        <v>KIO77919489</v>
      </c>
      <c r="D30" t="s">
        <v>8689</v>
      </c>
      <c r="E30" s="1" t="s">
        <v>9122</v>
      </c>
      <c r="F30" s="61">
        <f>F29</f>
        <v>4281.43</v>
      </c>
      <c r="G30" s="3">
        <v>10.5</v>
      </c>
      <c r="H30" s="4" t="s">
        <v>8690</v>
      </c>
      <c r="I30">
        <v>20</v>
      </c>
      <c r="J30" s="37">
        <f>ARTICULOS_LADIAR[[#This Row],[Bulto]]</f>
        <v>20</v>
      </c>
      <c r="K30" s="4"/>
      <c r="L30" s="66">
        <f>((ARTICULOS_LADIAR[[#This Row],[P. Compra]]*(1+ARTICULOS_LADIAR[[#This Row],[IVA]]%))/ARTICULOS_LADIAR[[#This Row],[UnidFact]])+ARTICULOS_LADIAR[[#This Row],[CostoFlete]]</f>
        <v>236.54900750000002</v>
      </c>
      <c r="M30">
        <v>40</v>
      </c>
      <c r="N30" s="68">
        <f>IF(L30&gt;=20,MROUND((L30*(1+(ARTICULOS_LADIAR[[#This Row],[IVA]]/100)))/(1-M30/100),50),20)</f>
        <v>450</v>
      </c>
      <c r="O30" s="3">
        <f>MROUND((ARTICULOS_LADIAR[[#This Row],[Precio]]/0.6),50)</f>
        <v>750</v>
      </c>
      <c r="P30" t="s">
        <v>8693</v>
      </c>
      <c r="Q30">
        <v>4</v>
      </c>
      <c r="R30" s="3">
        <f>ARTICULOS_LADIAR[[#This Row],[Bulto]]+ARTICULOS_LADIAR[[#This Row],[Minimo]]</f>
        <v>24</v>
      </c>
      <c r="S30" t="s">
        <v>32</v>
      </c>
      <c r="T30" t="s">
        <v>27</v>
      </c>
      <c r="U30" t="s">
        <v>25</v>
      </c>
      <c r="V30" t="s">
        <v>9118</v>
      </c>
      <c r="W30" t="s">
        <v>8692</v>
      </c>
      <c r="X30">
        <v>1</v>
      </c>
      <c r="Y30">
        <v>0</v>
      </c>
      <c r="AB30" s="80">
        <f>ARTICULOS_LADIAR[[#This Row],[Costo]]*ARTICULOS_LADIAR[[#This Row],[Pedido]]</f>
        <v>0</v>
      </c>
      <c r="AD30"/>
      <c r="AH30" s="2" t="str">
        <f>IF(AND(ARTICULOS_LADIAR[[#This Row],[FechaVenc]]=0,ARTICULOS_LADIAR[[#This Row],[DiasVenc]]=0),"",ARTICULOS_LADIAR[[#This Row],[FechaVenc]]-ARTICULOS_LADIAR[[#This Row],[DiasVenc]])</f>
        <v/>
      </c>
      <c r="AK30"/>
      <c r="AM30"/>
      <c r="AO30" s="30" t="s">
        <v>8689</v>
      </c>
    </row>
    <row r="31" spans="1:41" x14ac:dyDescent="0.25">
      <c r="A31" s="1" t="s">
        <v>9123</v>
      </c>
      <c r="C31" t="str">
        <f t="shared" si="0"/>
        <v>KIO77916396</v>
      </c>
      <c r="D31" t="s">
        <v>8689</v>
      </c>
      <c r="E31" s="1" t="s">
        <v>9124</v>
      </c>
      <c r="F31" s="61">
        <f>F30</f>
        <v>4281.43</v>
      </c>
      <c r="G31" s="3">
        <v>10.5</v>
      </c>
      <c r="H31" s="4" t="s">
        <v>8690</v>
      </c>
      <c r="I31">
        <v>20</v>
      </c>
      <c r="J31" s="37">
        <f>ARTICULOS_LADIAR[[#This Row],[Bulto]]</f>
        <v>20</v>
      </c>
      <c r="K31" s="4"/>
      <c r="L31" s="66">
        <f>((ARTICULOS_LADIAR[[#This Row],[P. Compra]]*(1+ARTICULOS_LADIAR[[#This Row],[IVA]]%))/ARTICULOS_LADIAR[[#This Row],[UnidFact]])+ARTICULOS_LADIAR[[#This Row],[CostoFlete]]</f>
        <v>236.54900750000002</v>
      </c>
      <c r="M31">
        <v>40</v>
      </c>
      <c r="N31" s="68">
        <f>IF(L31&gt;=20,MROUND((L31*(1+(ARTICULOS_LADIAR[[#This Row],[IVA]]/100)))/(1-M31/100),50),20)</f>
        <v>450</v>
      </c>
      <c r="O31" s="3">
        <f>MROUND((ARTICULOS_LADIAR[[#This Row],[Precio]]/0.6),50)</f>
        <v>750</v>
      </c>
      <c r="P31" t="s">
        <v>8693</v>
      </c>
      <c r="Q31">
        <v>4</v>
      </c>
      <c r="R31" s="3">
        <f>ARTICULOS_LADIAR[[#This Row],[Bulto]]+ARTICULOS_LADIAR[[#This Row],[Minimo]]</f>
        <v>24</v>
      </c>
      <c r="S31" t="s">
        <v>32</v>
      </c>
      <c r="T31" t="s">
        <v>27</v>
      </c>
      <c r="U31" t="s">
        <v>25</v>
      </c>
      <c r="V31" t="s">
        <v>9118</v>
      </c>
      <c r="W31" t="s">
        <v>8692</v>
      </c>
      <c r="X31">
        <v>1</v>
      </c>
      <c r="Y31">
        <v>0</v>
      </c>
      <c r="AB31" s="80">
        <f>ARTICULOS_LADIAR[[#This Row],[Costo]]*ARTICULOS_LADIAR[[#This Row],[Pedido]]</f>
        <v>0</v>
      </c>
      <c r="AD31"/>
      <c r="AH31" s="2" t="str">
        <f>IF(AND(ARTICULOS_LADIAR[[#This Row],[FechaVenc]]=0,ARTICULOS_LADIAR[[#This Row],[DiasVenc]]=0),"",ARTICULOS_LADIAR[[#This Row],[FechaVenc]]-ARTICULOS_LADIAR[[#This Row],[DiasVenc]])</f>
        <v/>
      </c>
      <c r="AK31"/>
      <c r="AM31"/>
      <c r="AO31" s="30" t="s">
        <v>8689</v>
      </c>
    </row>
    <row r="32" spans="1:41" x14ac:dyDescent="0.25">
      <c r="A32" s="1" t="s">
        <v>9125</v>
      </c>
      <c r="C32" t="str">
        <f t="shared" si="0"/>
        <v>KIO77939753</v>
      </c>
      <c r="D32" t="s">
        <v>8689</v>
      </c>
      <c r="E32" s="1" t="s">
        <v>9126</v>
      </c>
      <c r="F32" s="61">
        <v>6364.63</v>
      </c>
      <c r="G32" s="3">
        <v>10.5</v>
      </c>
      <c r="H32" s="4" t="s">
        <v>8690</v>
      </c>
      <c r="I32">
        <v>16</v>
      </c>
      <c r="J32" s="37">
        <f>ARTICULOS_LADIAR[[#This Row],[Bulto]]</f>
        <v>16</v>
      </c>
      <c r="K32" s="4"/>
      <c r="L32" s="66">
        <f>((ARTICULOS_LADIAR[[#This Row],[P. Compra]]*(1+ARTICULOS_LADIAR[[#This Row],[IVA]]%))/ARTICULOS_LADIAR[[#This Row],[UnidFact]])+ARTICULOS_LADIAR[[#This Row],[CostoFlete]]</f>
        <v>439.557259375</v>
      </c>
      <c r="M32">
        <v>40</v>
      </c>
      <c r="N32" s="68">
        <f>IF(L32&gt;=20,MROUND((L32*(1+(ARTICULOS_LADIAR[[#This Row],[IVA]]/100)))/(1-M32/100),50),20)</f>
        <v>800</v>
      </c>
      <c r="O32" s="3">
        <f>MROUND((ARTICULOS_LADIAR[[#This Row],[Precio]]/0.6),50)</f>
        <v>1350</v>
      </c>
      <c r="P32" t="s">
        <v>8693</v>
      </c>
      <c r="Q32">
        <v>4</v>
      </c>
      <c r="R32" s="3">
        <f>ARTICULOS_LADIAR[[#This Row],[Bulto]]+ARTICULOS_LADIAR[[#This Row],[Minimo]]</f>
        <v>20</v>
      </c>
      <c r="S32" t="s">
        <v>32</v>
      </c>
      <c r="T32" t="s">
        <v>27</v>
      </c>
      <c r="U32" t="s">
        <v>25</v>
      </c>
      <c r="V32" t="s">
        <v>9118</v>
      </c>
      <c r="W32" t="s">
        <v>8692</v>
      </c>
      <c r="X32">
        <v>1</v>
      </c>
      <c r="Y32">
        <v>48</v>
      </c>
      <c r="AB32" s="80">
        <f>ARTICULOS_LADIAR[[#This Row],[Costo]]*ARTICULOS_LADIAR[[#This Row],[Pedido]]</f>
        <v>0</v>
      </c>
      <c r="AD32"/>
      <c r="AH32" s="2" t="str">
        <f>IF(AND(ARTICULOS_LADIAR[[#This Row],[FechaVenc]]=0,ARTICULOS_LADIAR[[#This Row],[DiasVenc]]=0),"",ARTICULOS_LADIAR[[#This Row],[FechaVenc]]-ARTICULOS_LADIAR[[#This Row],[DiasVenc]])</f>
        <v/>
      </c>
      <c r="AK32"/>
      <c r="AM32"/>
      <c r="AO32" s="30" t="s">
        <v>8689</v>
      </c>
    </row>
    <row r="33" spans="1:41" x14ac:dyDescent="0.25">
      <c r="A33" s="1" t="s">
        <v>9127</v>
      </c>
      <c r="C33" t="str">
        <f t="shared" si="0"/>
        <v>KIO77983794</v>
      </c>
      <c r="D33" t="s">
        <v>8689</v>
      </c>
      <c r="E33" s="1" t="s">
        <v>9128</v>
      </c>
      <c r="F33" s="61">
        <f>F32</f>
        <v>6364.63</v>
      </c>
      <c r="G33" s="3">
        <v>10.5</v>
      </c>
      <c r="H33" s="4" t="s">
        <v>8690</v>
      </c>
      <c r="I33">
        <v>16</v>
      </c>
      <c r="J33" s="37">
        <f>ARTICULOS_LADIAR[[#This Row],[Bulto]]</f>
        <v>16</v>
      </c>
      <c r="K33" s="4"/>
      <c r="L33" s="66">
        <f>((ARTICULOS_LADIAR[[#This Row],[P. Compra]]*(1+ARTICULOS_LADIAR[[#This Row],[IVA]]%))/ARTICULOS_LADIAR[[#This Row],[UnidFact]])+ARTICULOS_LADIAR[[#This Row],[CostoFlete]]</f>
        <v>439.557259375</v>
      </c>
      <c r="M33">
        <v>40</v>
      </c>
      <c r="N33" s="68">
        <f>IF(L33&gt;=20,MROUND((L33*(1+(ARTICULOS_LADIAR[[#This Row],[IVA]]/100)))/(1-M33/100),50),20)</f>
        <v>800</v>
      </c>
      <c r="O33" s="3">
        <f>MROUND((ARTICULOS_LADIAR[[#This Row],[Precio]]/0.6),50)</f>
        <v>1350</v>
      </c>
      <c r="P33" t="s">
        <v>8693</v>
      </c>
      <c r="Q33">
        <v>4</v>
      </c>
      <c r="R33" s="3">
        <f>ARTICULOS_LADIAR[[#This Row],[Bulto]]+ARTICULOS_LADIAR[[#This Row],[Minimo]]</f>
        <v>20</v>
      </c>
      <c r="S33" t="s">
        <v>32</v>
      </c>
      <c r="T33" t="s">
        <v>27</v>
      </c>
      <c r="U33" t="s">
        <v>25</v>
      </c>
      <c r="V33" t="s">
        <v>9118</v>
      </c>
      <c r="W33" t="s">
        <v>8692</v>
      </c>
      <c r="X33">
        <v>1</v>
      </c>
      <c r="Y33">
        <v>0</v>
      </c>
      <c r="AB33" s="80">
        <f>ARTICULOS_LADIAR[[#This Row],[Costo]]*ARTICULOS_LADIAR[[#This Row],[Pedido]]</f>
        <v>0</v>
      </c>
      <c r="AD33"/>
      <c r="AH33" s="2" t="str">
        <f>IF(AND(ARTICULOS_LADIAR[[#This Row],[FechaVenc]]=0,ARTICULOS_LADIAR[[#This Row],[DiasVenc]]=0),"",ARTICULOS_LADIAR[[#This Row],[FechaVenc]]-ARTICULOS_LADIAR[[#This Row],[DiasVenc]])</f>
        <v/>
      </c>
      <c r="AK33"/>
      <c r="AM33"/>
      <c r="AO33" s="30" t="s">
        <v>8689</v>
      </c>
    </row>
    <row r="34" spans="1:41" x14ac:dyDescent="0.25">
      <c r="A34" s="1" t="s">
        <v>9129</v>
      </c>
      <c r="C34" t="str">
        <f t="shared" si="0"/>
        <v>KIO77964137</v>
      </c>
      <c r="D34" t="s">
        <v>8689</v>
      </c>
      <c r="E34" s="1" t="s">
        <v>9130</v>
      </c>
      <c r="F34" s="61">
        <f>F33</f>
        <v>6364.63</v>
      </c>
      <c r="G34" s="3">
        <v>10.5</v>
      </c>
      <c r="H34" s="4" t="s">
        <v>8690</v>
      </c>
      <c r="I34">
        <v>16</v>
      </c>
      <c r="J34" s="37">
        <f>ARTICULOS_LADIAR[[#This Row],[Bulto]]</f>
        <v>16</v>
      </c>
      <c r="K34" s="4"/>
      <c r="L34" s="66">
        <f>((ARTICULOS_LADIAR[[#This Row],[P. Compra]]*(1+ARTICULOS_LADIAR[[#This Row],[IVA]]%))/ARTICULOS_LADIAR[[#This Row],[UnidFact]])+ARTICULOS_LADIAR[[#This Row],[CostoFlete]]</f>
        <v>439.557259375</v>
      </c>
      <c r="M34">
        <v>40</v>
      </c>
      <c r="N34" s="68">
        <f>IF(L34&gt;=20,MROUND((L34*(1+(ARTICULOS_LADIAR[[#This Row],[IVA]]/100)))/(1-M34/100),50),20)</f>
        <v>800</v>
      </c>
      <c r="O34" s="3">
        <f>MROUND((ARTICULOS_LADIAR[[#This Row],[Precio]]/0.6),50)</f>
        <v>1350</v>
      </c>
      <c r="P34" t="s">
        <v>8693</v>
      </c>
      <c r="Q34">
        <v>4</v>
      </c>
      <c r="R34" s="3">
        <f>ARTICULOS_LADIAR[[#This Row],[Bulto]]+ARTICULOS_LADIAR[[#This Row],[Minimo]]</f>
        <v>20</v>
      </c>
      <c r="S34" t="s">
        <v>32</v>
      </c>
      <c r="T34" t="s">
        <v>27</v>
      </c>
      <c r="U34" t="s">
        <v>25</v>
      </c>
      <c r="V34" t="s">
        <v>9118</v>
      </c>
      <c r="W34" t="s">
        <v>8692</v>
      </c>
      <c r="X34">
        <v>1</v>
      </c>
      <c r="Y34">
        <v>0</v>
      </c>
      <c r="AB34" s="80">
        <f>ARTICULOS_LADIAR[[#This Row],[Costo]]*ARTICULOS_LADIAR[[#This Row],[Pedido]]</f>
        <v>0</v>
      </c>
      <c r="AD34"/>
      <c r="AH34" s="2" t="str">
        <f>IF(AND(ARTICULOS_LADIAR[[#This Row],[FechaVenc]]=0,ARTICULOS_LADIAR[[#This Row],[DiasVenc]]=0),"",ARTICULOS_LADIAR[[#This Row],[FechaVenc]]-ARTICULOS_LADIAR[[#This Row],[DiasVenc]])</f>
        <v/>
      </c>
      <c r="AK34"/>
      <c r="AM34"/>
      <c r="AO34" s="30" t="s">
        <v>8689</v>
      </c>
    </row>
    <row r="35" spans="1:41" x14ac:dyDescent="0.25">
      <c r="A35" s="1" t="s">
        <v>9131</v>
      </c>
      <c r="C35" t="str">
        <f t="shared" si="0"/>
        <v>KIO77932693</v>
      </c>
      <c r="D35" t="s">
        <v>8689</v>
      </c>
      <c r="E35" s="1" t="s">
        <v>9132</v>
      </c>
      <c r="F35" s="61">
        <f>F34</f>
        <v>6364.63</v>
      </c>
      <c r="G35" s="3">
        <v>10.5</v>
      </c>
      <c r="H35" s="4" t="s">
        <v>8690</v>
      </c>
      <c r="I35">
        <v>16</v>
      </c>
      <c r="J35" s="37">
        <f>ARTICULOS_LADIAR[[#This Row],[Bulto]]</f>
        <v>16</v>
      </c>
      <c r="K35" s="4"/>
      <c r="L35" s="66">
        <f>((ARTICULOS_LADIAR[[#This Row],[P. Compra]]*(1+ARTICULOS_LADIAR[[#This Row],[IVA]]%))/ARTICULOS_LADIAR[[#This Row],[UnidFact]])+ARTICULOS_LADIAR[[#This Row],[CostoFlete]]</f>
        <v>439.557259375</v>
      </c>
      <c r="M35">
        <v>40</v>
      </c>
      <c r="N35" s="68">
        <f>IF(L35&gt;=20,MROUND((L35*(1+(ARTICULOS_LADIAR[[#This Row],[IVA]]/100)))/(1-M35/100),50),20)</f>
        <v>800</v>
      </c>
      <c r="O35" s="3">
        <f>MROUND((ARTICULOS_LADIAR[[#This Row],[Precio]]/0.6),50)</f>
        <v>1350</v>
      </c>
      <c r="P35" t="s">
        <v>8693</v>
      </c>
      <c r="Q35">
        <v>4</v>
      </c>
      <c r="R35" s="3">
        <f>ARTICULOS_LADIAR[[#This Row],[Bulto]]+ARTICULOS_LADIAR[[#This Row],[Minimo]]</f>
        <v>20</v>
      </c>
      <c r="S35" t="s">
        <v>32</v>
      </c>
      <c r="T35" t="s">
        <v>27</v>
      </c>
      <c r="U35" t="s">
        <v>25</v>
      </c>
      <c r="V35" t="s">
        <v>9118</v>
      </c>
      <c r="W35" t="s">
        <v>8692</v>
      </c>
      <c r="X35">
        <v>1</v>
      </c>
      <c r="Y35">
        <v>0</v>
      </c>
      <c r="Z35"/>
      <c r="AB35" s="80">
        <f>ARTICULOS_LADIAR[[#This Row],[Costo]]*ARTICULOS_LADIAR[[#This Row],[Pedido]]</f>
        <v>0</v>
      </c>
      <c r="AD35"/>
      <c r="AH35" s="2" t="str">
        <f>IF(AND(ARTICULOS_LADIAR[[#This Row],[FechaVenc]]=0,ARTICULOS_LADIAR[[#This Row],[DiasVenc]]=0),"",ARTICULOS_LADIAR[[#This Row],[FechaVenc]]-ARTICULOS_LADIAR[[#This Row],[DiasVenc]])</f>
        <v/>
      </c>
      <c r="AK35"/>
      <c r="AM35"/>
      <c r="AO35" s="30" t="s">
        <v>8689</v>
      </c>
    </row>
    <row r="36" spans="1:41" x14ac:dyDescent="0.25">
      <c r="A36" s="1" t="s">
        <v>9133</v>
      </c>
      <c r="C36" t="str">
        <f t="shared" si="0"/>
        <v>KIO77951113</v>
      </c>
      <c r="D36" t="s">
        <v>8689</v>
      </c>
      <c r="E36" s="1" t="s">
        <v>9134</v>
      </c>
      <c r="F36" s="61">
        <f>F35</f>
        <v>6364.63</v>
      </c>
      <c r="G36" s="3">
        <v>10.5</v>
      </c>
      <c r="H36" s="4" t="s">
        <v>8690</v>
      </c>
      <c r="I36">
        <v>16</v>
      </c>
      <c r="J36" s="37">
        <f>ARTICULOS_LADIAR[[#This Row],[Bulto]]</f>
        <v>16</v>
      </c>
      <c r="K36" s="4"/>
      <c r="L36" s="66">
        <f>((ARTICULOS_LADIAR[[#This Row],[P. Compra]]*(1+ARTICULOS_LADIAR[[#This Row],[IVA]]%))/ARTICULOS_LADIAR[[#This Row],[UnidFact]])+ARTICULOS_LADIAR[[#This Row],[CostoFlete]]</f>
        <v>439.557259375</v>
      </c>
      <c r="M36">
        <v>40</v>
      </c>
      <c r="N36" s="68">
        <f>IF(L36&gt;=20,MROUND((L36*(1+(ARTICULOS_LADIAR[[#This Row],[IVA]]/100)))/(1-M36/100),50),20)</f>
        <v>800</v>
      </c>
      <c r="O36" s="3">
        <f>MROUND((ARTICULOS_LADIAR[[#This Row],[Precio]]/0.6),50)</f>
        <v>1350</v>
      </c>
      <c r="P36" t="s">
        <v>8693</v>
      </c>
      <c r="Q36">
        <v>4</v>
      </c>
      <c r="R36" s="3">
        <f>ARTICULOS_LADIAR[[#This Row],[Bulto]]+ARTICULOS_LADIAR[[#This Row],[Minimo]]</f>
        <v>20</v>
      </c>
      <c r="S36" t="s">
        <v>32</v>
      </c>
      <c r="T36" t="s">
        <v>27</v>
      </c>
      <c r="U36" t="s">
        <v>25</v>
      </c>
      <c r="V36" t="s">
        <v>9118</v>
      </c>
      <c r="W36" t="s">
        <v>8692</v>
      </c>
      <c r="X36">
        <v>1</v>
      </c>
      <c r="Y36">
        <f>9+32</f>
        <v>41</v>
      </c>
      <c r="Z36"/>
      <c r="AB36" s="80">
        <f>ARTICULOS_LADIAR[[#This Row],[Costo]]*ARTICULOS_LADIAR[[#This Row],[Pedido]]</f>
        <v>0</v>
      </c>
      <c r="AD36"/>
      <c r="AH36" s="2" t="str">
        <f>IF(AND(ARTICULOS_LADIAR[[#This Row],[FechaVenc]]=0,ARTICULOS_LADIAR[[#This Row],[DiasVenc]]=0),"",ARTICULOS_LADIAR[[#This Row],[FechaVenc]]-ARTICULOS_LADIAR[[#This Row],[DiasVenc]])</f>
        <v/>
      </c>
      <c r="AK36"/>
      <c r="AM36"/>
      <c r="AO36" s="30" t="s">
        <v>8689</v>
      </c>
    </row>
    <row r="37" spans="1:41" x14ac:dyDescent="0.25">
      <c r="A37" s="1" t="s">
        <v>9135</v>
      </c>
      <c r="C37" t="str">
        <f t="shared" si="0"/>
        <v>KIO77931764</v>
      </c>
      <c r="D37" t="s">
        <v>8689</v>
      </c>
      <c r="E37" s="1" t="s">
        <v>9136</v>
      </c>
      <c r="F37" s="61">
        <f>F36</f>
        <v>6364.63</v>
      </c>
      <c r="G37" s="3">
        <v>10.5</v>
      </c>
      <c r="H37" s="4" t="s">
        <v>8690</v>
      </c>
      <c r="I37">
        <v>16</v>
      </c>
      <c r="J37" s="37">
        <f>ARTICULOS_LADIAR[[#This Row],[Bulto]]</f>
        <v>16</v>
      </c>
      <c r="K37" s="4"/>
      <c r="L37" s="66">
        <f>((ARTICULOS_LADIAR[[#This Row],[P. Compra]]*(1+ARTICULOS_LADIAR[[#This Row],[IVA]]%))/ARTICULOS_LADIAR[[#This Row],[UnidFact]])+ARTICULOS_LADIAR[[#This Row],[CostoFlete]]</f>
        <v>439.557259375</v>
      </c>
      <c r="M37">
        <v>40</v>
      </c>
      <c r="N37" s="68">
        <f>IF(L37&gt;=20,MROUND((L37*(1+(ARTICULOS_LADIAR[[#This Row],[IVA]]/100)))/(1-M37/100),50),20)</f>
        <v>800</v>
      </c>
      <c r="O37" s="3">
        <f>MROUND((ARTICULOS_LADIAR[[#This Row],[Precio]]/0.6),50)</f>
        <v>1350</v>
      </c>
      <c r="P37" t="s">
        <v>8693</v>
      </c>
      <c r="Q37">
        <v>4</v>
      </c>
      <c r="R37" s="3">
        <f>ARTICULOS_LADIAR[[#This Row],[Bulto]]+ARTICULOS_LADIAR[[#This Row],[Minimo]]</f>
        <v>20</v>
      </c>
      <c r="S37" t="s">
        <v>32</v>
      </c>
      <c r="T37" t="s">
        <v>27</v>
      </c>
      <c r="U37" t="s">
        <v>25</v>
      </c>
      <c r="V37" t="s">
        <v>9118</v>
      </c>
      <c r="W37" t="s">
        <v>8692</v>
      </c>
      <c r="X37">
        <v>1</v>
      </c>
      <c r="Y37">
        <f>13+32</f>
        <v>45</v>
      </c>
      <c r="Z37"/>
      <c r="AB37" s="80">
        <f>ARTICULOS_LADIAR[[#This Row],[Costo]]*ARTICULOS_LADIAR[[#This Row],[Pedido]]</f>
        <v>0</v>
      </c>
      <c r="AD37"/>
      <c r="AH37" s="2" t="str">
        <f>IF(AND(ARTICULOS_LADIAR[[#This Row],[FechaVenc]]=0,ARTICULOS_LADIAR[[#This Row],[DiasVenc]]=0),"",ARTICULOS_LADIAR[[#This Row],[FechaVenc]]-ARTICULOS_LADIAR[[#This Row],[DiasVenc]])</f>
        <v/>
      </c>
      <c r="AK37"/>
      <c r="AM37"/>
      <c r="AO37" s="30" t="s">
        <v>8689</v>
      </c>
    </row>
    <row r="38" spans="1:41" x14ac:dyDescent="0.25">
      <c r="A38" s="1" t="s">
        <v>9137</v>
      </c>
      <c r="C38" t="str">
        <f t="shared" si="0"/>
        <v>KIO80120573</v>
      </c>
      <c r="D38" t="s">
        <v>8689</v>
      </c>
      <c r="E38" s="1" t="s">
        <v>9138</v>
      </c>
      <c r="F38" s="61">
        <v>9371.2199999999993</v>
      </c>
      <c r="G38" s="3">
        <v>10.5</v>
      </c>
      <c r="H38" s="4" t="s">
        <v>8690</v>
      </c>
      <c r="I38">
        <v>12</v>
      </c>
      <c r="J38" s="37">
        <f>ARTICULOS_LADIAR[[#This Row],[Bulto]]</f>
        <v>12</v>
      </c>
      <c r="K38" s="4"/>
      <c r="L38" s="66">
        <f>((ARTICULOS_LADIAR[[#This Row],[P. Compra]]*(1+ARTICULOS_LADIAR[[#This Row],[IVA]]%))/ARTICULOS_LADIAR[[#This Row],[UnidFact]])+ARTICULOS_LADIAR[[#This Row],[CostoFlete]]</f>
        <v>862.93317500000001</v>
      </c>
      <c r="M38">
        <v>40</v>
      </c>
      <c r="N38" s="68">
        <f>IF(L38&gt;=20,MROUND((L38*(1+(ARTICULOS_LADIAR[[#This Row],[IVA]]/100)))/(1-M38/100),50),20)</f>
        <v>1600</v>
      </c>
      <c r="O38" s="3">
        <f>MROUND((ARTICULOS_LADIAR[[#This Row],[Precio]]/0.6),50)</f>
        <v>2650</v>
      </c>
      <c r="P38" t="s">
        <v>8693</v>
      </c>
      <c r="Q38">
        <v>2</v>
      </c>
      <c r="R38" s="3">
        <f>ARTICULOS_LADIAR[[#This Row],[Bulto]]+ARTICULOS_LADIAR[[#This Row],[Minimo]]</f>
        <v>14</v>
      </c>
      <c r="S38" t="s">
        <v>32</v>
      </c>
      <c r="T38" t="s">
        <v>27</v>
      </c>
      <c r="U38" t="s">
        <v>25</v>
      </c>
      <c r="V38" t="s">
        <v>9118</v>
      </c>
      <c r="W38" t="s">
        <v>8692</v>
      </c>
      <c r="X38">
        <v>1</v>
      </c>
      <c r="Y38">
        <v>0</v>
      </c>
      <c r="Z38"/>
      <c r="AB38" s="80">
        <f>ARTICULOS_LADIAR[[#This Row],[Costo]]*ARTICULOS_LADIAR[[#This Row],[Pedido]]</f>
        <v>0</v>
      </c>
      <c r="AD38"/>
      <c r="AH38" s="2" t="str">
        <f>IF(AND(ARTICULOS_LADIAR[[#This Row],[FechaVenc]]=0,ARTICULOS_LADIAR[[#This Row],[DiasVenc]]=0),"",ARTICULOS_LADIAR[[#This Row],[FechaVenc]]-ARTICULOS_LADIAR[[#This Row],[DiasVenc]])</f>
        <v/>
      </c>
      <c r="AK38"/>
      <c r="AM38"/>
      <c r="AO38" s="30" t="s">
        <v>8689</v>
      </c>
    </row>
    <row r="39" spans="1:41" x14ac:dyDescent="0.25">
      <c r="A39" s="1" t="s">
        <v>9139</v>
      </c>
      <c r="C39" t="str">
        <f t="shared" si="0"/>
        <v>KIO80120702</v>
      </c>
      <c r="D39" t="s">
        <v>8689</v>
      </c>
      <c r="E39" s="1" t="s">
        <v>9140</v>
      </c>
      <c r="F39" s="61">
        <f>F38</f>
        <v>9371.2199999999993</v>
      </c>
      <c r="G39" s="3">
        <v>10.5</v>
      </c>
      <c r="H39" s="4" t="s">
        <v>8690</v>
      </c>
      <c r="I39">
        <v>12</v>
      </c>
      <c r="J39" s="37">
        <f>ARTICULOS_LADIAR[[#This Row],[Bulto]]</f>
        <v>12</v>
      </c>
      <c r="K39" s="4"/>
      <c r="L39" s="66">
        <f>((ARTICULOS_LADIAR[[#This Row],[P. Compra]]*(1+ARTICULOS_LADIAR[[#This Row],[IVA]]%))/ARTICULOS_LADIAR[[#This Row],[UnidFact]])+ARTICULOS_LADIAR[[#This Row],[CostoFlete]]</f>
        <v>862.93317500000001</v>
      </c>
      <c r="M39">
        <v>40</v>
      </c>
      <c r="N39" s="68">
        <f>IF(L39&gt;=20,MROUND((L39*(1+(ARTICULOS_LADIAR[[#This Row],[IVA]]/100)))/(1-M39/100),50),20)</f>
        <v>1600</v>
      </c>
      <c r="O39" s="3">
        <f>MROUND((ARTICULOS_LADIAR[[#This Row],[Precio]]/0.6),50)</f>
        <v>2650</v>
      </c>
      <c r="P39" t="s">
        <v>8693</v>
      </c>
      <c r="Q39">
        <v>2</v>
      </c>
      <c r="R39" s="3">
        <f>ARTICULOS_LADIAR[[#This Row],[Bulto]]+ARTICULOS_LADIAR[[#This Row],[Minimo]]</f>
        <v>14</v>
      </c>
      <c r="S39" t="s">
        <v>32</v>
      </c>
      <c r="T39" t="s">
        <v>27</v>
      </c>
      <c r="U39" t="s">
        <v>25</v>
      </c>
      <c r="V39" t="s">
        <v>9118</v>
      </c>
      <c r="W39" t="s">
        <v>8692</v>
      </c>
      <c r="X39">
        <v>1</v>
      </c>
      <c r="Y39">
        <v>0</v>
      </c>
      <c r="Z39"/>
      <c r="AB39" s="80">
        <f>ARTICULOS_LADIAR[[#This Row],[Costo]]*ARTICULOS_LADIAR[[#This Row],[Pedido]]</f>
        <v>0</v>
      </c>
      <c r="AD39"/>
      <c r="AH39" s="2" t="str">
        <f>IF(AND(ARTICULOS_LADIAR[[#This Row],[FechaVenc]]=0,ARTICULOS_LADIAR[[#This Row],[DiasVenc]]=0),"",ARTICULOS_LADIAR[[#This Row],[FechaVenc]]-ARTICULOS_LADIAR[[#This Row],[DiasVenc]])</f>
        <v/>
      </c>
      <c r="AK39"/>
      <c r="AM39"/>
      <c r="AO39" s="30" t="s">
        <v>8689</v>
      </c>
    </row>
    <row r="40" spans="1:41" x14ac:dyDescent="0.25">
      <c r="A40" s="1" t="s">
        <v>9141</v>
      </c>
      <c r="C40" t="str">
        <f t="shared" si="0"/>
        <v>KIO07031013</v>
      </c>
      <c r="D40" t="s">
        <v>8689</v>
      </c>
      <c r="E40" s="1" t="s">
        <v>9142</v>
      </c>
      <c r="F40" s="61">
        <v>1956.54</v>
      </c>
      <c r="G40" s="3">
        <v>10.5</v>
      </c>
      <c r="H40" s="4" t="s">
        <v>8690</v>
      </c>
      <c r="I40">
        <v>15</v>
      </c>
      <c r="J40" s="37">
        <v>1</v>
      </c>
      <c r="K40" s="4"/>
      <c r="L40" s="66">
        <f>((ARTICULOS_LADIAR[[#This Row],[P. Compra]]*(1+ARTICULOS_LADIAR[[#This Row],[IVA]]%))/ARTICULOS_LADIAR[[#This Row],[UnidFact]])+ARTICULOS_LADIAR[[#This Row],[CostoFlete]]</f>
        <v>2161.9766999999997</v>
      </c>
      <c r="M40">
        <v>35</v>
      </c>
      <c r="N40" s="68">
        <f>IF(L40&gt;=20,MROUND((L40*(1+(ARTICULOS_LADIAR[[#This Row],[IVA]]/100)))/(1-M40/100),50),20)</f>
        <v>3700</v>
      </c>
      <c r="O40" s="3">
        <f>MROUND((ARTICULOS_LADIAR[[#This Row],[Precio]]/0.6),50)</f>
        <v>6150</v>
      </c>
      <c r="P40" t="s">
        <v>8693</v>
      </c>
      <c r="Q40">
        <v>2</v>
      </c>
      <c r="R40" s="3">
        <f>ARTICULOS_LADIAR[[#This Row],[Bulto]]+ARTICULOS_LADIAR[[#This Row],[Minimo]]</f>
        <v>17</v>
      </c>
      <c r="S40" t="s">
        <v>70</v>
      </c>
      <c r="T40" t="s">
        <v>27</v>
      </c>
      <c r="U40" t="s">
        <v>28</v>
      </c>
      <c r="V40" t="s">
        <v>9085</v>
      </c>
      <c r="W40" t="s">
        <v>8692</v>
      </c>
      <c r="X40">
        <v>1</v>
      </c>
      <c r="Y40">
        <v>2</v>
      </c>
      <c r="Z40"/>
      <c r="AB40" s="80">
        <f>ARTICULOS_LADIAR[[#This Row],[Costo]]*ARTICULOS_LADIAR[[#This Row],[Pedido]]</f>
        <v>0</v>
      </c>
      <c r="AD40"/>
      <c r="AH40" s="2" t="str">
        <f>IF(AND(ARTICULOS_LADIAR[[#This Row],[FechaVenc]]=0,ARTICULOS_LADIAR[[#This Row],[DiasVenc]]=0),"",ARTICULOS_LADIAR[[#This Row],[FechaVenc]]-ARTICULOS_LADIAR[[#This Row],[DiasVenc]])</f>
        <v/>
      </c>
      <c r="AK40"/>
      <c r="AM40"/>
      <c r="AO40" s="30" t="s">
        <v>8689</v>
      </c>
    </row>
    <row r="41" spans="1:41" x14ac:dyDescent="0.25">
      <c r="A41" s="1" t="s">
        <v>9143</v>
      </c>
      <c r="C41" t="str">
        <f t="shared" si="0"/>
        <v>KIO77955821</v>
      </c>
      <c r="D41" t="s">
        <v>8689</v>
      </c>
      <c r="E41" s="1" t="s">
        <v>9144</v>
      </c>
      <c r="F41" s="61">
        <v>8955.66</v>
      </c>
      <c r="G41" s="3">
        <v>10.5</v>
      </c>
      <c r="H41" s="4" t="s">
        <v>8690</v>
      </c>
      <c r="I41">
        <v>24</v>
      </c>
      <c r="J41" s="37">
        <f>ARTICULOS_LADIAR[[#This Row],[Bulto]]</f>
        <v>24</v>
      </c>
      <c r="K41" s="4"/>
      <c r="L41" s="66">
        <f>((ARTICULOS_LADIAR[[#This Row],[P. Compra]]*(1+ARTICULOS_LADIAR[[#This Row],[IVA]]%))/ARTICULOS_LADIAR[[#This Row],[UnidFact]])+ARTICULOS_LADIAR[[#This Row],[CostoFlete]]</f>
        <v>412.33351250000004</v>
      </c>
      <c r="M41">
        <v>35</v>
      </c>
      <c r="N41" s="68">
        <f>IF(L41&gt;=20,MROUND((L41*(1+(ARTICULOS_LADIAR[[#This Row],[IVA]]/100)))/(1-M41/100),50),20)</f>
        <v>700</v>
      </c>
      <c r="O41" s="3">
        <f>MROUND((ARTICULOS_LADIAR[[#This Row],[Precio]]/0.6),50)</f>
        <v>1150</v>
      </c>
      <c r="P41" t="s">
        <v>8693</v>
      </c>
      <c r="Q41">
        <v>6</v>
      </c>
      <c r="R41" s="3">
        <f>ARTICULOS_LADIAR[[#This Row],[Bulto]]+ARTICULOS_LADIAR[[#This Row],[Minimo]]</f>
        <v>30</v>
      </c>
      <c r="S41" t="s">
        <v>70</v>
      </c>
      <c r="T41" t="s">
        <v>27</v>
      </c>
      <c r="U41" t="s">
        <v>28</v>
      </c>
      <c r="V41" t="s">
        <v>9085</v>
      </c>
      <c r="W41" t="s">
        <v>8692</v>
      </c>
      <c r="X41">
        <v>1</v>
      </c>
      <c r="Y41">
        <v>0</v>
      </c>
      <c r="Z41"/>
      <c r="AB41" s="80">
        <f>ARTICULOS_LADIAR[[#This Row],[Costo]]*ARTICULOS_LADIAR[[#This Row],[Pedido]]</f>
        <v>0</v>
      </c>
      <c r="AD41"/>
      <c r="AH41" s="2" t="str">
        <f>IF(AND(ARTICULOS_LADIAR[[#This Row],[FechaVenc]]=0,ARTICULOS_LADIAR[[#This Row],[DiasVenc]]=0),"",ARTICULOS_LADIAR[[#This Row],[FechaVenc]]-ARTICULOS_LADIAR[[#This Row],[DiasVenc]])</f>
        <v/>
      </c>
      <c r="AK41"/>
      <c r="AM41"/>
      <c r="AO41" s="30" t="s">
        <v>8689</v>
      </c>
    </row>
    <row r="42" spans="1:41" x14ac:dyDescent="0.25">
      <c r="A42" s="1" t="s">
        <v>9145</v>
      </c>
      <c r="C42" t="str">
        <f t="shared" si="0"/>
        <v>KIO77931528</v>
      </c>
      <c r="D42" t="s">
        <v>8689</v>
      </c>
      <c r="E42" s="1" t="s">
        <v>9146</v>
      </c>
      <c r="F42" s="61">
        <f>F41</f>
        <v>8955.66</v>
      </c>
      <c r="G42" s="3">
        <v>10.5</v>
      </c>
      <c r="H42" s="4" t="s">
        <v>8690</v>
      </c>
      <c r="I42">
        <v>24</v>
      </c>
      <c r="J42" s="37">
        <f>ARTICULOS_LADIAR[[#This Row],[Bulto]]</f>
        <v>24</v>
      </c>
      <c r="K42" s="4"/>
      <c r="L42" s="66">
        <f>((ARTICULOS_LADIAR[[#This Row],[P. Compra]]*(1+ARTICULOS_LADIAR[[#This Row],[IVA]]%))/ARTICULOS_LADIAR[[#This Row],[UnidFact]])+ARTICULOS_LADIAR[[#This Row],[CostoFlete]]</f>
        <v>412.33351250000004</v>
      </c>
      <c r="M42">
        <v>35</v>
      </c>
      <c r="N42" s="68">
        <f>IF(L42&gt;=20,MROUND((L42*(1+(ARTICULOS_LADIAR[[#This Row],[IVA]]/100)))/(1-M42/100),50),20)</f>
        <v>700</v>
      </c>
      <c r="O42" s="3">
        <f>MROUND((ARTICULOS_LADIAR[[#This Row],[Precio]]/0.6),50)</f>
        <v>1150</v>
      </c>
      <c r="P42" t="s">
        <v>8693</v>
      </c>
      <c r="Q42">
        <v>6</v>
      </c>
      <c r="R42" s="3">
        <f>ARTICULOS_LADIAR[[#This Row],[Bulto]]+ARTICULOS_LADIAR[[#This Row],[Minimo]]</f>
        <v>30</v>
      </c>
      <c r="S42" t="s">
        <v>70</v>
      </c>
      <c r="T42" t="s">
        <v>27</v>
      </c>
      <c r="U42" t="s">
        <v>28</v>
      </c>
      <c r="V42" t="s">
        <v>9085</v>
      </c>
      <c r="W42" t="s">
        <v>8692</v>
      </c>
      <c r="X42">
        <v>1</v>
      </c>
      <c r="Y42">
        <v>0</v>
      </c>
      <c r="Z42"/>
      <c r="AB42" s="80">
        <f>ARTICULOS_LADIAR[[#This Row],[Costo]]*ARTICULOS_LADIAR[[#This Row],[Pedido]]</f>
        <v>0</v>
      </c>
      <c r="AD42"/>
      <c r="AH42" s="2" t="str">
        <f>IF(AND(ARTICULOS_LADIAR[[#This Row],[FechaVenc]]=0,ARTICULOS_LADIAR[[#This Row],[DiasVenc]]=0),"",ARTICULOS_LADIAR[[#This Row],[FechaVenc]]-ARTICULOS_LADIAR[[#This Row],[DiasVenc]])</f>
        <v/>
      </c>
      <c r="AK42"/>
      <c r="AM42"/>
      <c r="AO42" s="30" t="s">
        <v>8689</v>
      </c>
    </row>
    <row r="43" spans="1:41" x14ac:dyDescent="0.25">
      <c r="A43" s="1" t="s">
        <v>9147</v>
      </c>
      <c r="C43" t="str">
        <f t="shared" si="0"/>
        <v>KIO80129032</v>
      </c>
      <c r="D43" t="s">
        <v>8689</v>
      </c>
      <c r="E43" s="1" t="s">
        <v>9148</v>
      </c>
      <c r="F43" s="61">
        <v>3063.73</v>
      </c>
      <c r="G43" s="3">
        <v>10.5</v>
      </c>
      <c r="H43" s="4" t="s">
        <v>8690</v>
      </c>
      <c r="I43">
        <v>15</v>
      </c>
      <c r="J43" s="37">
        <v>1</v>
      </c>
      <c r="K43" s="4"/>
      <c r="L43" s="66">
        <f>((ARTICULOS_LADIAR[[#This Row],[P. Compra]]*(1+ARTICULOS_LADIAR[[#This Row],[IVA]]%))/ARTICULOS_LADIAR[[#This Row],[UnidFact]])+ARTICULOS_LADIAR[[#This Row],[CostoFlete]]</f>
        <v>3385.4216499999998</v>
      </c>
      <c r="M43">
        <v>35</v>
      </c>
      <c r="N43" s="68">
        <f>IF(L43&gt;=20,MROUND((L43*(1+(ARTICULOS_LADIAR[[#This Row],[IVA]]/100)))/(1-M43/100),50),20)</f>
        <v>5750</v>
      </c>
      <c r="O43" s="3">
        <f>MROUND((ARTICULOS_LADIAR[[#This Row],[Precio]]/0.6),50)</f>
        <v>9600</v>
      </c>
      <c r="P43" t="s">
        <v>8693</v>
      </c>
      <c r="Q43">
        <v>2</v>
      </c>
      <c r="R43" s="3">
        <f>ARTICULOS_LADIAR[[#This Row],[Bulto]]+ARTICULOS_LADIAR[[#This Row],[Minimo]]</f>
        <v>17</v>
      </c>
      <c r="S43" t="s">
        <v>70</v>
      </c>
      <c r="T43" t="s">
        <v>27</v>
      </c>
      <c r="U43" t="s">
        <v>28</v>
      </c>
      <c r="V43" t="s">
        <v>9085</v>
      </c>
      <c r="W43" t="s">
        <v>8692</v>
      </c>
      <c r="X43">
        <v>1</v>
      </c>
      <c r="Y43">
        <v>0</v>
      </c>
      <c r="Z43"/>
      <c r="AB43" s="80">
        <f>ARTICULOS_LADIAR[[#This Row],[Costo]]*ARTICULOS_LADIAR[[#This Row],[Pedido]]</f>
        <v>0</v>
      </c>
      <c r="AD43"/>
      <c r="AH43" s="2" t="str">
        <f>IF(AND(ARTICULOS_LADIAR[[#This Row],[FechaVenc]]=0,ARTICULOS_LADIAR[[#This Row],[DiasVenc]]=0),"",ARTICULOS_LADIAR[[#This Row],[FechaVenc]]-ARTICULOS_LADIAR[[#This Row],[DiasVenc]])</f>
        <v/>
      </c>
      <c r="AK43"/>
      <c r="AM43"/>
      <c r="AO43" s="30" t="s">
        <v>8689</v>
      </c>
    </row>
    <row r="44" spans="1:41" x14ac:dyDescent="0.25">
      <c r="A44" s="24" t="s">
        <v>9149</v>
      </c>
      <c r="C44" t="str">
        <f t="shared" si="0"/>
        <v>KIO80124397</v>
      </c>
      <c r="D44" t="s">
        <v>8689</v>
      </c>
      <c r="E44" s="1" t="s">
        <v>9150</v>
      </c>
      <c r="F44" s="61">
        <v>3341.92</v>
      </c>
      <c r="G44" s="3">
        <v>10.5</v>
      </c>
      <c r="H44" s="4" t="s">
        <v>8690</v>
      </c>
      <c r="I44">
        <v>15</v>
      </c>
      <c r="J44" s="37">
        <v>1</v>
      </c>
      <c r="K44" s="4"/>
      <c r="L44" s="66">
        <f>((ARTICULOS_LADIAR[[#This Row],[P. Compra]]*(1+ARTICULOS_LADIAR[[#This Row],[IVA]]%))/ARTICULOS_LADIAR[[#This Row],[UnidFact]])+ARTICULOS_LADIAR[[#This Row],[CostoFlete]]</f>
        <v>3692.8216000000002</v>
      </c>
      <c r="M44">
        <v>35</v>
      </c>
      <c r="N44" s="68">
        <f>IF(L44&gt;=20,MROUND((L44*(1+(ARTICULOS_LADIAR[[#This Row],[IVA]]/100)))/(1-M44/100),50),20)</f>
        <v>6300</v>
      </c>
      <c r="O44" s="3">
        <f>MROUND((ARTICULOS_LADIAR[[#This Row],[Precio]]/0.6),50)</f>
        <v>10500</v>
      </c>
      <c r="P44" t="s">
        <v>8693</v>
      </c>
      <c r="Q44">
        <v>2</v>
      </c>
      <c r="R44" s="3">
        <f>ARTICULOS_LADIAR[[#This Row],[Bulto]]+ARTICULOS_LADIAR[[#This Row],[Minimo]]</f>
        <v>17</v>
      </c>
      <c r="S44" t="s">
        <v>70</v>
      </c>
      <c r="T44" t="s">
        <v>27</v>
      </c>
      <c r="U44" t="s">
        <v>28</v>
      </c>
      <c r="V44" t="s">
        <v>9085</v>
      </c>
      <c r="W44" t="s">
        <v>8692</v>
      </c>
      <c r="X44">
        <v>1</v>
      </c>
      <c r="Y44">
        <v>0</v>
      </c>
      <c r="Z44"/>
      <c r="AB44" s="80">
        <f>ARTICULOS_LADIAR[[#This Row],[Costo]]*ARTICULOS_LADIAR[[#This Row],[Pedido]]</f>
        <v>0</v>
      </c>
      <c r="AD44"/>
      <c r="AH44" s="2" t="str">
        <f>IF(AND(ARTICULOS_LADIAR[[#This Row],[FechaVenc]]=0,ARTICULOS_LADIAR[[#This Row],[DiasVenc]]=0),"",ARTICULOS_LADIAR[[#This Row],[FechaVenc]]-ARTICULOS_LADIAR[[#This Row],[DiasVenc]])</f>
        <v/>
      </c>
      <c r="AK44"/>
      <c r="AM44"/>
      <c r="AO44" s="30" t="s">
        <v>8689</v>
      </c>
    </row>
    <row r="45" spans="1:41" x14ac:dyDescent="0.25">
      <c r="A45" s="1" t="s">
        <v>9151</v>
      </c>
      <c r="C45" t="str">
        <f t="shared" si="0"/>
        <v>KIO77977991</v>
      </c>
      <c r="D45" t="s">
        <v>8689</v>
      </c>
      <c r="E45" s="1" t="s">
        <v>9152</v>
      </c>
      <c r="F45" s="61">
        <v>4283.8500000000004</v>
      </c>
      <c r="G45" s="3">
        <v>10.5</v>
      </c>
      <c r="H45" s="4" t="s">
        <v>8690</v>
      </c>
      <c r="I45">
        <v>20</v>
      </c>
      <c r="J45" s="37">
        <f>ARTICULOS_LADIAR[[#This Row],[Bulto]]</f>
        <v>20</v>
      </c>
      <c r="K45" s="4"/>
      <c r="L45" s="66">
        <f>((ARTICULOS_LADIAR[[#This Row],[P. Compra]]*(1+ARTICULOS_LADIAR[[#This Row],[IVA]]%))/ARTICULOS_LADIAR[[#This Row],[UnidFact]])+ARTICULOS_LADIAR[[#This Row],[CostoFlete]]</f>
        <v>236.68271250000004</v>
      </c>
      <c r="M45">
        <v>35</v>
      </c>
      <c r="N45" s="68">
        <f>IF(L45&gt;=20,MROUND((L45*(1+(ARTICULOS_LADIAR[[#This Row],[IVA]]/100)))/(1-M45/100),50),20)</f>
        <v>400</v>
      </c>
      <c r="O45" s="3">
        <f>MROUND((ARTICULOS_LADIAR[[#This Row],[Precio]]/0.6),50)</f>
        <v>650</v>
      </c>
      <c r="P45" t="s">
        <v>8693</v>
      </c>
      <c r="Q45">
        <v>2</v>
      </c>
      <c r="R45" s="3">
        <f>ARTICULOS_LADIAR[[#This Row],[Bulto]]+ARTICULOS_LADIAR[[#This Row],[Minimo]]</f>
        <v>22</v>
      </c>
      <c r="S45" t="s">
        <v>70</v>
      </c>
      <c r="T45" t="s">
        <v>27</v>
      </c>
      <c r="U45" t="s">
        <v>28</v>
      </c>
      <c r="V45" t="s">
        <v>9105</v>
      </c>
      <c r="W45" t="s">
        <v>8692</v>
      </c>
      <c r="X45">
        <v>1</v>
      </c>
      <c r="Y45">
        <v>0</v>
      </c>
      <c r="Z45"/>
      <c r="AB45" s="80">
        <f>ARTICULOS_LADIAR[[#This Row],[Costo]]*ARTICULOS_LADIAR[[#This Row],[Pedido]]</f>
        <v>0</v>
      </c>
      <c r="AD45"/>
      <c r="AH45" s="2" t="str">
        <f>IF(AND(ARTICULOS_LADIAR[[#This Row],[FechaVenc]]=0,ARTICULOS_LADIAR[[#This Row],[DiasVenc]]=0),"",ARTICULOS_LADIAR[[#This Row],[FechaVenc]]-ARTICULOS_LADIAR[[#This Row],[DiasVenc]])</f>
        <v/>
      </c>
      <c r="AK45"/>
      <c r="AM45"/>
      <c r="AO45" s="30" t="s">
        <v>8689</v>
      </c>
    </row>
    <row r="46" spans="1:41" x14ac:dyDescent="0.25">
      <c r="A46" s="1" t="s">
        <v>9153</v>
      </c>
      <c r="C46" t="str">
        <f t="shared" si="0"/>
        <v>KIO07022011</v>
      </c>
      <c r="D46" t="s">
        <v>8689</v>
      </c>
      <c r="E46" s="1" t="s">
        <v>9154</v>
      </c>
      <c r="F46" s="61">
        <v>10458.91</v>
      </c>
      <c r="G46" s="3">
        <v>10.5</v>
      </c>
      <c r="H46" s="4" t="s">
        <v>8690</v>
      </c>
      <c r="I46">
        <v>48</v>
      </c>
      <c r="J46" s="37">
        <f>ARTICULOS_LADIAR[[#This Row],[Bulto]]</f>
        <v>48</v>
      </c>
      <c r="K46" s="4"/>
      <c r="L46" s="66">
        <f>((ARTICULOS_LADIAR[[#This Row],[P. Compra]]*(1+ARTICULOS_LADIAR[[#This Row],[IVA]]%))/ARTICULOS_LADIAR[[#This Row],[UnidFact]])+ARTICULOS_LADIAR[[#This Row],[CostoFlete]]</f>
        <v>240.77282395833333</v>
      </c>
      <c r="M46">
        <v>35</v>
      </c>
      <c r="N46" s="68">
        <f>IF(L46&gt;=20,MROUND((L46*(1+(ARTICULOS_LADIAR[[#This Row],[IVA]]/100)))/(1-M46/100),50),20)</f>
        <v>400</v>
      </c>
      <c r="O46" s="3">
        <f>MROUND((ARTICULOS_LADIAR[[#This Row],[Precio]]/0.6),50)</f>
        <v>650</v>
      </c>
      <c r="P46" t="s">
        <v>8693</v>
      </c>
      <c r="Q46">
        <v>12</v>
      </c>
      <c r="R46" s="3">
        <f>ARTICULOS_LADIAR[[#This Row],[Bulto]]+ARTICULOS_LADIAR[[#This Row],[Minimo]]</f>
        <v>60</v>
      </c>
      <c r="S46" t="s">
        <v>70</v>
      </c>
      <c r="T46" t="s">
        <v>27</v>
      </c>
      <c r="U46" t="s">
        <v>28</v>
      </c>
      <c r="V46" t="s">
        <v>9155</v>
      </c>
      <c r="W46" t="s">
        <v>8692</v>
      </c>
      <c r="X46">
        <v>1</v>
      </c>
      <c r="Y46">
        <f>93+36+48</f>
        <v>177</v>
      </c>
      <c r="Z46"/>
      <c r="AB46" s="80">
        <f>ARTICULOS_LADIAR[[#This Row],[Costo]]*ARTICULOS_LADIAR[[#This Row],[Pedido]]</f>
        <v>0</v>
      </c>
      <c r="AD46"/>
      <c r="AH46" s="2" t="str">
        <f>IF(AND(ARTICULOS_LADIAR[[#This Row],[FechaVenc]]=0,ARTICULOS_LADIAR[[#This Row],[DiasVenc]]=0),"",ARTICULOS_LADIAR[[#This Row],[FechaVenc]]-ARTICULOS_LADIAR[[#This Row],[DiasVenc]])</f>
        <v/>
      </c>
      <c r="AK46"/>
      <c r="AM46"/>
      <c r="AO46" s="30" t="s">
        <v>8689</v>
      </c>
    </row>
    <row r="47" spans="1:41" x14ac:dyDescent="0.25">
      <c r="A47" s="1" t="s">
        <v>12099</v>
      </c>
      <c r="C47" t="str">
        <f t="shared" si="0"/>
        <v>KIO80143497</v>
      </c>
      <c r="D47" t="s">
        <v>8689</v>
      </c>
      <c r="E47" s="1" t="s">
        <v>12100</v>
      </c>
      <c r="F47" s="61">
        <f>F46</f>
        <v>10458.91</v>
      </c>
      <c r="G47" s="3">
        <v>10.5</v>
      </c>
      <c r="H47" s="4" t="s">
        <v>8690</v>
      </c>
      <c r="I47">
        <v>48</v>
      </c>
      <c r="J47" s="37">
        <f>ARTICULOS_LADIAR[[#This Row],[Bulto]]</f>
        <v>48</v>
      </c>
      <c r="K47" s="4"/>
      <c r="L47" s="66">
        <f>((ARTICULOS_LADIAR[[#This Row],[P. Compra]]*(1+ARTICULOS_LADIAR[[#This Row],[IVA]]%))/ARTICULOS_LADIAR[[#This Row],[UnidFact]])+ARTICULOS_LADIAR[[#This Row],[CostoFlete]]</f>
        <v>240.77282395833333</v>
      </c>
      <c r="M47">
        <v>35</v>
      </c>
      <c r="N47" s="68">
        <f>IF(L47&gt;=20,MROUND((L47*(1+(ARTICULOS_LADIAR[[#This Row],[IVA]]/100)))/(1-M47/100),50),20)</f>
        <v>400</v>
      </c>
      <c r="O47" s="3">
        <f>MROUND((ARTICULOS_LADIAR[[#This Row],[Precio]]/0.6),50)</f>
        <v>650</v>
      </c>
      <c r="P47" t="s">
        <v>8693</v>
      </c>
      <c r="Q47">
        <v>12</v>
      </c>
      <c r="R47" s="3">
        <f>ARTICULOS_LADIAR[[#This Row],[Bulto]]+ARTICULOS_LADIAR[[#This Row],[Minimo]]</f>
        <v>60</v>
      </c>
      <c r="S47" t="s">
        <v>70</v>
      </c>
      <c r="T47" t="s">
        <v>27</v>
      </c>
      <c r="U47" t="s">
        <v>28</v>
      </c>
      <c r="V47" t="s">
        <v>9155</v>
      </c>
      <c r="W47" t="s">
        <v>8692</v>
      </c>
      <c r="X47">
        <v>1</v>
      </c>
      <c r="Y47">
        <f>93+36+48</f>
        <v>177</v>
      </c>
      <c r="Z47"/>
      <c r="AB47" s="80">
        <f>ARTICULOS_LADIAR[[#This Row],[Costo]]*ARTICULOS_LADIAR[[#This Row],[Pedido]]</f>
        <v>0</v>
      </c>
      <c r="AD47"/>
      <c r="AH47" s="2" t="str">
        <f>IF(AND(ARTICULOS_LADIAR[[#This Row],[FechaVenc]]=0,ARTICULOS_LADIAR[[#This Row],[DiasVenc]]=0),"",ARTICULOS_LADIAR[[#This Row],[FechaVenc]]-ARTICULOS_LADIAR[[#This Row],[DiasVenc]])</f>
        <v/>
      </c>
      <c r="AK47"/>
      <c r="AM47"/>
      <c r="AO47" s="30" t="s">
        <v>8689</v>
      </c>
    </row>
    <row r="48" spans="1:41" x14ac:dyDescent="0.25">
      <c r="A48" s="1" t="s">
        <v>9156</v>
      </c>
      <c r="C48" t="str">
        <f t="shared" si="0"/>
        <v>KIO80219000</v>
      </c>
      <c r="D48" t="s">
        <v>8689</v>
      </c>
      <c r="E48" s="1" t="s">
        <v>9157</v>
      </c>
      <c r="F48" s="61"/>
      <c r="G48" s="3">
        <v>10.5</v>
      </c>
      <c r="H48" s="4" t="s">
        <v>8690</v>
      </c>
      <c r="I48">
        <v>6</v>
      </c>
      <c r="J48" s="37">
        <f>ARTICULOS_LADIAR[[#This Row],[Bulto]]</f>
        <v>6</v>
      </c>
      <c r="K48" s="4"/>
      <c r="L48" s="66">
        <f>((ARTICULOS_LADIAR[[#This Row],[P. Compra]]*(1+ARTICULOS_LADIAR[[#This Row],[IVA]]%))/ARTICULOS_LADIAR[[#This Row],[UnidFact]])+ARTICULOS_LADIAR[[#This Row],[CostoFlete]]</f>
        <v>0</v>
      </c>
      <c r="M48">
        <v>35</v>
      </c>
      <c r="N48" s="68">
        <f>IF(L48&gt;=20,MROUND((L48*(1+(ARTICULOS_LADIAR[[#This Row],[IVA]]/100)))/(1-M48/100),50),20)</f>
        <v>20</v>
      </c>
      <c r="O48" s="3">
        <f>MROUND((ARTICULOS_LADIAR[[#This Row],[Precio]]/0.6),50)</f>
        <v>50</v>
      </c>
      <c r="P48" t="s">
        <v>8693</v>
      </c>
      <c r="Q48">
        <v>2</v>
      </c>
      <c r="R48" s="3">
        <f>ARTICULOS_LADIAR[[#This Row],[Bulto]]+ARTICULOS_LADIAR[[#This Row],[Minimo]]</f>
        <v>8</v>
      </c>
      <c r="S48" t="s">
        <v>70</v>
      </c>
      <c r="T48" t="s">
        <v>27</v>
      </c>
      <c r="U48" t="s">
        <v>28</v>
      </c>
      <c r="V48" t="s">
        <v>9155</v>
      </c>
      <c r="W48" t="s">
        <v>8692</v>
      </c>
      <c r="X48">
        <v>1</v>
      </c>
      <c r="Y48">
        <v>0</v>
      </c>
      <c r="Z48"/>
      <c r="AB48" s="80">
        <f>ARTICULOS_LADIAR[[#This Row],[Costo]]*ARTICULOS_LADIAR[[#This Row],[Pedido]]</f>
        <v>0</v>
      </c>
      <c r="AD48"/>
      <c r="AH48" s="2" t="str">
        <f>IF(AND(ARTICULOS_LADIAR[[#This Row],[FechaVenc]]=0,ARTICULOS_LADIAR[[#This Row],[DiasVenc]]=0),"",ARTICULOS_LADIAR[[#This Row],[FechaVenc]]-ARTICULOS_LADIAR[[#This Row],[DiasVenc]])</f>
        <v/>
      </c>
      <c r="AK48"/>
      <c r="AM48"/>
      <c r="AO48" s="30" t="s">
        <v>8689</v>
      </c>
    </row>
    <row r="49" spans="1:41" x14ac:dyDescent="0.25">
      <c r="A49" s="1" t="s">
        <v>9243</v>
      </c>
      <c r="B49" s="1" t="s">
        <v>12201</v>
      </c>
      <c r="C49" t="str">
        <f t="shared" si="0"/>
        <v>KIO77947505</v>
      </c>
      <c r="D49" t="s">
        <v>8689</v>
      </c>
      <c r="E49" s="24" t="s">
        <v>12202</v>
      </c>
      <c r="F49" s="61">
        <v>5175.17</v>
      </c>
      <c r="G49" s="3">
        <v>10.5</v>
      </c>
      <c r="H49" s="4" t="s">
        <v>8690</v>
      </c>
      <c r="I49">
        <v>15</v>
      </c>
      <c r="J49" s="37">
        <f>ARTICULOS_LADIAR[[#This Row],[Bulto]]</f>
        <v>15</v>
      </c>
      <c r="K49" s="4"/>
      <c r="L49" s="66">
        <f>((ARTICULOS_LADIAR[[#This Row],[P. Compra]]*(1+ARTICULOS_LADIAR[[#This Row],[IVA]]%))/ARTICULOS_LADIAR[[#This Row],[UnidFact]])+ARTICULOS_LADIAR[[#This Row],[CostoFlete]]</f>
        <v>381.23752333333334</v>
      </c>
      <c r="M49">
        <v>35</v>
      </c>
      <c r="N49" s="68">
        <f>IF(L49&gt;=20,MROUND((L49*(1+(ARTICULOS_LADIAR[[#This Row],[IVA]]/100)))/(1-M49/100),50),20)</f>
        <v>650</v>
      </c>
      <c r="O49" s="3">
        <f>MROUND((ARTICULOS_LADIAR[[#This Row],[Precio]]/0.6),50)</f>
        <v>1100</v>
      </c>
      <c r="P49" t="s">
        <v>8693</v>
      </c>
      <c r="Q49">
        <v>5</v>
      </c>
      <c r="R49" s="3">
        <f>ARTICULOS_LADIAR[[#This Row],[Bulto]]+ARTICULOS_LADIAR[[#This Row],[Minimo]]</f>
        <v>20</v>
      </c>
      <c r="S49" t="s">
        <v>70</v>
      </c>
      <c r="T49" t="s">
        <v>27</v>
      </c>
      <c r="U49" t="s">
        <v>28</v>
      </c>
      <c r="V49" t="s">
        <v>9085</v>
      </c>
      <c r="W49" t="s">
        <v>8692</v>
      </c>
      <c r="X49">
        <v>1</v>
      </c>
      <c r="Y49">
        <v>0</v>
      </c>
      <c r="Z49"/>
      <c r="AB49" s="80">
        <f>ARTICULOS_LADIAR[[#This Row],[Costo]]*ARTICULOS_LADIAR[[#This Row],[Pedido]]</f>
        <v>0</v>
      </c>
      <c r="AD49"/>
      <c r="AH49" s="2" t="str">
        <f>IF(AND(ARTICULOS_LADIAR[[#This Row],[FechaVenc]]=0,ARTICULOS_LADIAR[[#This Row],[DiasVenc]]=0),"",ARTICULOS_LADIAR[[#This Row],[FechaVenc]]-ARTICULOS_LADIAR[[#This Row],[DiasVenc]])</f>
        <v/>
      </c>
      <c r="AK49"/>
      <c r="AM49"/>
      <c r="AO49" s="30" t="s">
        <v>8689</v>
      </c>
    </row>
    <row r="50" spans="1:41" x14ac:dyDescent="0.25">
      <c r="A50" s="1" t="s">
        <v>9158</v>
      </c>
      <c r="C50" t="str">
        <f t="shared" si="0"/>
        <v>KIO77961815</v>
      </c>
      <c r="D50" t="s">
        <v>8689</v>
      </c>
      <c r="E50" s="1" t="s">
        <v>9159</v>
      </c>
      <c r="F50" s="61">
        <v>6890.27</v>
      </c>
      <c r="G50" s="3">
        <v>10.5</v>
      </c>
      <c r="H50" s="4" t="s">
        <v>8690</v>
      </c>
      <c r="I50">
        <v>30</v>
      </c>
      <c r="J50" s="37">
        <f>ARTICULOS_LADIAR[[#This Row],[Bulto]]</f>
        <v>30</v>
      </c>
      <c r="K50" s="4"/>
      <c r="L50" s="66">
        <f>((ARTICULOS_LADIAR[[#This Row],[P. Compra]]*(1+ARTICULOS_LADIAR[[#This Row],[IVA]]%))/ARTICULOS_LADIAR[[#This Row],[UnidFact]])+ARTICULOS_LADIAR[[#This Row],[CostoFlete]]</f>
        <v>253.79161166666668</v>
      </c>
      <c r="M50">
        <v>35</v>
      </c>
      <c r="N50" s="68">
        <f>IF(L50&gt;=20,MROUND((L50*(1+(ARTICULOS_LADIAR[[#This Row],[IVA]]/100)))/(1-M50/100),50),20)</f>
        <v>450</v>
      </c>
      <c r="O50" s="3">
        <f>MROUND((ARTICULOS_LADIAR[[#This Row],[Precio]]/0.6),50)</f>
        <v>750</v>
      </c>
      <c r="P50" t="s">
        <v>8693</v>
      </c>
      <c r="Q50">
        <v>10</v>
      </c>
      <c r="R50" s="3">
        <f>ARTICULOS_LADIAR[[#This Row],[Bulto]]+ARTICULOS_LADIAR[[#This Row],[Minimo]]</f>
        <v>40</v>
      </c>
      <c r="S50" t="s">
        <v>70</v>
      </c>
      <c r="T50" t="s">
        <v>27</v>
      </c>
      <c r="U50" t="s">
        <v>28</v>
      </c>
      <c r="V50" t="s">
        <v>9070</v>
      </c>
      <c r="W50" t="s">
        <v>8692</v>
      </c>
      <c r="X50">
        <v>1</v>
      </c>
      <c r="Y50">
        <v>60</v>
      </c>
      <c r="Z50"/>
      <c r="AB50" s="80">
        <f>ARTICULOS_LADIAR[[#This Row],[Costo]]*ARTICULOS_LADIAR[[#This Row],[Pedido]]</f>
        <v>0</v>
      </c>
      <c r="AD50"/>
      <c r="AH50" s="2" t="str">
        <f>IF(AND(ARTICULOS_LADIAR[[#This Row],[FechaVenc]]=0,ARTICULOS_LADIAR[[#This Row],[DiasVenc]]=0),"",ARTICULOS_LADIAR[[#This Row],[FechaVenc]]-ARTICULOS_LADIAR[[#This Row],[DiasVenc]])</f>
        <v/>
      </c>
      <c r="AK50"/>
      <c r="AM50"/>
      <c r="AO50" s="30" t="s">
        <v>8689</v>
      </c>
    </row>
    <row r="51" spans="1:41" x14ac:dyDescent="0.25">
      <c r="A51" s="1" t="s">
        <v>9160</v>
      </c>
      <c r="C51" t="str">
        <f t="shared" si="0"/>
        <v>KIO77958921</v>
      </c>
      <c r="D51" t="s">
        <v>8689</v>
      </c>
      <c r="E51" s="1" t="s">
        <v>9161</v>
      </c>
      <c r="F51" s="61">
        <f>F50</f>
        <v>6890.27</v>
      </c>
      <c r="G51" s="3">
        <v>10.5</v>
      </c>
      <c r="H51" s="4" t="s">
        <v>8690</v>
      </c>
      <c r="I51">
        <v>30</v>
      </c>
      <c r="J51" s="37">
        <f>ARTICULOS_LADIAR[[#This Row],[Bulto]]</f>
        <v>30</v>
      </c>
      <c r="K51" s="4"/>
      <c r="L51" s="66">
        <f>((ARTICULOS_LADIAR[[#This Row],[P. Compra]]*(1+ARTICULOS_LADIAR[[#This Row],[IVA]]%))/ARTICULOS_LADIAR[[#This Row],[UnidFact]])+ARTICULOS_LADIAR[[#This Row],[CostoFlete]]</f>
        <v>253.79161166666668</v>
      </c>
      <c r="M51">
        <v>35</v>
      </c>
      <c r="N51" s="68">
        <f>IF(L51&gt;=20,MROUND((L51*(1+(ARTICULOS_LADIAR[[#This Row],[IVA]]/100)))/(1-M51/100),50),20)</f>
        <v>450</v>
      </c>
      <c r="O51" s="3">
        <f>MROUND((ARTICULOS_LADIAR[[#This Row],[Precio]]/0.6),50)</f>
        <v>750</v>
      </c>
      <c r="P51" t="s">
        <v>8693</v>
      </c>
      <c r="Q51">
        <v>10</v>
      </c>
      <c r="R51" s="3">
        <f>ARTICULOS_LADIAR[[#This Row],[Bulto]]+ARTICULOS_LADIAR[[#This Row],[Minimo]]</f>
        <v>40</v>
      </c>
      <c r="S51" t="s">
        <v>70</v>
      </c>
      <c r="T51" t="s">
        <v>27</v>
      </c>
      <c r="U51" t="s">
        <v>28</v>
      </c>
      <c r="V51" t="s">
        <v>9070</v>
      </c>
      <c r="W51" t="s">
        <v>8692</v>
      </c>
      <c r="X51">
        <v>1</v>
      </c>
      <c r="Y51">
        <v>30</v>
      </c>
      <c r="Z51"/>
      <c r="AB51" s="80">
        <f>ARTICULOS_LADIAR[[#This Row],[Costo]]*ARTICULOS_LADIAR[[#This Row],[Pedido]]</f>
        <v>0</v>
      </c>
      <c r="AD51"/>
      <c r="AH51" s="2" t="str">
        <f>IF(AND(ARTICULOS_LADIAR[[#This Row],[FechaVenc]]=0,ARTICULOS_LADIAR[[#This Row],[DiasVenc]]=0),"",ARTICULOS_LADIAR[[#This Row],[FechaVenc]]-ARTICULOS_LADIAR[[#This Row],[DiasVenc]])</f>
        <v/>
      </c>
      <c r="AK51"/>
      <c r="AM51"/>
      <c r="AO51" s="30" t="s">
        <v>8689</v>
      </c>
    </row>
    <row r="52" spans="1:41" x14ac:dyDescent="0.25">
      <c r="A52" s="1" t="s">
        <v>9162</v>
      </c>
      <c r="B52" s="1" t="s">
        <v>9163</v>
      </c>
      <c r="C52" t="str">
        <f t="shared" si="0"/>
        <v>KIO80119126</v>
      </c>
      <c r="D52" t="s">
        <v>8689</v>
      </c>
      <c r="E52" s="1" t="s">
        <v>9164</v>
      </c>
      <c r="F52" s="61"/>
      <c r="G52" s="3">
        <v>10.5</v>
      </c>
      <c r="H52" s="4" t="s">
        <v>8690</v>
      </c>
      <c r="I52">
        <v>6</v>
      </c>
      <c r="J52" s="37">
        <f>ARTICULOS_LADIAR[[#This Row],[Bulto]]</f>
        <v>6</v>
      </c>
      <c r="K52" s="4"/>
      <c r="L52" s="66">
        <f>L51*7</f>
        <v>1776.5412816666667</v>
      </c>
      <c r="M52">
        <v>35</v>
      </c>
      <c r="N52" s="68">
        <f>IF(L52&gt;=20,MROUND((L52*(1+(ARTICULOS_LADIAR[[#This Row],[IVA]]/100)))/(1-M52/100),50),20)</f>
        <v>3000</v>
      </c>
      <c r="O52" s="3">
        <f>MROUND((ARTICULOS_LADIAR[[#This Row],[Precio]]/0.6),50)</f>
        <v>5000</v>
      </c>
      <c r="P52" t="s">
        <v>8693</v>
      </c>
      <c r="Q52">
        <v>2</v>
      </c>
      <c r="R52" s="3">
        <f>ARTICULOS_LADIAR[[#This Row],[Bulto]]+ARTICULOS_LADIAR[[#This Row],[Minimo]]</f>
        <v>8</v>
      </c>
      <c r="S52" t="s">
        <v>70</v>
      </c>
      <c r="T52" t="s">
        <v>27</v>
      </c>
      <c r="U52" t="s">
        <v>28</v>
      </c>
      <c r="V52" t="s">
        <v>9070</v>
      </c>
      <c r="W52" t="s">
        <v>8692</v>
      </c>
      <c r="X52">
        <v>1</v>
      </c>
      <c r="Y52">
        <v>5</v>
      </c>
      <c r="Z52"/>
      <c r="AB52" s="80">
        <f>ARTICULOS_LADIAR[[#This Row],[Costo]]*ARTICULOS_LADIAR[[#This Row],[Pedido]]</f>
        <v>0</v>
      </c>
      <c r="AD52"/>
      <c r="AH52" s="2" t="str">
        <f>IF(AND(ARTICULOS_LADIAR[[#This Row],[FechaVenc]]=0,ARTICULOS_LADIAR[[#This Row],[DiasVenc]]=0),"",ARTICULOS_LADIAR[[#This Row],[FechaVenc]]-ARTICULOS_LADIAR[[#This Row],[DiasVenc]])</f>
        <v/>
      </c>
      <c r="AK52"/>
      <c r="AM52"/>
      <c r="AO52" s="30" t="s">
        <v>8689</v>
      </c>
    </row>
    <row r="53" spans="1:41" x14ac:dyDescent="0.25">
      <c r="A53" s="1" t="s">
        <v>9165</v>
      </c>
      <c r="C53" t="str">
        <f t="shared" si="0"/>
        <v>KIO80119164</v>
      </c>
      <c r="D53" t="s">
        <v>8689</v>
      </c>
      <c r="E53" s="1" t="s">
        <v>9166</v>
      </c>
      <c r="F53" s="61">
        <v>4174.3</v>
      </c>
      <c r="G53" s="3">
        <v>10.5</v>
      </c>
      <c r="H53" s="4" t="s">
        <v>8690</v>
      </c>
      <c r="I53">
        <v>18</v>
      </c>
      <c r="J53" s="37">
        <v>1</v>
      </c>
      <c r="K53" s="4"/>
      <c r="L53" s="66">
        <f>((ARTICULOS_LADIAR[[#This Row],[P. Compra]]*(1+ARTICULOS_LADIAR[[#This Row],[IVA]]%))/ARTICULOS_LADIAR[[#This Row],[UnidFact]])+ARTICULOS_LADIAR[[#This Row],[CostoFlete]]</f>
        <v>4612.6014999999998</v>
      </c>
      <c r="M53">
        <v>35</v>
      </c>
      <c r="N53" s="68">
        <f>IF(L53&gt;=20,MROUND((L53*(1+(ARTICULOS_LADIAR[[#This Row],[IVA]]/100)))/(1-M53/100),50),20)</f>
        <v>7850</v>
      </c>
      <c r="O53" s="3">
        <f>MROUND((ARTICULOS_LADIAR[[#This Row],[Precio]]/0.6),50)</f>
        <v>13100</v>
      </c>
      <c r="P53" t="s">
        <v>8693</v>
      </c>
      <c r="Q53">
        <v>2</v>
      </c>
      <c r="R53" s="3">
        <f>ARTICULOS_LADIAR[[#This Row],[Bulto]]+ARTICULOS_LADIAR[[#This Row],[Minimo]]</f>
        <v>20</v>
      </c>
      <c r="S53" t="s">
        <v>70</v>
      </c>
      <c r="T53" t="s">
        <v>27</v>
      </c>
      <c r="U53" t="s">
        <v>28</v>
      </c>
      <c r="V53" t="s">
        <v>9070</v>
      </c>
      <c r="W53" t="s">
        <v>8692</v>
      </c>
      <c r="X53">
        <v>1</v>
      </c>
      <c r="Y53">
        <v>4</v>
      </c>
      <c r="Z53"/>
      <c r="AB53" s="80">
        <f>ARTICULOS_LADIAR[[#This Row],[Costo]]*ARTICULOS_LADIAR[[#This Row],[Pedido]]</f>
        <v>0</v>
      </c>
      <c r="AD53"/>
      <c r="AH53" s="2" t="str">
        <f>IF(AND(ARTICULOS_LADIAR[[#This Row],[FechaVenc]]=0,ARTICULOS_LADIAR[[#This Row],[DiasVenc]]=0),"",ARTICULOS_LADIAR[[#This Row],[FechaVenc]]-ARTICULOS_LADIAR[[#This Row],[DiasVenc]])</f>
        <v/>
      </c>
      <c r="AK53"/>
      <c r="AM53"/>
      <c r="AO53" s="30" t="s">
        <v>8689</v>
      </c>
    </row>
    <row r="54" spans="1:41" x14ac:dyDescent="0.25">
      <c r="A54" s="1" t="s">
        <v>9167</v>
      </c>
      <c r="C54" t="str">
        <f t="shared" si="0"/>
        <v>KIO77971944</v>
      </c>
      <c r="D54" t="s">
        <v>8689</v>
      </c>
      <c r="E54" s="1" t="s">
        <v>9168</v>
      </c>
      <c r="F54" s="61">
        <v>5295.91</v>
      </c>
      <c r="G54" s="3">
        <v>10.5</v>
      </c>
      <c r="H54" s="4" t="s">
        <v>8690</v>
      </c>
      <c r="I54">
        <v>16</v>
      </c>
      <c r="J54" s="37">
        <v>16</v>
      </c>
      <c r="K54" s="4"/>
      <c r="L54" s="66">
        <f>((ARTICULOS_LADIAR[[#This Row],[P. Compra]]*(1+ARTICULOS_LADIAR[[#This Row],[IVA]]%))/ARTICULOS_LADIAR[[#This Row],[UnidFact]])+ARTICULOS_LADIAR[[#This Row],[CostoFlete]]</f>
        <v>365.74878437499996</v>
      </c>
      <c r="M54">
        <v>35</v>
      </c>
      <c r="N54" s="68">
        <f>IF(L54&gt;=20,MROUND((L54*(1+(ARTICULOS_LADIAR[[#This Row],[IVA]]/100)))/(1-M54/100),50),20)</f>
        <v>600</v>
      </c>
      <c r="O54" s="3">
        <f>MROUND((ARTICULOS_LADIAR[[#This Row],[Precio]]/0.6),50)</f>
        <v>1000</v>
      </c>
      <c r="P54" t="s">
        <v>8693</v>
      </c>
      <c r="Q54">
        <v>2</v>
      </c>
      <c r="R54" s="3">
        <f>ARTICULOS_LADIAR[[#This Row],[Bulto]]+ARTICULOS_LADIAR[[#This Row],[Minimo]]</f>
        <v>18</v>
      </c>
      <c r="S54" t="s">
        <v>70</v>
      </c>
      <c r="T54" t="s">
        <v>27</v>
      </c>
      <c r="U54" t="s">
        <v>28</v>
      </c>
      <c r="V54" t="s">
        <v>9100</v>
      </c>
      <c r="W54" t="s">
        <v>8692</v>
      </c>
      <c r="X54">
        <v>1</v>
      </c>
      <c r="Y54">
        <v>10</v>
      </c>
      <c r="Z54"/>
      <c r="AB54" s="80">
        <f>ARTICULOS_LADIAR[[#This Row],[Costo]]*ARTICULOS_LADIAR[[#This Row],[Pedido]]</f>
        <v>0</v>
      </c>
      <c r="AD54"/>
      <c r="AH54" s="2" t="str">
        <f>IF(AND(ARTICULOS_LADIAR[[#This Row],[FechaVenc]]=0,ARTICULOS_LADIAR[[#This Row],[DiasVenc]]=0),"",ARTICULOS_LADIAR[[#This Row],[FechaVenc]]-ARTICULOS_LADIAR[[#This Row],[DiasVenc]])</f>
        <v/>
      </c>
      <c r="AK54"/>
      <c r="AM54"/>
      <c r="AO54" s="30" t="s">
        <v>8689</v>
      </c>
    </row>
    <row r="55" spans="1:41" x14ac:dyDescent="0.25">
      <c r="A55" s="1" t="s">
        <v>9169</v>
      </c>
      <c r="C55" t="str">
        <f t="shared" si="0"/>
        <v>KIO80131371</v>
      </c>
      <c r="D55" t="s">
        <v>8689</v>
      </c>
      <c r="E55" s="1" t="s">
        <v>9170</v>
      </c>
      <c r="F55" s="61">
        <v>4112</v>
      </c>
      <c r="G55" s="3">
        <v>10.5</v>
      </c>
      <c r="H55" s="4" t="s">
        <v>8690</v>
      </c>
      <c r="I55">
        <v>24</v>
      </c>
      <c r="J55" s="37">
        <v>1</v>
      </c>
      <c r="K55" s="4"/>
      <c r="L55" s="66">
        <f>((ARTICULOS_LADIAR[[#This Row],[P. Compra]]*(1+ARTICULOS_LADIAR[[#This Row],[IVA]]%))/ARTICULOS_LADIAR[[#This Row],[UnidFact]])+ARTICULOS_LADIAR[[#This Row],[CostoFlete]]</f>
        <v>4543.76</v>
      </c>
      <c r="M55">
        <v>35</v>
      </c>
      <c r="N55" s="68">
        <f>IF(L55&gt;=20,MROUND((L55*(1+(ARTICULOS_LADIAR[[#This Row],[IVA]]/100)))/(1-M55/100),50),20)</f>
        <v>7700</v>
      </c>
      <c r="O55" s="3">
        <f>MROUND((ARTICULOS_LADIAR[[#This Row],[Precio]]/0.6),50)</f>
        <v>12850</v>
      </c>
      <c r="P55" t="s">
        <v>8693</v>
      </c>
      <c r="Q55">
        <v>2</v>
      </c>
      <c r="R55" s="3">
        <f>ARTICULOS_LADIAR[[#This Row],[Bulto]]+ARTICULOS_LADIAR[[#This Row],[Minimo]]</f>
        <v>26</v>
      </c>
      <c r="S55" t="s">
        <v>70</v>
      </c>
      <c r="T55" t="s">
        <v>27</v>
      </c>
      <c r="U55" t="s">
        <v>28</v>
      </c>
      <c r="V55" t="s">
        <v>9105</v>
      </c>
      <c r="W55" t="s">
        <v>8692</v>
      </c>
      <c r="X55">
        <v>1</v>
      </c>
      <c r="Y55">
        <v>2</v>
      </c>
      <c r="Z55"/>
      <c r="AB55" s="80">
        <f>ARTICULOS_LADIAR[[#This Row],[Costo]]*ARTICULOS_LADIAR[[#This Row],[Pedido]]</f>
        <v>0</v>
      </c>
      <c r="AD55"/>
      <c r="AH55" s="2" t="str">
        <f>IF(AND(ARTICULOS_LADIAR[[#This Row],[FechaVenc]]=0,ARTICULOS_LADIAR[[#This Row],[DiasVenc]]=0),"",ARTICULOS_LADIAR[[#This Row],[FechaVenc]]-ARTICULOS_LADIAR[[#This Row],[DiasVenc]])</f>
        <v/>
      </c>
      <c r="AK55"/>
      <c r="AM55"/>
      <c r="AO55" s="30" t="s">
        <v>8689</v>
      </c>
    </row>
    <row r="56" spans="1:41" x14ac:dyDescent="0.25">
      <c r="A56" s="1" t="s">
        <v>9171</v>
      </c>
      <c r="C56" t="str">
        <f t="shared" si="0"/>
        <v>KIO80131388</v>
      </c>
      <c r="D56" t="s">
        <v>8689</v>
      </c>
      <c r="E56" s="1" t="s">
        <v>9172</v>
      </c>
      <c r="F56" s="61">
        <v>3807.41</v>
      </c>
      <c r="G56" s="3">
        <v>10.5</v>
      </c>
      <c r="H56" s="4" t="s">
        <v>8690</v>
      </c>
      <c r="I56">
        <v>24</v>
      </c>
      <c r="J56" s="37">
        <v>1</v>
      </c>
      <c r="K56" s="4"/>
      <c r="L56" s="66">
        <f>((ARTICULOS_LADIAR[[#This Row],[P. Compra]]*(1+ARTICULOS_LADIAR[[#This Row],[IVA]]%))/ARTICULOS_LADIAR[[#This Row],[UnidFact]])+ARTICULOS_LADIAR[[#This Row],[CostoFlete]]</f>
        <v>4207.1880499999997</v>
      </c>
      <c r="M56">
        <v>35</v>
      </c>
      <c r="N56" s="68">
        <f>IF(L56&gt;=20,MROUND((L56*(1+(ARTICULOS_LADIAR[[#This Row],[IVA]]/100)))/(1-M56/100),50),20)</f>
        <v>7150</v>
      </c>
      <c r="O56" s="3">
        <f>MROUND((ARTICULOS_LADIAR[[#This Row],[Precio]]/0.6),50)</f>
        <v>11900</v>
      </c>
      <c r="P56" t="s">
        <v>8693</v>
      </c>
      <c r="Q56">
        <v>2</v>
      </c>
      <c r="R56" s="3">
        <f>ARTICULOS_LADIAR[[#This Row],[Bulto]]+ARTICULOS_LADIAR[[#This Row],[Minimo]]</f>
        <v>26</v>
      </c>
      <c r="S56" t="s">
        <v>70</v>
      </c>
      <c r="T56" t="s">
        <v>27</v>
      </c>
      <c r="U56" t="s">
        <v>28</v>
      </c>
      <c r="V56" t="s">
        <v>9105</v>
      </c>
      <c r="W56" t="s">
        <v>8692</v>
      </c>
      <c r="X56">
        <v>1</v>
      </c>
      <c r="Y56">
        <v>2</v>
      </c>
      <c r="Z56"/>
      <c r="AB56" s="80">
        <f>ARTICULOS_LADIAR[[#This Row],[Costo]]*ARTICULOS_LADIAR[[#This Row],[Pedido]]</f>
        <v>0</v>
      </c>
      <c r="AD56"/>
      <c r="AH56" s="2" t="str">
        <f>IF(AND(ARTICULOS_LADIAR[[#This Row],[FechaVenc]]=0,ARTICULOS_LADIAR[[#This Row],[DiasVenc]]=0),"",ARTICULOS_LADIAR[[#This Row],[FechaVenc]]-ARTICULOS_LADIAR[[#This Row],[DiasVenc]])</f>
        <v/>
      </c>
      <c r="AK56"/>
      <c r="AM56"/>
      <c r="AO56" s="30" t="s">
        <v>8689</v>
      </c>
    </row>
    <row r="57" spans="1:41" x14ac:dyDescent="0.25">
      <c r="A57" s="1" t="s">
        <v>9175</v>
      </c>
      <c r="C57" t="str">
        <f t="shared" si="0"/>
        <v>KIO80120092</v>
      </c>
      <c r="D57" t="s">
        <v>8689</v>
      </c>
      <c r="E57" s="1" t="s">
        <v>9176</v>
      </c>
      <c r="F57" s="61">
        <v>428.21</v>
      </c>
      <c r="G57" s="3">
        <v>10.5</v>
      </c>
      <c r="H57" s="4" t="s">
        <v>8690</v>
      </c>
      <c r="I57">
        <v>30</v>
      </c>
      <c r="J57" s="37">
        <v>1</v>
      </c>
      <c r="K57" s="4"/>
      <c r="L57" s="66">
        <f>((ARTICULOS_LADIAR[[#This Row],[P. Compra]]*(1+ARTICULOS_LADIAR[[#This Row],[IVA]]%))/ARTICULOS_LADIAR[[#This Row],[UnidFact]])+ARTICULOS_LADIAR[[#This Row],[CostoFlete]]</f>
        <v>473.17204999999996</v>
      </c>
      <c r="M57">
        <v>35</v>
      </c>
      <c r="N57" s="68">
        <f>IF(L57&gt;=20,MROUND((L57*(1+(ARTICULOS_LADIAR[[#This Row],[IVA]]/100)))/(1-M57/100),50),20)</f>
        <v>800</v>
      </c>
      <c r="O57" s="3">
        <f>MROUND((ARTICULOS_LADIAR[[#This Row],[Precio]]/0.6),50)</f>
        <v>1350</v>
      </c>
      <c r="P57" t="s">
        <v>8693</v>
      </c>
      <c r="Q57">
        <v>4</v>
      </c>
      <c r="R57" s="3">
        <f>ARTICULOS_LADIAR[[#This Row],[Bulto]]+ARTICULOS_LADIAR[[#This Row],[Minimo]]</f>
        <v>34</v>
      </c>
      <c r="S57" t="s">
        <v>70</v>
      </c>
      <c r="T57" t="s">
        <v>27</v>
      </c>
      <c r="U57" t="s">
        <v>28</v>
      </c>
      <c r="V57" t="s">
        <v>9105</v>
      </c>
      <c r="W57" t="s">
        <v>8692</v>
      </c>
      <c r="X57">
        <v>1</v>
      </c>
      <c r="Y57">
        <v>0</v>
      </c>
      <c r="Z57"/>
      <c r="AB57" s="80">
        <f>ARTICULOS_LADIAR[[#This Row],[Costo]]*ARTICULOS_LADIAR[[#This Row],[Pedido]]</f>
        <v>0</v>
      </c>
      <c r="AD57"/>
      <c r="AH57" s="2" t="str">
        <f>IF(AND(ARTICULOS_LADIAR[[#This Row],[FechaVenc]]=0,ARTICULOS_LADIAR[[#This Row],[DiasVenc]]=0),"",ARTICULOS_LADIAR[[#This Row],[FechaVenc]]-ARTICULOS_LADIAR[[#This Row],[DiasVenc]])</f>
        <v/>
      </c>
      <c r="AK57"/>
      <c r="AM57"/>
      <c r="AO57" s="30" t="s">
        <v>8689</v>
      </c>
    </row>
    <row r="58" spans="1:41" x14ac:dyDescent="0.25">
      <c r="A58" s="1" t="s">
        <v>9177</v>
      </c>
      <c r="C58" t="str">
        <f t="shared" si="0"/>
        <v>KIO80607418</v>
      </c>
      <c r="D58" t="s">
        <v>8689</v>
      </c>
      <c r="E58" s="1" t="s">
        <v>9178</v>
      </c>
      <c r="F58" s="61">
        <f>F57</f>
        <v>428.21</v>
      </c>
      <c r="G58" s="3">
        <v>10.5</v>
      </c>
      <c r="H58" s="4" t="s">
        <v>8690</v>
      </c>
      <c r="I58">
        <v>30</v>
      </c>
      <c r="J58" s="37">
        <v>1</v>
      </c>
      <c r="K58" s="4"/>
      <c r="L58" s="66">
        <f>((ARTICULOS_LADIAR[[#This Row],[P. Compra]]*(1+ARTICULOS_LADIAR[[#This Row],[IVA]]%))/ARTICULOS_LADIAR[[#This Row],[UnidFact]])+ARTICULOS_LADIAR[[#This Row],[CostoFlete]]</f>
        <v>473.17204999999996</v>
      </c>
      <c r="M58">
        <v>35</v>
      </c>
      <c r="N58" s="68">
        <f>IF(L58&gt;=20,MROUND((L58*(1+(ARTICULOS_LADIAR[[#This Row],[IVA]]/100)))/(1-M58/100),50),20)</f>
        <v>800</v>
      </c>
      <c r="O58" s="3">
        <f>MROUND((ARTICULOS_LADIAR[[#This Row],[Precio]]/0.6),50)</f>
        <v>1350</v>
      </c>
      <c r="P58" t="s">
        <v>8693</v>
      </c>
      <c r="Q58">
        <v>4</v>
      </c>
      <c r="R58" s="3">
        <f>ARTICULOS_LADIAR[[#This Row],[Bulto]]+ARTICULOS_LADIAR[[#This Row],[Minimo]]</f>
        <v>34</v>
      </c>
      <c r="S58" t="s">
        <v>70</v>
      </c>
      <c r="T58" t="s">
        <v>27</v>
      </c>
      <c r="U58" t="s">
        <v>28</v>
      </c>
      <c r="V58" t="s">
        <v>9105</v>
      </c>
      <c r="W58" t="s">
        <v>8692</v>
      </c>
      <c r="X58">
        <v>1</v>
      </c>
      <c r="Y58">
        <v>4</v>
      </c>
      <c r="Z58"/>
      <c r="AB58" s="80">
        <f>ARTICULOS_LADIAR[[#This Row],[Costo]]*ARTICULOS_LADIAR[[#This Row],[Pedido]]</f>
        <v>0</v>
      </c>
      <c r="AD58"/>
      <c r="AH58" s="2" t="str">
        <f>IF(AND(ARTICULOS_LADIAR[[#This Row],[FechaVenc]]=0,ARTICULOS_LADIAR[[#This Row],[DiasVenc]]=0),"",ARTICULOS_LADIAR[[#This Row],[FechaVenc]]-ARTICULOS_LADIAR[[#This Row],[DiasVenc]])</f>
        <v/>
      </c>
      <c r="AK58"/>
      <c r="AM58"/>
      <c r="AO58" s="30" t="s">
        <v>8689</v>
      </c>
    </row>
    <row r="59" spans="1:41" x14ac:dyDescent="0.25">
      <c r="A59" s="1" t="s">
        <v>9179</v>
      </c>
      <c r="C59" t="str">
        <f t="shared" si="0"/>
        <v>KIO80607210</v>
      </c>
      <c r="D59" t="s">
        <v>8689</v>
      </c>
      <c r="E59" s="1" t="s">
        <v>9180</v>
      </c>
      <c r="F59" s="61">
        <f>F58</f>
        <v>428.21</v>
      </c>
      <c r="G59" s="3">
        <v>10.5</v>
      </c>
      <c r="H59" s="4" t="s">
        <v>8690</v>
      </c>
      <c r="I59">
        <v>30</v>
      </c>
      <c r="J59" s="37">
        <v>1</v>
      </c>
      <c r="K59" s="4"/>
      <c r="L59" s="66">
        <f>((ARTICULOS_LADIAR[[#This Row],[P. Compra]]*(1+ARTICULOS_LADIAR[[#This Row],[IVA]]%))/ARTICULOS_LADIAR[[#This Row],[UnidFact]])+ARTICULOS_LADIAR[[#This Row],[CostoFlete]]</f>
        <v>473.17204999999996</v>
      </c>
      <c r="M59">
        <v>35</v>
      </c>
      <c r="N59" s="68">
        <f>IF(L59&gt;=20,MROUND((L59*(1+(ARTICULOS_LADIAR[[#This Row],[IVA]]/100)))/(1-M59/100),50),20)</f>
        <v>800</v>
      </c>
      <c r="O59" s="3">
        <f>MROUND((ARTICULOS_LADIAR[[#This Row],[Precio]]/0.6),50)</f>
        <v>1350</v>
      </c>
      <c r="P59" t="s">
        <v>8693</v>
      </c>
      <c r="Q59">
        <v>4</v>
      </c>
      <c r="R59" s="3">
        <f>ARTICULOS_LADIAR[[#This Row],[Bulto]]+ARTICULOS_LADIAR[[#This Row],[Minimo]]</f>
        <v>34</v>
      </c>
      <c r="S59" t="s">
        <v>70</v>
      </c>
      <c r="T59" t="s">
        <v>27</v>
      </c>
      <c r="U59" t="s">
        <v>28</v>
      </c>
      <c r="V59" t="s">
        <v>9105</v>
      </c>
      <c r="W59" t="s">
        <v>8692</v>
      </c>
      <c r="X59">
        <v>1</v>
      </c>
      <c r="Y59">
        <v>4</v>
      </c>
      <c r="Z59"/>
      <c r="AB59" s="80">
        <f>ARTICULOS_LADIAR[[#This Row],[Costo]]*ARTICULOS_LADIAR[[#This Row],[Pedido]]</f>
        <v>0</v>
      </c>
      <c r="AD59"/>
      <c r="AH59" s="2" t="str">
        <f>IF(AND(ARTICULOS_LADIAR[[#This Row],[FechaVenc]]=0,ARTICULOS_LADIAR[[#This Row],[DiasVenc]]=0),"",ARTICULOS_LADIAR[[#This Row],[FechaVenc]]-ARTICULOS_LADIAR[[#This Row],[DiasVenc]])</f>
        <v/>
      </c>
      <c r="AK59"/>
      <c r="AM59"/>
      <c r="AO59" s="30" t="s">
        <v>8689</v>
      </c>
    </row>
    <row r="60" spans="1:41" x14ac:dyDescent="0.25">
      <c r="A60" s="1" t="s">
        <v>9181</v>
      </c>
      <c r="C60" t="str">
        <f t="shared" si="0"/>
        <v>KIO80124960</v>
      </c>
      <c r="D60" t="s">
        <v>8689</v>
      </c>
      <c r="E60" s="1" t="s">
        <v>9182</v>
      </c>
      <c r="F60" s="61">
        <f>F59</f>
        <v>428.21</v>
      </c>
      <c r="G60" s="3">
        <v>10.5</v>
      </c>
      <c r="H60" s="4" t="s">
        <v>8690</v>
      </c>
      <c r="I60">
        <v>30</v>
      </c>
      <c r="J60" s="37">
        <v>1</v>
      </c>
      <c r="K60" s="4"/>
      <c r="L60" s="66">
        <f>((ARTICULOS_LADIAR[[#This Row],[P. Compra]]*(1+ARTICULOS_LADIAR[[#This Row],[IVA]]%))/ARTICULOS_LADIAR[[#This Row],[UnidFact]])+ARTICULOS_LADIAR[[#This Row],[CostoFlete]]</f>
        <v>473.17204999999996</v>
      </c>
      <c r="M60">
        <v>35</v>
      </c>
      <c r="N60" s="68">
        <f>IF(L60&gt;=20,MROUND((L60*(1+(ARTICULOS_LADIAR[[#This Row],[IVA]]/100)))/(1-M60/100),50),20)</f>
        <v>800</v>
      </c>
      <c r="O60" s="3">
        <f>MROUND((ARTICULOS_LADIAR[[#This Row],[Precio]]/0.6),50)</f>
        <v>1350</v>
      </c>
      <c r="P60" t="s">
        <v>8693</v>
      </c>
      <c r="Q60">
        <v>4</v>
      </c>
      <c r="R60" s="3">
        <f>ARTICULOS_LADIAR[[#This Row],[Bulto]]+ARTICULOS_LADIAR[[#This Row],[Minimo]]</f>
        <v>34</v>
      </c>
      <c r="S60" t="s">
        <v>70</v>
      </c>
      <c r="T60" t="s">
        <v>27</v>
      </c>
      <c r="U60" t="s">
        <v>28</v>
      </c>
      <c r="V60" t="s">
        <v>9105</v>
      </c>
      <c r="W60" t="s">
        <v>8692</v>
      </c>
      <c r="X60">
        <v>1</v>
      </c>
      <c r="Y60">
        <v>5</v>
      </c>
      <c r="Z60"/>
      <c r="AB60" s="80">
        <f>ARTICULOS_LADIAR[[#This Row],[Costo]]*ARTICULOS_LADIAR[[#This Row],[Pedido]]</f>
        <v>0</v>
      </c>
      <c r="AD60"/>
      <c r="AH60" s="2" t="str">
        <f>IF(AND(ARTICULOS_LADIAR[[#This Row],[FechaVenc]]=0,ARTICULOS_LADIAR[[#This Row],[DiasVenc]]=0),"",ARTICULOS_LADIAR[[#This Row],[FechaVenc]]-ARTICULOS_LADIAR[[#This Row],[DiasVenc]])</f>
        <v/>
      </c>
      <c r="AK60"/>
      <c r="AM60"/>
      <c r="AO60" s="30" t="s">
        <v>8689</v>
      </c>
    </row>
    <row r="61" spans="1:41" x14ac:dyDescent="0.25">
      <c r="A61" s="24" t="s">
        <v>9183</v>
      </c>
      <c r="C61" t="str">
        <f t="shared" si="0"/>
        <v>KIO77958570</v>
      </c>
      <c r="D61" t="s">
        <v>8689</v>
      </c>
      <c r="E61" s="1" t="s">
        <v>9184</v>
      </c>
      <c r="F61" s="61">
        <v>3242.92</v>
      </c>
      <c r="G61" s="3">
        <v>10.5</v>
      </c>
      <c r="H61" s="4" t="s">
        <v>8690</v>
      </c>
      <c r="I61">
        <v>20</v>
      </c>
      <c r="J61" s="37">
        <f>ARTICULOS_LADIAR[[#This Row],[Bulto]]</f>
        <v>20</v>
      </c>
      <c r="K61" s="4"/>
      <c r="L61" s="66">
        <f>((ARTICULOS_LADIAR[[#This Row],[P. Compra]]*(1+ARTICULOS_LADIAR[[#This Row],[IVA]]%))/ARTICULOS_LADIAR[[#This Row],[UnidFact]])+ARTICULOS_LADIAR[[#This Row],[CostoFlete]]</f>
        <v>179.17133000000001</v>
      </c>
      <c r="M61">
        <v>35</v>
      </c>
      <c r="N61" s="68">
        <f>IF(L61&gt;=20,MROUND((L61*(1+(ARTICULOS_LADIAR[[#This Row],[IVA]]/100)))/(1-M61/100),50),20)</f>
        <v>300</v>
      </c>
      <c r="O61" s="3">
        <f>MROUND((ARTICULOS_LADIAR[[#This Row],[Precio]]/0.6),50)</f>
        <v>500</v>
      </c>
      <c r="P61" t="s">
        <v>8693</v>
      </c>
      <c r="Q61">
        <v>5</v>
      </c>
      <c r="R61" s="3">
        <f>ARTICULOS_LADIAR[[#This Row],[Bulto]]+ARTICULOS_LADIAR[[#This Row],[Minimo]]</f>
        <v>25</v>
      </c>
      <c r="S61" t="s">
        <v>70</v>
      </c>
      <c r="T61" t="s">
        <v>27</v>
      </c>
      <c r="U61" t="s">
        <v>28</v>
      </c>
      <c r="V61" t="s">
        <v>9105</v>
      </c>
      <c r="W61" t="s">
        <v>8692</v>
      </c>
      <c r="X61">
        <v>1</v>
      </c>
      <c r="Y61">
        <v>0</v>
      </c>
      <c r="Z61"/>
      <c r="AB61" s="80">
        <f>ARTICULOS_LADIAR[[#This Row],[Costo]]*ARTICULOS_LADIAR[[#This Row],[Pedido]]</f>
        <v>0</v>
      </c>
      <c r="AD61"/>
      <c r="AH61" s="2" t="str">
        <f>IF(AND(ARTICULOS_LADIAR[[#This Row],[FechaVenc]]=0,ARTICULOS_LADIAR[[#This Row],[DiasVenc]]=0),"",ARTICULOS_LADIAR[[#This Row],[FechaVenc]]-ARTICULOS_LADIAR[[#This Row],[DiasVenc]])</f>
        <v/>
      </c>
      <c r="AK61"/>
      <c r="AM61"/>
      <c r="AO61" s="30" t="s">
        <v>8689</v>
      </c>
    </row>
    <row r="62" spans="1:41" x14ac:dyDescent="0.25">
      <c r="A62" s="24" t="s">
        <v>9185</v>
      </c>
      <c r="C62" t="str">
        <f t="shared" si="0"/>
        <v>KIO77958563</v>
      </c>
      <c r="D62" t="s">
        <v>8689</v>
      </c>
      <c r="E62" s="1" t="s">
        <v>9186</v>
      </c>
      <c r="F62" s="61">
        <f>F61</f>
        <v>3242.92</v>
      </c>
      <c r="G62" s="3">
        <v>10.5</v>
      </c>
      <c r="H62" s="31" t="s">
        <v>8690</v>
      </c>
      <c r="I62">
        <v>20</v>
      </c>
      <c r="J62" s="37">
        <f>ARTICULOS_LADIAR[[#This Row],[Bulto]]</f>
        <v>20</v>
      </c>
      <c r="K62" s="31"/>
      <c r="L62" s="66">
        <f>((ARTICULOS_LADIAR[[#This Row],[P. Compra]]*(1+ARTICULOS_LADIAR[[#This Row],[IVA]]%))/ARTICULOS_LADIAR[[#This Row],[UnidFact]])+ARTICULOS_LADIAR[[#This Row],[CostoFlete]]</f>
        <v>179.17133000000001</v>
      </c>
      <c r="M62">
        <v>35</v>
      </c>
      <c r="N62" s="68">
        <f>IF(L62&gt;=20,MROUND((L62*(1+(ARTICULOS_LADIAR[[#This Row],[IVA]]/100)))/(1-M62/100),50),20)</f>
        <v>300</v>
      </c>
      <c r="O62" s="3">
        <f>MROUND((ARTICULOS_LADIAR[[#This Row],[Precio]]/0.6),50)</f>
        <v>500</v>
      </c>
      <c r="P62" t="s">
        <v>8693</v>
      </c>
      <c r="Q62">
        <v>5</v>
      </c>
      <c r="R62" s="3">
        <f>ARTICULOS_LADIAR[[#This Row],[Bulto]]+ARTICULOS_LADIAR[[#This Row],[Minimo]]</f>
        <v>25</v>
      </c>
      <c r="S62" t="s">
        <v>70</v>
      </c>
      <c r="T62" t="s">
        <v>27</v>
      </c>
      <c r="U62" t="s">
        <v>28</v>
      </c>
      <c r="V62" t="s">
        <v>9105</v>
      </c>
      <c r="W62" t="s">
        <v>8692</v>
      </c>
      <c r="X62">
        <v>1</v>
      </c>
      <c r="Y62">
        <v>0</v>
      </c>
      <c r="Z62"/>
      <c r="AB62" s="80">
        <f>ARTICULOS_LADIAR[[#This Row],[Costo]]*ARTICULOS_LADIAR[[#This Row],[Pedido]]</f>
        <v>0</v>
      </c>
      <c r="AD62"/>
      <c r="AH62" s="2" t="str">
        <f>IF(AND(ARTICULOS_LADIAR[[#This Row],[FechaVenc]]=0,ARTICULOS_LADIAR[[#This Row],[DiasVenc]]=0),"",ARTICULOS_LADIAR[[#This Row],[FechaVenc]]-ARTICULOS_LADIAR[[#This Row],[DiasVenc]])</f>
        <v/>
      </c>
      <c r="AK62"/>
      <c r="AM62"/>
      <c r="AO62" s="30" t="s">
        <v>8689</v>
      </c>
    </row>
    <row r="63" spans="1:41" x14ac:dyDescent="0.25">
      <c r="A63" s="1" t="s">
        <v>9187</v>
      </c>
      <c r="C63" t="str">
        <f t="shared" si="0"/>
        <v>KIO80103378</v>
      </c>
      <c r="D63" t="s">
        <v>8689</v>
      </c>
      <c r="E63" s="1" t="s">
        <v>9188</v>
      </c>
      <c r="F63" s="61">
        <v>676.66</v>
      </c>
      <c r="G63" s="3">
        <v>10.5</v>
      </c>
      <c r="H63" s="4" t="s">
        <v>8690</v>
      </c>
      <c r="I63">
        <v>20</v>
      </c>
      <c r="J63" s="37">
        <v>1</v>
      </c>
      <c r="K63" s="4"/>
      <c r="L63" s="66">
        <f>((ARTICULOS_LADIAR[[#This Row],[P. Compra]]*(1+ARTICULOS_LADIAR[[#This Row],[IVA]]%))/ARTICULOS_LADIAR[[#This Row],[UnidFact]])+ARTICULOS_LADIAR[[#This Row],[CostoFlete]]</f>
        <v>747.70929999999998</v>
      </c>
      <c r="M63">
        <v>35</v>
      </c>
      <c r="N63" s="68">
        <f>IF(L63&gt;=20,MROUND((L63*(1+(ARTICULOS_LADIAR[[#This Row],[IVA]]/100)))/(1-M63/100),50),20)</f>
        <v>1250</v>
      </c>
      <c r="O63" s="3">
        <f>MROUND((ARTICULOS_LADIAR[[#This Row],[Precio]]/0.6),50)</f>
        <v>2100</v>
      </c>
      <c r="P63" t="s">
        <v>8693</v>
      </c>
      <c r="Q63">
        <v>2</v>
      </c>
      <c r="R63" s="3">
        <f>ARTICULOS_LADIAR[[#This Row],[Bulto]]+ARTICULOS_LADIAR[[#This Row],[Minimo]]</f>
        <v>22</v>
      </c>
      <c r="S63" t="s">
        <v>70</v>
      </c>
      <c r="T63" t="s">
        <v>27</v>
      </c>
      <c r="U63" t="s">
        <v>28</v>
      </c>
      <c r="V63" t="s">
        <v>9173</v>
      </c>
      <c r="W63" t="s">
        <v>8692</v>
      </c>
      <c r="X63">
        <v>1</v>
      </c>
      <c r="Y63">
        <v>5</v>
      </c>
      <c r="Z63"/>
      <c r="AB63" s="80">
        <f>ARTICULOS_LADIAR[[#This Row],[Costo]]*ARTICULOS_LADIAR[[#This Row],[Pedido]]</f>
        <v>0</v>
      </c>
      <c r="AD63"/>
      <c r="AH63" s="2" t="str">
        <f>IF(AND(ARTICULOS_LADIAR[[#This Row],[FechaVenc]]=0,ARTICULOS_LADIAR[[#This Row],[DiasVenc]]=0),"",ARTICULOS_LADIAR[[#This Row],[FechaVenc]]-ARTICULOS_LADIAR[[#This Row],[DiasVenc]])</f>
        <v/>
      </c>
      <c r="AK63"/>
      <c r="AM63"/>
      <c r="AO63" s="30" t="s">
        <v>8689</v>
      </c>
    </row>
    <row r="64" spans="1:41" x14ac:dyDescent="0.25">
      <c r="A64" s="1" t="s">
        <v>9189</v>
      </c>
      <c r="C64" t="str">
        <f t="shared" si="0"/>
        <v>KIO80103361</v>
      </c>
      <c r="D64" t="s">
        <v>8689</v>
      </c>
      <c r="E64" s="1" t="s">
        <v>9190</v>
      </c>
      <c r="F64" s="61">
        <f>F63</f>
        <v>676.66</v>
      </c>
      <c r="G64" s="3">
        <v>10.5</v>
      </c>
      <c r="H64" s="4" t="s">
        <v>8690</v>
      </c>
      <c r="I64">
        <v>20</v>
      </c>
      <c r="J64" s="37">
        <v>1</v>
      </c>
      <c r="K64" s="4"/>
      <c r="L64" s="66">
        <f>((ARTICULOS_LADIAR[[#This Row],[P. Compra]]*(1+ARTICULOS_LADIAR[[#This Row],[IVA]]%))/ARTICULOS_LADIAR[[#This Row],[UnidFact]])+ARTICULOS_LADIAR[[#This Row],[CostoFlete]]</f>
        <v>747.70929999999998</v>
      </c>
      <c r="M64">
        <v>35</v>
      </c>
      <c r="N64" s="68">
        <f>IF(L64&gt;=20,MROUND((L64*(1+(ARTICULOS_LADIAR[[#This Row],[IVA]]/100)))/(1-M64/100),50),20)</f>
        <v>1250</v>
      </c>
      <c r="O64" s="3">
        <f>MROUND((ARTICULOS_LADIAR[[#This Row],[Precio]]/0.6),50)</f>
        <v>2100</v>
      </c>
      <c r="P64" t="s">
        <v>8693</v>
      </c>
      <c r="Q64">
        <v>2</v>
      </c>
      <c r="R64" s="3">
        <f>ARTICULOS_LADIAR[[#This Row],[Bulto]]+ARTICULOS_LADIAR[[#This Row],[Minimo]]</f>
        <v>22</v>
      </c>
      <c r="S64" t="s">
        <v>70</v>
      </c>
      <c r="T64" t="s">
        <v>27</v>
      </c>
      <c r="U64" t="s">
        <v>28</v>
      </c>
      <c r="V64" t="s">
        <v>9173</v>
      </c>
      <c r="W64" t="s">
        <v>8692</v>
      </c>
      <c r="X64">
        <v>1</v>
      </c>
      <c r="Y64">
        <v>7</v>
      </c>
      <c r="Z64"/>
      <c r="AB64" s="80">
        <f>ARTICULOS_LADIAR[[#This Row],[Costo]]*ARTICULOS_LADIAR[[#This Row],[Pedido]]</f>
        <v>0</v>
      </c>
      <c r="AD64"/>
      <c r="AH64" s="2" t="str">
        <f>IF(AND(ARTICULOS_LADIAR[[#This Row],[FechaVenc]]=0,ARTICULOS_LADIAR[[#This Row],[DiasVenc]]=0),"",ARTICULOS_LADIAR[[#This Row],[FechaVenc]]-ARTICULOS_LADIAR[[#This Row],[DiasVenc]])</f>
        <v/>
      </c>
      <c r="AK64"/>
      <c r="AM64"/>
      <c r="AO64" s="30" t="s">
        <v>8689</v>
      </c>
    </row>
    <row r="65" spans="1:41" x14ac:dyDescent="0.25">
      <c r="A65" s="1" t="s">
        <v>9191</v>
      </c>
      <c r="C65" t="str">
        <f t="shared" si="0"/>
        <v>KIO80103385</v>
      </c>
      <c r="D65" t="s">
        <v>8689</v>
      </c>
      <c r="E65" s="1" t="s">
        <v>9192</v>
      </c>
      <c r="F65" s="61">
        <f>F64</f>
        <v>676.66</v>
      </c>
      <c r="G65" s="3">
        <v>10.5</v>
      </c>
      <c r="H65" s="4" t="s">
        <v>8690</v>
      </c>
      <c r="I65">
        <v>20</v>
      </c>
      <c r="J65" s="37">
        <v>1</v>
      </c>
      <c r="K65" s="4"/>
      <c r="L65" s="66">
        <f>((ARTICULOS_LADIAR[[#This Row],[P. Compra]]*(1+ARTICULOS_LADIAR[[#This Row],[IVA]]%))/ARTICULOS_LADIAR[[#This Row],[UnidFact]])+ARTICULOS_LADIAR[[#This Row],[CostoFlete]]</f>
        <v>747.70929999999998</v>
      </c>
      <c r="M65">
        <v>35</v>
      </c>
      <c r="N65" s="68">
        <f>IF(L65&gt;=20,MROUND((L65*(1+(ARTICULOS_LADIAR[[#This Row],[IVA]]/100)))/(1-M65/100),50),20)</f>
        <v>1250</v>
      </c>
      <c r="O65" s="3">
        <f>MROUND((ARTICULOS_LADIAR[[#This Row],[Precio]]/0.6),50)</f>
        <v>2100</v>
      </c>
      <c r="P65" t="s">
        <v>8693</v>
      </c>
      <c r="Q65">
        <v>2</v>
      </c>
      <c r="R65" s="3">
        <f>ARTICULOS_LADIAR[[#This Row],[Bulto]]+ARTICULOS_LADIAR[[#This Row],[Minimo]]</f>
        <v>22</v>
      </c>
      <c r="S65" t="s">
        <v>70</v>
      </c>
      <c r="T65" t="s">
        <v>27</v>
      </c>
      <c r="U65" t="s">
        <v>28</v>
      </c>
      <c r="V65" t="s">
        <v>9173</v>
      </c>
      <c r="W65" t="s">
        <v>8692</v>
      </c>
      <c r="X65">
        <v>1</v>
      </c>
      <c r="Y65">
        <v>0</v>
      </c>
      <c r="Z65"/>
      <c r="AB65" s="80">
        <f>ARTICULOS_LADIAR[[#This Row],[Costo]]*ARTICULOS_LADIAR[[#This Row],[Pedido]]</f>
        <v>0</v>
      </c>
      <c r="AD65"/>
      <c r="AH65" s="2" t="str">
        <f>IF(AND(ARTICULOS_LADIAR[[#This Row],[FechaVenc]]=0,ARTICULOS_LADIAR[[#This Row],[DiasVenc]]=0),"",ARTICULOS_LADIAR[[#This Row],[FechaVenc]]-ARTICULOS_LADIAR[[#This Row],[DiasVenc]])</f>
        <v/>
      </c>
      <c r="AK65"/>
      <c r="AM65"/>
      <c r="AO65" s="30" t="s">
        <v>8689</v>
      </c>
    </row>
    <row r="66" spans="1:41" x14ac:dyDescent="0.25">
      <c r="A66" s="1" t="s">
        <v>9193</v>
      </c>
      <c r="C66" t="str">
        <f t="shared" si="0"/>
        <v>KIO80127145</v>
      </c>
      <c r="D66" t="s">
        <v>8689</v>
      </c>
      <c r="E66" s="1" t="s">
        <v>9194</v>
      </c>
      <c r="F66" s="61">
        <f>F65</f>
        <v>676.66</v>
      </c>
      <c r="G66" s="3">
        <v>10.5</v>
      </c>
      <c r="H66" s="4" t="s">
        <v>8690</v>
      </c>
      <c r="I66">
        <v>20</v>
      </c>
      <c r="J66" s="37">
        <v>1</v>
      </c>
      <c r="K66" s="4"/>
      <c r="L66" s="66">
        <f>((ARTICULOS_LADIAR[[#This Row],[P. Compra]]*(1+ARTICULOS_LADIAR[[#This Row],[IVA]]%))/ARTICULOS_LADIAR[[#This Row],[UnidFact]])+ARTICULOS_LADIAR[[#This Row],[CostoFlete]]</f>
        <v>747.70929999999998</v>
      </c>
      <c r="M66">
        <v>35</v>
      </c>
      <c r="N66" s="68">
        <f>IF(L66&gt;=20,MROUND((L66*(1+(ARTICULOS_LADIAR[[#This Row],[IVA]]/100)))/(1-M66/100),50),20)</f>
        <v>1250</v>
      </c>
      <c r="O66" s="3">
        <f>MROUND((ARTICULOS_LADIAR[[#This Row],[Precio]]/0.6),50)</f>
        <v>2100</v>
      </c>
      <c r="P66" t="s">
        <v>8693</v>
      </c>
      <c r="Q66">
        <v>2</v>
      </c>
      <c r="R66" s="3">
        <f>ARTICULOS_LADIAR[[#This Row],[Bulto]]+ARTICULOS_LADIAR[[#This Row],[Minimo]]</f>
        <v>22</v>
      </c>
      <c r="S66" t="s">
        <v>70</v>
      </c>
      <c r="T66" t="s">
        <v>27</v>
      </c>
      <c r="U66" t="s">
        <v>28</v>
      </c>
      <c r="V66" t="s">
        <v>9173</v>
      </c>
      <c r="W66" t="s">
        <v>8692</v>
      </c>
      <c r="X66">
        <v>1</v>
      </c>
      <c r="Y66">
        <v>0</v>
      </c>
      <c r="Z66"/>
      <c r="AB66" s="80">
        <f>ARTICULOS_LADIAR[[#This Row],[Costo]]*ARTICULOS_LADIAR[[#This Row],[Pedido]]</f>
        <v>0</v>
      </c>
      <c r="AD66"/>
      <c r="AH66" s="2" t="str">
        <f>IF(AND(ARTICULOS_LADIAR[[#This Row],[FechaVenc]]=0,ARTICULOS_LADIAR[[#This Row],[DiasVenc]]=0),"",ARTICULOS_LADIAR[[#This Row],[FechaVenc]]-ARTICULOS_LADIAR[[#This Row],[DiasVenc]])</f>
        <v/>
      </c>
      <c r="AK66"/>
      <c r="AM66"/>
      <c r="AO66" s="30" t="s">
        <v>8689</v>
      </c>
    </row>
    <row r="67" spans="1:41" x14ac:dyDescent="0.25">
      <c r="A67" s="1" t="s">
        <v>9195</v>
      </c>
      <c r="C67" t="str">
        <f t="shared" ref="C67:C131" si="4">CONCATENATE(LEFT(T67,3),RIGHT(A67,8))</f>
        <v>KIO80103439</v>
      </c>
      <c r="D67" t="s">
        <v>8689</v>
      </c>
      <c r="E67" s="1" t="s">
        <v>9196</v>
      </c>
      <c r="F67" s="61">
        <v>1281.92</v>
      </c>
      <c r="G67" s="3">
        <v>10.5</v>
      </c>
      <c r="H67" s="4" t="s">
        <v>8690</v>
      </c>
      <c r="I67">
        <v>10</v>
      </c>
      <c r="J67" s="37">
        <v>1</v>
      </c>
      <c r="K67" s="4"/>
      <c r="L67" s="66">
        <f>((ARTICULOS_LADIAR[[#This Row],[P. Compra]]*(1+ARTICULOS_LADIAR[[#This Row],[IVA]]%))/ARTICULOS_LADIAR[[#This Row],[UnidFact]])+ARTICULOS_LADIAR[[#This Row],[CostoFlete]]</f>
        <v>1416.5216</v>
      </c>
      <c r="M67">
        <v>35</v>
      </c>
      <c r="N67" s="68">
        <f>IF(L67&gt;=20,MROUND((L67*(1+(ARTICULOS_LADIAR[[#This Row],[IVA]]/100)))/(1-M67/100),50),20)</f>
        <v>2400</v>
      </c>
      <c r="O67" s="3">
        <f>MROUND((ARTICULOS_LADIAR[[#This Row],[Precio]]/0.6),50)</f>
        <v>4000</v>
      </c>
      <c r="P67" t="s">
        <v>8693</v>
      </c>
      <c r="Q67">
        <v>2</v>
      </c>
      <c r="R67" s="3">
        <f>ARTICULOS_LADIAR[[#This Row],[Bulto]]+ARTICULOS_LADIAR[[#This Row],[Minimo]]</f>
        <v>12</v>
      </c>
      <c r="S67" t="s">
        <v>70</v>
      </c>
      <c r="T67" t="s">
        <v>27</v>
      </c>
      <c r="U67" t="s">
        <v>28</v>
      </c>
      <c r="V67" t="s">
        <v>9173</v>
      </c>
      <c r="W67" t="s">
        <v>8692</v>
      </c>
      <c r="X67">
        <v>1</v>
      </c>
      <c r="Y67">
        <v>3</v>
      </c>
      <c r="Z67"/>
      <c r="AB67" s="80">
        <f>ARTICULOS_LADIAR[[#This Row],[Costo]]*ARTICULOS_LADIAR[[#This Row],[Pedido]]</f>
        <v>0</v>
      </c>
      <c r="AD67"/>
      <c r="AH67" s="2" t="str">
        <f>IF(AND(ARTICULOS_LADIAR[[#This Row],[FechaVenc]]=0,ARTICULOS_LADIAR[[#This Row],[DiasVenc]]=0),"",ARTICULOS_LADIAR[[#This Row],[FechaVenc]]-ARTICULOS_LADIAR[[#This Row],[DiasVenc]])</f>
        <v/>
      </c>
      <c r="AK67"/>
      <c r="AM67"/>
      <c r="AO67" s="30" t="s">
        <v>8689</v>
      </c>
    </row>
    <row r="68" spans="1:41" x14ac:dyDescent="0.25">
      <c r="A68" s="1" t="s">
        <v>9197</v>
      </c>
      <c r="C68" t="str">
        <f t="shared" si="4"/>
        <v>KIO80103415</v>
      </c>
      <c r="D68" t="s">
        <v>8689</v>
      </c>
      <c r="E68" s="1" t="s">
        <v>9198</v>
      </c>
      <c r="F68" s="61">
        <f>F67</f>
        <v>1281.92</v>
      </c>
      <c r="G68" s="3">
        <v>10.5</v>
      </c>
      <c r="H68" s="4" t="s">
        <v>8690</v>
      </c>
      <c r="I68">
        <v>10</v>
      </c>
      <c r="J68" s="37">
        <v>1</v>
      </c>
      <c r="K68" s="4"/>
      <c r="L68" s="66">
        <f>((ARTICULOS_LADIAR[[#This Row],[P. Compra]]*(1+ARTICULOS_LADIAR[[#This Row],[IVA]]%))/ARTICULOS_LADIAR[[#This Row],[UnidFact]])+ARTICULOS_LADIAR[[#This Row],[CostoFlete]]</f>
        <v>1416.5216</v>
      </c>
      <c r="M68">
        <v>35</v>
      </c>
      <c r="N68" s="68">
        <f>IF(L68&gt;=20,MROUND((L68*(1+(ARTICULOS_LADIAR[[#This Row],[IVA]]/100)))/(1-M68/100),50),20)</f>
        <v>2400</v>
      </c>
      <c r="O68" s="3">
        <f>MROUND((ARTICULOS_LADIAR[[#This Row],[Precio]]/0.6),50)</f>
        <v>4000</v>
      </c>
      <c r="P68" t="s">
        <v>8693</v>
      </c>
      <c r="Q68">
        <v>2</v>
      </c>
      <c r="R68" s="3">
        <f>ARTICULOS_LADIAR[[#This Row],[Bulto]]+ARTICULOS_LADIAR[[#This Row],[Minimo]]</f>
        <v>12</v>
      </c>
      <c r="S68" t="s">
        <v>70</v>
      </c>
      <c r="T68" t="s">
        <v>27</v>
      </c>
      <c r="U68" t="s">
        <v>28</v>
      </c>
      <c r="V68" t="s">
        <v>9173</v>
      </c>
      <c r="W68" t="s">
        <v>8692</v>
      </c>
      <c r="X68">
        <v>1</v>
      </c>
      <c r="Y68">
        <v>4</v>
      </c>
      <c r="Z68"/>
      <c r="AB68" s="80">
        <f>ARTICULOS_LADIAR[[#This Row],[Costo]]*ARTICULOS_LADIAR[[#This Row],[Pedido]]</f>
        <v>0</v>
      </c>
      <c r="AD68"/>
      <c r="AH68" s="2" t="str">
        <f>IF(AND(ARTICULOS_LADIAR[[#This Row],[FechaVenc]]=0,ARTICULOS_LADIAR[[#This Row],[DiasVenc]]=0),"",ARTICULOS_LADIAR[[#This Row],[FechaVenc]]-ARTICULOS_LADIAR[[#This Row],[DiasVenc]])</f>
        <v/>
      </c>
      <c r="AK68"/>
      <c r="AM68"/>
      <c r="AO68" s="30" t="s">
        <v>8689</v>
      </c>
    </row>
    <row r="69" spans="1:41" x14ac:dyDescent="0.25">
      <c r="A69" s="1" t="s">
        <v>9199</v>
      </c>
      <c r="C69" t="str">
        <f t="shared" si="4"/>
        <v>KIO80033408</v>
      </c>
      <c r="D69" t="s">
        <v>8689</v>
      </c>
      <c r="E69" s="1" t="s">
        <v>9200</v>
      </c>
      <c r="F69" s="61">
        <f>F68</f>
        <v>1281.92</v>
      </c>
      <c r="G69" s="3">
        <v>10.5</v>
      </c>
      <c r="H69" s="4" t="s">
        <v>8690</v>
      </c>
      <c r="I69">
        <v>10</v>
      </c>
      <c r="J69" s="37">
        <v>1</v>
      </c>
      <c r="K69" s="4"/>
      <c r="L69" s="66">
        <f>((ARTICULOS_LADIAR[[#This Row],[P. Compra]]*(1+ARTICULOS_LADIAR[[#This Row],[IVA]]%))/ARTICULOS_LADIAR[[#This Row],[UnidFact]])+ARTICULOS_LADIAR[[#This Row],[CostoFlete]]</f>
        <v>1416.5216</v>
      </c>
      <c r="M69">
        <v>35</v>
      </c>
      <c r="N69" s="68">
        <f>IF(L69&gt;=20,MROUND((L69*(1+(ARTICULOS_LADIAR[[#This Row],[IVA]]/100)))/(1-M69/100),50),20)</f>
        <v>2400</v>
      </c>
      <c r="O69" s="3">
        <f>MROUND((ARTICULOS_LADIAR[[#This Row],[Precio]]/0.6),50)</f>
        <v>4000</v>
      </c>
      <c r="P69" t="s">
        <v>8693</v>
      </c>
      <c r="Q69">
        <v>2</v>
      </c>
      <c r="R69" s="3">
        <f>ARTICULOS_LADIAR[[#This Row],[Bulto]]+ARTICULOS_LADIAR[[#This Row],[Minimo]]</f>
        <v>12</v>
      </c>
      <c r="S69" t="s">
        <v>70</v>
      </c>
      <c r="T69" t="s">
        <v>27</v>
      </c>
      <c r="U69" t="s">
        <v>28</v>
      </c>
      <c r="V69" t="s">
        <v>9173</v>
      </c>
      <c r="W69" t="s">
        <v>8692</v>
      </c>
      <c r="X69">
        <v>1</v>
      </c>
      <c r="Y69">
        <v>3</v>
      </c>
      <c r="Z69"/>
      <c r="AB69" s="80">
        <f>ARTICULOS_LADIAR[[#This Row],[Costo]]*ARTICULOS_LADIAR[[#This Row],[Pedido]]</f>
        <v>0</v>
      </c>
      <c r="AD69"/>
      <c r="AH69" s="2" t="str">
        <f>IF(AND(ARTICULOS_LADIAR[[#This Row],[FechaVenc]]=0,ARTICULOS_LADIAR[[#This Row],[DiasVenc]]=0),"",ARTICULOS_LADIAR[[#This Row],[FechaVenc]]-ARTICULOS_LADIAR[[#This Row],[DiasVenc]])</f>
        <v/>
      </c>
      <c r="AK69"/>
      <c r="AM69"/>
      <c r="AO69" s="30" t="s">
        <v>8689</v>
      </c>
    </row>
    <row r="70" spans="1:41" x14ac:dyDescent="0.25">
      <c r="A70" s="1" t="s">
        <v>9201</v>
      </c>
      <c r="C70" t="str">
        <f t="shared" si="4"/>
        <v>KIO80103422</v>
      </c>
      <c r="D70" t="s">
        <v>8689</v>
      </c>
      <c r="E70" s="1" t="s">
        <v>9202</v>
      </c>
      <c r="F70" s="61">
        <f>F69</f>
        <v>1281.92</v>
      </c>
      <c r="G70" s="3">
        <v>10.5</v>
      </c>
      <c r="H70" s="4" t="s">
        <v>8690</v>
      </c>
      <c r="I70">
        <v>10</v>
      </c>
      <c r="J70" s="37">
        <v>1</v>
      </c>
      <c r="K70" s="4"/>
      <c r="L70" s="66">
        <f>((ARTICULOS_LADIAR[[#This Row],[P. Compra]]*(1+ARTICULOS_LADIAR[[#This Row],[IVA]]%))/ARTICULOS_LADIAR[[#This Row],[UnidFact]])+ARTICULOS_LADIAR[[#This Row],[CostoFlete]]</f>
        <v>1416.5216</v>
      </c>
      <c r="M70">
        <v>35</v>
      </c>
      <c r="N70" s="68">
        <f>IF(L70&gt;=20,MROUND((L70*(1+(ARTICULOS_LADIAR[[#This Row],[IVA]]/100)))/(1-M70/100),50),20)</f>
        <v>2400</v>
      </c>
      <c r="O70" s="3">
        <f>MROUND((ARTICULOS_LADIAR[[#This Row],[Precio]]/0.6),50)</f>
        <v>4000</v>
      </c>
      <c r="P70" t="s">
        <v>8693</v>
      </c>
      <c r="Q70">
        <v>2</v>
      </c>
      <c r="R70" s="3">
        <f>ARTICULOS_LADIAR[[#This Row],[Bulto]]+ARTICULOS_LADIAR[[#This Row],[Minimo]]</f>
        <v>12</v>
      </c>
      <c r="S70" t="s">
        <v>70</v>
      </c>
      <c r="T70" t="s">
        <v>27</v>
      </c>
      <c r="U70" t="s">
        <v>28</v>
      </c>
      <c r="V70" t="s">
        <v>9173</v>
      </c>
      <c r="W70" t="s">
        <v>8692</v>
      </c>
      <c r="X70">
        <v>1</v>
      </c>
      <c r="Y70">
        <v>0</v>
      </c>
      <c r="Z70"/>
      <c r="AB70" s="80">
        <f>ARTICULOS_LADIAR[[#This Row],[Costo]]*ARTICULOS_LADIAR[[#This Row],[Pedido]]</f>
        <v>0</v>
      </c>
      <c r="AD70"/>
      <c r="AH70" s="2" t="str">
        <f>IF(AND(ARTICULOS_LADIAR[[#This Row],[FechaVenc]]=0,ARTICULOS_LADIAR[[#This Row],[DiasVenc]]=0),"",ARTICULOS_LADIAR[[#This Row],[FechaVenc]]-ARTICULOS_LADIAR[[#This Row],[DiasVenc]])</f>
        <v/>
      </c>
      <c r="AK70"/>
      <c r="AM70"/>
      <c r="AO70" s="30" t="s">
        <v>8689</v>
      </c>
    </row>
    <row r="71" spans="1:41" x14ac:dyDescent="0.25">
      <c r="A71" s="1" t="s">
        <v>9203</v>
      </c>
      <c r="C71" t="str">
        <f t="shared" si="4"/>
        <v>KIO80116842</v>
      </c>
      <c r="D71" t="s">
        <v>8689</v>
      </c>
      <c r="E71" s="1" t="s">
        <v>9204</v>
      </c>
      <c r="F71" s="61">
        <f>F70</f>
        <v>1281.92</v>
      </c>
      <c r="G71" s="3">
        <v>10.5</v>
      </c>
      <c r="H71" s="4" t="s">
        <v>8690</v>
      </c>
      <c r="I71">
        <v>10</v>
      </c>
      <c r="J71" s="37">
        <v>1</v>
      </c>
      <c r="K71" s="4"/>
      <c r="L71" s="66">
        <f>((ARTICULOS_LADIAR[[#This Row],[P. Compra]]*(1+ARTICULOS_LADIAR[[#This Row],[IVA]]%))/ARTICULOS_LADIAR[[#This Row],[UnidFact]])+ARTICULOS_LADIAR[[#This Row],[CostoFlete]]</f>
        <v>1416.5216</v>
      </c>
      <c r="M71">
        <v>35</v>
      </c>
      <c r="N71" s="68">
        <f>IF(L71&gt;=20,MROUND((L71*(1+(ARTICULOS_LADIAR[[#This Row],[IVA]]/100)))/(1-M71/100),50),20)</f>
        <v>2400</v>
      </c>
      <c r="O71" s="3">
        <f>MROUND((ARTICULOS_LADIAR[[#This Row],[Precio]]/0.6),50)</f>
        <v>4000</v>
      </c>
      <c r="P71" t="s">
        <v>8693</v>
      </c>
      <c r="Q71">
        <v>2</v>
      </c>
      <c r="R71" s="3">
        <f>ARTICULOS_LADIAR[[#This Row],[Bulto]]+ARTICULOS_LADIAR[[#This Row],[Minimo]]</f>
        <v>12</v>
      </c>
      <c r="S71" t="s">
        <v>70</v>
      </c>
      <c r="T71" t="s">
        <v>27</v>
      </c>
      <c r="U71" t="s">
        <v>28</v>
      </c>
      <c r="V71" t="s">
        <v>9173</v>
      </c>
      <c r="W71" t="s">
        <v>8692</v>
      </c>
      <c r="X71">
        <v>1</v>
      </c>
      <c r="Y71">
        <v>1</v>
      </c>
      <c r="Z71"/>
      <c r="AB71" s="80">
        <f>ARTICULOS_LADIAR[[#This Row],[Costo]]*ARTICULOS_LADIAR[[#This Row],[Pedido]]</f>
        <v>0</v>
      </c>
      <c r="AD71"/>
      <c r="AH71" s="2" t="str">
        <f>IF(AND(ARTICULOS_LADIAR[[#This Row],[FechaVenc]]=0,ARTICULOS_LADIAR[[#This Row],[DiasVenc]]=0),"",ARTICULOS_LADIAR[[#This Row],[FechaVenc]]-ARTICULOS_LADIAR[[#This Row],[DiasVenc]])</f>
        <v/>
      </c>
      <c r="AK71"/>
      <c r="AM71"/>
      <c r="AO71" s="30" t="s">
        <v>8689</v>
      </c>
    </row>
    <row r="72" spans="1:41" x14ac:dyDescent="0.25">
      <c r="A72" s="1" t="s">
        <v>9205</v>
      </c>
      <c r="C72" t="str">
        <f t="shared" si="4"/>
        <v>KIO80115562</v>
      </c>
      <c r="D72" t="s">
        <v>8689</v>
      </c>
      <c r="E72" s="1" t="s">
        <v>9206</v>
      </c>
      <c r="F72" s="61">
        <f>F71</f>
        <v>1281.92</v>
      </c>
      <c r="G72" s="3">
        <v>10.5</v>
      </c>
      <c r="H72" s="4" t="s">
        <v>8690</v>
      </c>
      <c r="I72">
        <v>10</v>
      </c>
      <c r="J72" s="37">
        <v>1</v>
      </c>
      <c r="K72" s="4"/>
      <c r="L72" s="66">
        <f>((ARTICULOS_LADIAR[[#This Row],[P. Compra]]*(1+ARTICULOS_LADIAR[[#This Row],[IVA]]%))/ARTICULOS_LADIAR[[#This Row],[UnidFact]])+ARTICULOS_LADIAR[[#This Row],[CostoFlete]]</f>
        <v>1416.5216</v>
      </c>
      <c r="M72">
        <v>35</v>
      </c>
      <c r="N72" s="68">
        <f>IF(L72&gt;=20,MROUND((L72*(1+(ARTICULOS_LADIAR[[#This Row],[IVA]]/100)))/(1-M72/100),50),20)</f>
        <v>2400</v>
      </c>
      <c r="O72" s="3">
        <f>MROUND((ARTICULOS_LADIAR[[#This Row],[Precio]]/0.6),50)</f>
        <v>4000</v>
      </c>
      <c r="P72" t="s">
        <v>8693</v>
      </c>
      <c r="Q72">
        <v>2</v>
      </c>
      <c r="R72" s="3">
        <f>ARTICULOS_LADIAR[[#This Row],[Bulto]]+ARTICULOS_LADIAR[[#This Row],[Minimo]]</f>
        <v>12</v>
      </c>
      <c r="S72" t="s">
        <v>70</v>
      </c>
      <c r="T72" t="s">
        <v>27</v>
      </c>
      <c r="U72" t="s">
        <v>28</v>
      </c>
      <c r="V72" t="s">
        <v>9173</v>
      </c>
      <c r="W72" t="s">
        <v>8692</v>
      </c>
      <c r="X72">
        <v>1</v>
      </c>
      <c r="Y72">
        <v>2</v>
      </c>
      <c r="Z72"/>
      <c r="AB72" s="80">
        <f>ARTICULOS_LADIAR[[#This Row],[Costo]]*ARTICULOS_LADIAR[[#This Row],[Pedido]]</f>
        <v>0</v>
      </c>
      <c r="AD72"/>
      <c r="AH72" s="2" t="str">
        <f>IF(AND(ARTICULOS_LADIAR[[#This Row],[FechaVenc]]=0,ARTICULOS_LADIAR[[#This Row],[DiasVenc]]=0),"",ARTICULOS_LADIAR[[#This Row],[FechaVenc]]-ARTICULOS_LADIAR[[#This Row],[DiasVenc]])</f>
        <v/>
      </c>
      <c r="AK72"/>
      <c r="AM72"/>
      <c r="AO72" s="30" t="s">
        <v>8689</v>
      </c>
    </row>
    <row r="73" spans="1:41" x14ac:dyDescent="0.25">
      <c r="A73" s="1" t="s">
        <v>9207</v>
      </c>
      <c r="C73" t="str">
        <f t="shared" si="4"/>
        <v>KIO77922120</v>
      </c>
      <c r="D73" t="s">
        <v>8689</v>
      </c>
      <c r="E73" s="1" t="s">
        <v>9208</v>
      </c>
      <c r="F73" s="61">
        <v>1589.72</v>
      </c>
      <c r="G73" s="3">
        <v>10.5</v>
      </c>
      <c r="H73" s="4" t="s">
        <v>8690</v>
      </c>
      <c r="I73">
        <v>12</v>
      </c>
      <c r="J73" s="37">
        <v>1</v>
      </c>
      <c r="K73" s="4"/>
      <c r="L73" s="66">
        <f>((ARTICULOS_LADIAR[[#This Row],[P. Compra]]*(1+ARTICULOS_LADIAR[[#This Row],[IVA]]%))/ARTICULOS_LADIAR[[#This Row],[UnidFact]])+ARTICULOS_LADIAR[[#This Row],[CostoFlete]]</f>
        <v>1756.6405999999999</v>
      </c>
      <c r="M73">
        <v>35</v>
      </c>
      <c r="N73" s="68">
        <f>IF(L73&gt;=20,MROUND((L73*(1+(ARTICULOS_LADIAR[[#This Row],[IVA]]/100)))/(1-M73/100),50),20)</f>
        <v>3000</v>
      </c>
      <c r="O73" s="3">
        <f>MROUND((ARTICULOS_LADIAR[[#This Row],[Precio]]/0.6),50)</f>
        <v>5000</v>
      </c>
      <c r="P73" t="s">
        <v>8693</v>
      </c>
      <c r="Q73">
        <v>2</v>
      </c>
      <c r="R73" s="3">
        <f>ARTICULOS_LADIAR[[#This Row],[Bulto]]+ARTICULOS_LADIAR[[#This Row],[Minimo]]</f>
        <v>14</v>
      </c>
      <c r="S73" t="s">
        <v>70</v>
      </c>
      <c r="T73" t="s">
        <v>27</v>
      </c>
      <c r="U73" t="s">
        <v>28</v>
      </c>
      <c r="V73" t="s">
        <v>9100</v>
      </c>
      <c r="W73" t="s">
        <v>8692</v>
      </c>
      <c r="X73">
        <v>1</v>
      </c>
      <c r="Y73">
        <v>0</v>
      </c>
      <c r="Z73"/>
      <c r="AB73" s="80">
        <f>ARTICULOS_LADIAR[[#This Row],[Costo]]*ARTICULOS_LADIAR[[#This Row],[Pedido]]</f>
        <v>0</v>
      </c>
      <c r="AD73"/>
      <c r="AH73" s="2" t="str">
        <f>IF(AND(ARTICULOS_LADIAR[[#This Row],[FechaVenc]]=0,ARTICULOS_LADIAR[[#This Row],[DiasVenc]]=0),"",ARTICULOS_LADIAR[[#This Row],[FechaVenc]]-ARTICULOS_LADIAR[[#This Row],[DiasVenc]])</f>
        <v/>
      </c>
      <c r="AK73"/>
      <c r="AM73"/>
      <c r="AO73" s="30" t="s">
        <v>8689</v>
      </c>
    </row>
    <row r="74" spans="1:41" x14ac:dyDescent="0.25">
      <c r="A74" s="1" t="s">
        <v>9209</v>
      </c>
      <c r="C74" t="str">
        <f t="shared" si="4"/>
        <v>KIO80105013</v>
      </c>
      <c r="D74" t="s">
        <v>8689</v>
      </c>
      <c r="E74" s="1" t="s">
        <v>9210</v>
      </c>
      <c r="F74" s="61">
        <v>2743.78</v>
      </c>
      <c r="G74" s="3">
        <v>10.5</v>
      </c>
      <c r="H74" s="4" t="s">
        <v>8690</v>
      </c>
      <c r="I74">
        <v>64</v>
      </c>
      <c r="J74" s="37">
        <v>1</v>
      </c>
      <c r="K74" s="4"/>
      <c r="L74" s="66">
        <f>((ARTICULOS_LADIAR[[#This Row],[P. Compra]]*(1+ARTICULOS_LADIAR[[#This Row],[IVA]]%))/ARTICULOS_LADIAR[[#This Row],[UnidFact]])+ARTICULOS_LADIAR[[#This Row],[CostoFlete]]</f>
        <v>3031.8769000000002</v>
      </c>
      <c r="M74">
        <v>35</v>
      </c>
      <c r="N74" s="68">
        <f>IF(L74&gt;=20,MROUND((L74*(1+(ARTICULOS_LADIAR[[#This Row],[IVA]]/100)))/(1-M74/100),50),20)</f>
        <v>5150</v>
      </c>
      <c r="O74" s="3">
        <f>MROUND((ARTICULOS_LADIAR[[#This Row],[Precio]]/0.6),50)</f>
        <v>8600</v>
      </c>
      <c r="P74" t="s">
        <v>8693</v>
      </c>
      <c r="Q74">
        <v>2</v>
      </c>
      <c r="R74" s="3">
        <f>ARTICULOS_LADIAR[[#This Row],[Bulto]]+ARTICULOS_LADIAR[[#This Row],[Minimo]]</f>
        <v>66</v>
      </c>
      <c r="S74" t="s">
        <v>70</v>
      </c>
      <c r="T74" t="s">
        <v>27</v>
      </c>
      <c r="U74" t="s">
        <v>28</v>
      </c>
      <c r="V74" t="s">
        <v>9100</v>
      </c>
      <c r="W74" t="s">
        <v>8692</v>
      </c>
      <c r="X74">
        <v>1</v>
      </c>
      <c r="Y74">
        <v>0</v>
      </c>
      <c r="Z74"/>
      <c r="AB74" s="80">
        <f>ARTICULOS_LADIAR[[#This Row],[Costo]]*ARTICULOS_LADIAR[[#This Row],[Pedido]]</f>
        <v>0</v>
      </c>
      <c r="AD74"/>
      <c r="AH74" s="2" t="str">
        <f>IF(AND(ARTICULOS_LADIAR[[#This Row],[FechaVenc]]=0,ARTICULOS_LADIAR[[#This Row],[DiasVenc]]=0),"",ARTICULOS_LADIAR[[#This Row],[FechaVenc]]-ARTICULOS_LADIAR[[#This Row],[DiasVenc]])</f>
        <v/>
      </c>
      <c r="AK74"/>
      <c r="AM74"/>
      <c r="AO74" s="30" t="s">
        <v>8689</v>
      </c>
    </row>
    <row r="75" spans="1:41" x14ac:dyDescent="0.25">
      <c r="A75" s="1" t="s">
        <v>9211</v>
      </c>
      <c r="C75" t="str">
        <f t="shared" si="4"/>
        <v>KIO80132750</v>
      </c>
      <c r="D75" t="s">
        <v>8689</v>
      </c>
      <c r="E75" s="1" t="s">
        <v>9212</v>
      </c>
      <c r="F75" s="61">
        <f>F74</f>
        <v>2743.78</v>
      </c>
      <c r="G75" s="3">
        <v>10.5</v>
      </c>
      <c r="H75" s="4" t="s">
        <v>8690</v>
      </c>
      <c r="I75">
        <v>64</v>
      </c>
      <c r="J75" s="37">
        <v>1</v>
      </c>
      <c r="K75" s="4"/>
      <c r="L75" s="66">
        <f>((ARTICULOS_LADIAR[[#This Row],[P. Compra]]*(1+ARTICULOS_LADIAR[[#This Row],[IVA]]%))/ARTICULOS_LADIAR[[#This Row],[UnidFact]])+ARTICULOS_LADIAR[[#This Row],[CostoFlete]]</f>
        <v>3031.8769000000002</v>
      </c>
      <c r="M75">
        <v>35</v>
      </c>
      <c r="N75" s="68">
        <f>IF(L75&gt;=20,MROUND((L75*(1+(ARTICULOS_LADIAR[[#This Row],[IVA]]/100)))/(1-M75/100),50),20)</f>
        <v>5150</v>
      </c>
      <c r="O75" s="3">
        <f>MROUND((ARTICULOS_LADIAR[[#This Row],[Precio]]/0.6),50)</f>
        <v>8600</v>
      </c>
      <c r="P75" t="s">
        <v>8693</v>
      </c>
      <c r="Q75">
        <v>2</v>
      </c>
      <c r="R75" s="3">
        <f>ARTICULOS_LADIAR[[#This Row],[Bulto]]+ARTICULOS_LADIAR[[#This Row],[Minimo]]</f>
        <v>66</v>
      </c>
      <c r="S75" t="s">
        <v>70</v>
      </c>
      <c r="T75" t="s">
        <v>27</v>
      </c>
      <c r="U75" t="s">
        <v>28</v>
      </c>
      <c r="V75" t="s">
        <v>9100</v>
      </c>
      <c r="W75" t="s">
        <v>8692</v>
      </c>
      <c r="X75">
        <v>1</v>
      </c>
      <c r="Y75">
        <v>3</v>
      </c>
      <c r="Z75"/>
      <c r="AB75" s="80">
        <f>ARTICULOS_LADIAR[[#This Row],[Costo]]*ARTICULOS_LADIAR[[#This Row],[Pedido]]</f>
        <v>0</v>
      </c>
      <c r="AD75"/>
      <c r="AH75" s="2" t="str">
        <f>IF(AND(ARTICULOS_LADIAR[[#This Row],[FechaVenc]]=0,ARTICULOS_LADIAR[[#This Row],[DiasVenc]]=0),"",ARTICULOS_LADIAR[[#This Row],[FechaVenc]]-ARTICULOS_LADIAR[[#This Row],[DiasVenc]])</f>
        <v/>
      </c>
      <c r="AK75"/>
      <c r="AM75"/>
      <c r="AO75" s="30" t="s">
        <v>8689</v>
      </c>
    </row>
    <row r="76" spans="1:41" x14ac:dyDescent="0.25">
      <c r="A76" s="1" t="s">
        <v>9213</v>
      </c>
      <c r="C76" t="str">
        <f t="shared" si="4"/>
        <v>KIO80103743</v>
      </c>
      <c r="D76" t="s">
        <v>8689</v>
      </c>
      <c r="E76" s="1" t="s">
        <v>9214</v>
      </c>
      <c r="F76" s="61">
        <v>4716.3500000000004</v>
      </c>
      <c r="G76" s="3">
        <v>10.5</v>
      </c>
      <c r="H76" s="4" t="s">
        <v>8690</v>
      </c>
      <c r="I76">
        <v>24</v>
      </c>
      <c r="J76" s="37">
        <v>1</v>
      </c>
      <c r="K76" s="4"/>
      <c r="L76" s="66">
        <f>((ARTICULOS_LADIAR[[#This Row],[P. Compra]]*(1+ARTICULOS_LADIAR[[#This Row],[IVA]]%))/ARTICULOS_LADIAR[[#This Row],[UnidFact]])+ARTICULOS_LADIAR[[#This Row],[CostoFlete]]</f>
        <v>5211.56675</v>
      </c>
      <c r="M76">
        <v>35</v>
      </c>
      <c r="N76" s="68">
        <f>IF(L76&gt;=20,MROUND((L76*(1+(ARTICULOS_LADIAR[[#This Row],[IVA]]/100)))/(1-M76/100),50),20)</f>
        <v>8850</v>
      </c>
      <c r="O76" s="3">
        <f>MROUND((ARTICULOS_LADIAR[[#This Row],[Precio]]/0.6),50)</f>
        <v>14750</v>
      </c>
      <c r="P76" t="s">
        <v>8693</v>
      </c>
      <c r="Q76">
        <v>2</v>
      </c>
      <c r="R76" s="3">
        <f>ARTICULOS_LADIAR[[#This Row],[Bulto]]+ARTICULOS_LADIAR[[#This Row],[Minimo]]</f>
        <v>26</v>
      </c>
      <c r="S76" t="s">
        <v>70</v>
      </c>
      <c r="T76" t="s">
        <v>27</v>
      </c>
      <c r="U76" t="s">
        <v>28</v>
      </c>
      <c r="V76" t="s">
        <v>9100</v>
      </c>
      <c r="W76" t="s">
        <v>8692</v>
      </c>
      <c r="X76">
        <v>1</v>
      </c>
      <c r="Y76">
        <v>0</v>
      </c>
      <c r="Z76"/>
      <c r="AB76" s="80">
        <f>ARTICULOS_LADIAR[[#This Row],[Costo]]*ARTICULOS_LADIAR[[#This Row],[Pedido]]</f>
        <v>0</v>
      </c>
      <c r="AD76"/>
      <c r="AH76" s="2" t="str">
        <f>IF(AND(ARTICULOS_LADIAR[[#This Row],[FechaVenc]]=0,ARTICULOS_LADIAR[[#This Row],[DiasVenc]]=0),"",ARTICULOS_LADIAR[[#This Row],[FechaVenc]]-ARTICULOS_LADIAR[[#This Row],[DiasVenc]])</f>
        <v/>
      </c>
      <c r="AK76"/>
      <c r="AM76"/>
      <c r="AO76" s="30" t="s">
        <v>8689</v>
      </c>
    </row>
    <row r="77" spans="1:41" x14ac:dyDescent="0.25">
      <c r="A77" s="1" t="s">
        <v>9215</v>
      </c>
      <c r="C77" t="str">
        <f t="shared" si="4"/>
        <v>KIO77953124</v>
      </c>
      <c r="D77" t="s">
        <v>8689</v>
      </c>
      <c r="E77" s="1" t="s">
        <v>9216</v>
      </c>
      <c r="F77" s="61">
        <v>608.49</v>
      </c>
      <c r="G77" s="3">
        <v>10.5</v>
      </c>
      <c r="H77" s="4" t="s">
        <v>8690</v>
      </c>
      <c r="I77">
        <v>20</v>
      </c>
      <c r="J77" s="37">
        <v>1</v>
      </c>
      <c r="K77" s="4"/>
      <c r="L77" s="66">
        <f>((ARTICULOS_LADIAR[[#This Row],[P. Compra]]*(1+ARTICULOS_LADIAR[[#This Row],[IVA]]%))/ARTICULOS_LADIAR[[#This Row],[UnidFact]])+ARTICULOS_LADIAR[[#This Row],[CostoFlete]]</f>
        <v>672.38144999999997</v>
      </c>
      <c r="M77">
        <v>35</v>
      </c>
      <c r="N77" s="68">
        <f>IF(L77&gt;=20,MROUND((L77*(1+(ARTICULOS_LADIAR[[#This Row],[IVA]]/100)))/(1-M77/100),50),20)</f>
        <v>1150</v>
      </c>
      <c r="O77" s="3">
        <f>MROUND((ARTICULOS_LADIAR[[#This Row],[Precio]]/0.6),50)</f>
        <v>1900</v>
      </c>
      <c r="P77" t="s">
        <v>8693</v>
      </c>
      <c r="Q77">
        <v>4</v>
      </c>
      <c r="R77" s="3">
        <f>ARTICULOS_LADIAR[[#This Row],[Bulto]]+ARTICULOS_LADIAR[[#This Row],[Minimo]]</f>
        <v>24</v>
      </c>
      <c r="S77" t="s">
        <v>70</v>
      </c>
      <c r="T77" t="s">
        <v>27</v>
      </c>
      <c r="U77" t="s">
        <v>28</v>
      </c>
      <c r="V77" t="s">
        <v>9100</v>
      </c>
      <c r="W77" t="s">
        <v>8692</v>
      </c>
      <c r="X77">
        <v>1</v>
      </c>
      <c r="Y77">
        <v>16</v>
      </c>
      <c r="Z77"/>
      <c r="AB77" s="80">
        <f>ARTICULOS_LADIAR[[#This Row],[Costo]]*ARTICULOS_LADIAR[[#This Row],[Pedido]]</f>
        <v>0</v>
      </c>
      <c r="AD77"/>
      <c r="AH77" s="2" t="str">
        <f>IF(AND(ARTICULOS_LADIAR[[#This Row],[FechaVenc]]=0,ARTICULOS_LADIAR[[#This Row],[DiasVenc]]=0),"",ARTICULOS_LADIAR[[#This Row],[FechaVenc]]-ARTICULOS_LADIAR[[#This Row],[DiasVenc]])</f>
        <v/>
      </c>
      <c r="AK77"/>
      <c r="AM77"/>
      <c r="AO77" s="30" t="s">
        <v>8689</v>
      </c>
    </row>
    <row r="78" spans="1:41" x14ac:dyDescent="0.25">
      <c r="A78" s="1" t="s">
        <v>9217</v>
      </c>
      <c r="C78" t="str">
        <f t="shared" si="4"/>
        <v>KIO77981912</v>
      </c>
      <c r="D78" t="s">
        <v>8689</v>
      </c>
      <c r="E78" s="1" t="s">
        <v>9218</v>
      </c>
      <c r="F78" s="61">
        <f>F77</f>
        <v>608.49</v>
      </c>
      <c r="G78" s="3">
        <v>10.5</v>
      </c>
      <c r="H78" s="4" t="s">
        <v>8690</v>
      </c>
      <c r="I78">
        <v>20</v>
      </c>
      <c r="J78" s="37">
        <v>1</v>
      </c>
      <c r="K78" s="4"/>
      <c r="L78" s="66">
        <f>((ARTICULOS_LADIAR[[#This Row],[P. Compra]]*(1+ARTICULOS_LADIAR[[#This Row],[IVA]]%))/ARTICULOS_LADIAR[[#This Row],[UnidFact]])+ARTICULOS_LADIAR[[#This Row],[CostoFlete]]</f>
        <v>672.38144999999997</v>
      </c>
      <c r="M78">
        <v>35</v>
      </c>
      <c r="N78" s="68">
        <f>IF(L78&gt;=20,MROUND((L78*(1+(ARTICULOS_LADIAR[[#This Row],[IVA]]/100)))/(1-M78/100),50),20)</f>
        <v>1150</v>
      </c>
      <c r="O78" s="3">
        <f>MROUND((ARTICULOS_LADIAR[[#This Row],[Precio]]/0.6),50)</f>
        <v>1900</v>
      </c>
      <c r="P78" t="s">
        <v>8693</v>
      </c>
      <c r="Q78">
        <v>4</v>
      </c>
      <c r="R78" s="3">
        <f>ARTICULOS_LADIAR[[#This Row],[Bulto]]+ARTICULOS_LADIAR[[#This Row],[Minimo]]</f>
        <v>24</v>
      </c>
      <c r="S78" t="s">
        <v>70</v>
      </c>
      <c r="T78" t="s">
        <v>27</v>
      </c>
      <c r="U78" t="s">
        <v>28</v>
      </c>
      <c r="V78" t="s">
        <v>9100</v>
      </c>
      <c r="W78" t="s">
        <v>8692</v>
      </c>
      <c r="X78">
        <v>1</v>
      </c>
      <c r="Y78">
        <v>0</v>
      </c>
      <c r="Z78"/>
      <c r="AB78" s="80">
        <f>ARTICULOS_LADIAR[[#This Row],[Costo]]*ARTICULOS_LADIAR[[#This Row],[Pedido]]</f>
        <v>0</v>
      </c>
      <c r="AD78"/>
      <c r="AH78" s="2" t="str">
        <f>IF(AND(ARTICULOS_LADIAR[[#This Row],[FechaVenc]]=0,ARTICULOS_LADIAR[[#This Row],[DiasVenc]]=0),"",ARTICULOS_LADIAR[[#This Row],[FechaVenc]]-ARTICULOS_LADIAR[[#This Row],[DiasVenc]])</f>
        <v/>
      </c>
      <c r="AK78"/>
      <c r="AM78"/>
      <c r="AO78" s="30" t="s">
        <v>8689</v>
      </c>
    </row>
    <row r="79" spans="1:41" x14ac:dyDescent="0.25">
      <c r="A79" s="1" t="s">
        <v>9219</v>
      </c>
      <c r="C79" t="str">
        <f t="shared" si="4"/>
        <v>KIO80131319</v>
      </c>
      <c r="D79" t="s">
        <v>8689</v>
      </c>
      <c r="E79" s="1" t="s">
        <v>9220</v>
      </c>
      <c r="F79" s="61">
        <v>1175.0899999999999</v>
      </c>
      <c r="G79" s="3">
        <v>10.5</v>
      </c>
      <c r="H79" s="4" t="s">
        <v>8690</v>
      </c>
      <c r="I79">
        <v>10</v>
      </c>
      <c r="J79" s="37">
        <v>1</v>
      </c>
      <c r="K79" s="4"/>
      <c r="L79" s="66">
        <f>((ARTICULOS_LADIAR[[#This Row],[P. Compra]]*(1+ARTICULOS_LADIAR[[#This Row],[IVA]]%))/ARTICULOS_LADIAR[[#This Row],[UnidFact]])+ARTICULOS_LADIAR[[#This Row],[CostoFlete]]</f>
        <v>1298.4744499999999</v>
      </c>
      <c r="M79">
        <v>35</v>
      </c>
      <c r="N79" s="68">
        <f>IF(L79&gt;=20,MROUND((L79*(1+(ARTICULOS_LADIAR[[#This Row],[IVA]]/100)))/(1-M79/100),50),20)</f>
        <v>2200</v>
      </c>
      <c r="O79" s="3">
        <f>MROUND((ARTICULOS_LADIAR[[#This Row],[Precio]]/0.6),50)</f>
        <v>3650</v>
      </c>
      <c r="P79" t="s">
        <v>8693</v>
      </c>
      <c r="Q79">
        <v>2</v>
      </c>
      <c r="R79" s="3">
        <f>ARTICULOS_LADIAR[[#This Row],[Bulto]]+ARTICULOS_LADIAR[[#This Row],[Minimo]]</f>
        <v>12</v>
      </c>
      <c r="S79" t="s">
        <v>70</v>
      </c>
      <c r="T79" t="s">
        <v>27</v>
      </c>
      <c r="U79" t="s">
        <v>28</v>
      </c>
      <c r="V79" t="s">
        <v>9173</v>
      </c>
      <c r="W79" t="s">
        <v>8692</v>
      </c>
      <c r="X79">
        <v>1</v>
      </c>
      <c r="Y79">
        <v>0</v>
      </c>
      <c r="Z79"/>
      <c r="AB79" s="80">
        <f>ARTICULOS_LADIAR[[#This Row],[Costo]]*ARTICULOS_LADIAR[[#This Row],[Pedido]]</f>
        <v>0</v>
      </c>
      <c r="AD79"/>
      <c r="AH79" s="2" t="str">
        <f>IF(AND(ARTICULOS_LADIAR[[#This Row],[FechaVenc]]=0,ARTICULOS_LADIAR[[#This Row],[DiasVenc]]=0),"",ARTICULOS_LADIAR[[#This Row],[FechaVenc]]-ARTICULOS_LADIAR[[#This Row],[DiasVenc]])</f>
        <v/>
      </c>
      <c r="AK79"/>
      <c r="AM79"/>
      <c r="AO79" s="30" t="s">
        <v>8689</v>
      </c>
    </row>
    <row r="80" spans="1:41" x14ac:dyDescent="0.25">
      <c r="A80" s="1" t="s">
        <v>9221</v>
      </c>
      <c r="C80" t="str">
        <f t="shared" si="4"/>
        <v>KIO80033507</v>
      </c>
      <c r="D80" t="s">
        <v>8689</v>
      </c>
      <c r="E80" s="1" t="s">
        <v>9222</v>
      </c>
      <c r="F80" s="61">
        <f t="shared" ref="F80:F85" si="5">F79</f>
        <v>1175.0899999999999</v>
      </c>
      <c r="G80" s="3">
        <v>10.5</v>
      </c>
      <c r="H80" s="4" t="s">
        <v>8690</v>
      </c>
      <c r="I80">
        <v>10</v>
      </c>
      <c r="J80" s="37">
        <v>1</v>
      </c>
      <c r="K80" s="4"/>
      <c r="L80" s="66">
        <f>((ARTICULOS_LADIAR[[#This Row],[P. Compra]]*(1+ARTICULOS_LADIAR[[#This Row],[IVA]]%))/ARTICULOS_LADIAR[[#This Row],[UnidFact]])+ARTICULOS_LADIAR[[#This Row],[CostoFlete]]</f>
        <v>1298.4744499999999</v>
      </c>
      <c r="M80">
        <v>35</v>
      </c>
      <c r="N80" s="68">
        <f>IF(L80&gt;=20,MROUND((L80*(1+(ARTICULOS_LADIAR[[#This Row],[IVA]]/100)))/(1-M80/100),50),20)</f>
        <v>2200</v>
      </c>
      <c r="O80" s="3">
        <f>MROUND((ARTICULOS_LADIAR[[#This Row],[Precio]]/0.6),50)</f>
        <v>3650</v>
      </c>
      <c r="P80" t="s">
        <v>8693</v>
      </c>
      <c r="Q80">
        <v>2</v>
      </c>
      <c r="R80" s="3">
        <f>ARTICULOS_LADIAR[[#This Row],[Bulto]]+ARTICULOS_LADIAR[[#This Row],[Minimo]]</f>
        <v>12</v>
      </c>
      <c r="S80" t="s">
        <v>70</v>
      </c>
      <c r="T80" t="s">
        <v>27</v>
      </c>
      <c r="U80" t="s">
        <v>28</v>
      </c>
      <c r="V80" t="s">
        <v>9173</v>
      </c>
      <c r="W80" t="s">
        <v>8692</v>
      </c>
      <c r="X80">
        <v>1</v>
      </c>
      <c r="Y80">
        <v>2</v>
      </c>
      <c r="Z80"/>
      <c r="AB80" s="80">
        <f>ARTICULOS_LADIAR[[#This Row],[Costo]]*ARTICULOS_LADIAR[[#This Row],[Pedido]]</f>
        <v>0</v>
      </c>
      <c r="AD80"/>
      <c r="AH80" s="2" t="str">
        <f>IF(AND(ARTICULOS_LADIAR[[#This Row],[FechaVenc]]=0,ARTICULOS_LADIAR[[#This Row],[DiasVenc]]=0),"",ARTICULOS_LADIAR[[#This Row],[FechaVenc]]-ARTICULOS_LADIAR[[#This Row],[DiasVenc]])</f>
        <v/>
      </c>
      <c r="AK80"/>
      <c r="AM80"/>
      <c r="AO80" s="30" t="s">
        <v>8689</v>
      </c>
    </row>
    <row r="81" spans="1:41" x14ac:dyDescent="0.25">
      <c r="A81" s="1" t="s">
        <v>9223</v>
      </c>
      <c r="C81" t="str">
        <f t="shared" si="4"/>
        <v>KIO80103538</v>
      </c>
      <c r="D81" t="s">
        <v>8689</v>
      </c>
      <c r="E81" s="1" t="s">
        <v>9224</v>
      </c>
      <c r="F81" s="61">
        <f t="shared" si="5"/>
        <v>1175.0899999999999</v>
      </c>
      <c r="G81" s="3">
        <v>10.5</v>
      </c>
      <c r="H81" s="4" t="s">
        <v>8690</v>
      </c>
      <c r="I81">
        <v>10</v>
      </c>
      <c r="J81" s="37">
        <v>1</v>
      </c>
      <c r="K81" s="4"/>
      <c r="L81" s="66">
        <f>((ARTICULOS_LADIAR[[#This Row],[P. Compra]]*(1+ARTICULOS_LADIAR[[#This Row],[IVA]]%))/ARTICULOS_LADIAR[[#This Row],[UnidFact]])+ARTICULOS_LADIAR[[#This Row],[CostoFlete]]</f>
        <v>1298.4744499999999</v>
      </c>
      <c r="M81">
        <v>35</v>
      </c>
      <c r="N81" s="68">
        <f>IF(L81&gt;=20,MROUND((L81*(1+(ARTICULOS_LADIAR[[#This Row],[IVA]]/100)))/(1-M81/100),50),20)</f>
        <v>2200</v>
      </c>
      <c r="O81" s="3">
        <f>MROUND((ARTICULOS_LADIAR[[#This Row],[Precio]]/0.6),50)</f>
        <v>3650</v>
      </c>
      <c r="P81" t="s">
        <v>8693</v>
      </c>
      <c r="Q81">
        <v>2</v>
      </c>
      <c r="R81" s="3">
        <f>ARTICULOS_LADIAR[[#This Row],[Bulto]]+ARTICULOS_LADIAR[[#This Row],[Minimo]]</f>
        <v>12</v>
      </c>
      <c r="S81" t="s">
        <v>70</v>
      </c>
      <c r="T81" t="s">
        <v>27</v>
      </c>
      <c r="U81" t="s">
        <v>28</v>
      </c>
      <c r="V81" t="s">
        <v>9173</v>
      </c>
      <c r="W81" t="s">
        <v>8692</v>
      </c>
      <c r="X81">
        <v>1</v>
      </c>
      <c r="Y81">
        <v>0</v>
      </c>
      <c r="Z81"/>
      <c r="AB81" s="80">
        <f>ARTICULOS_LADIAR[[#This Row],[Costo]]*ARTICULOS_LADIAR[[#This Row],[Pedido]]</f>
        <v>0</v>
      </c>
      <c r="AD81"/>
      <c r="AH81" s="2" t="str">
        <f>IF(AND(ARTICULOS_LADIAR[[#This Row],[FechaVenc]]=0,ARTICULOS_LADIAR[[#This Row],[DiasVenc]]=0),"",ARTICULOS_LADIAR[[#This Row],[FechaVenc]]-ARTICULOS_LADIAR[[#This Row],[DiasVenc]])</f>
        <v/>
      </c>
      <c r="AK81"/>
      <c r="AM81"/>
      <c r="AO81" s="30" t="s">
        <v>8689</v>
      </c>
    </row>
    <row r="82" spans="1:41" x14ac:dyDescent="0.25">
      <c r="A82" s="1" t="s">
        <v>9225</v>
      </c>
      <c r="C82" t="str">
        <f t="shared" si="4"/>
        <v>KIO80103484</v>
      </c>
      <c r="D82" t="s">
        <v>8689</v>
      </c>
      <c r="E82" s="1" t="s">
        <v>9226</v>
      </c>
      <c r="F82" s="61">
        <f t="shared" si="5"/>
        <v>1175.0899999999999</v>
      </c>
      <c r="G82" s="3">
        <v>10.5</v>
      </c>
      <c r="H82" s="4" t="s">
        <v>8690</v>
      </c>
      <c r="I82">
        <v>10</v>
      </c>
      <c r="J82" s="37">
        <v>1</v>
      </c>
      <c r="K82" s="4"/>
      <c r="L82" s="66">
        <f>((ARTICULOS_LADIAR[[#This Row],[P. Compra]]*(1+ARTICULOS_LADIAR[[#This Row],[IVA]]%))/ARTICULOS_LADIAR[[#This Row],[UnidFact]])+ARTICULOS_LADIAR[[#This Row],[CostoFlete]]</f>
        <v>1298.4744499999999</v>
      </c>
      <c r="M82">
        <v>35</v>
      </c>
      <c r="N82" s="68">
        <f>IF(L82&gt;=20,MROUND((L82*(1+(ARTICULOS_LADIAR[[#This Row],[IVA]]/100)))/(1-M82/100),50),20)</f>
        <v>2200</v>
      </c>
      <c r="O82" s="3">
        <f>MROUND((ARTICULOS_LADIAR[[#This Row],[Precio]]/0.6),50)</f>
        <v>3650</v>
      </c>
      <c r="P82" t="s">
        <v>8693</v>
      </c>
      <c r="Q82">
        <v>2</v>
      </c>
      <c r="R82" s="3">
        <f>ARTICULOS_LADIAR[[#This Row],[Bulto]]+ARTICULOS_LADIAR[[#This Row],[Minimo]]</f>
        <v>12</v>
      </c>
      <c r="S82" t="s">
        <v>70</v>
      </c>
      <c r="T82" t="s">
        <v>27</v>
      </c>
      <c r="U82" t="s">
        <v>28</v>
      </c>
      <c r="V82" t="s">
        <v>9173</v>
      </c>
      <c r="W82" t="s">
        <v>8692</v>
      </c>
      <c r="X82">
        <v>1</v>
      </c>
      <c r="Y82">
        <v>4</v>
      </c>
      <c r="Z82"/>
      <c r="AB82" s="80">
        <f>ARTICULOS_LADIAR[[#This Row],[Costo]]*ARTICULOS_LADIAR[[#This Row],[Pedido]]</f>
        <v>0</v>
      </c>
      <c r="AD82"/>
      <c r="AH82" s="2" t="str">
        <f>IF(AND(ARTICULOS_LADIAR[[#This Row],[FechaVenc]]=0,ARTICULOS_LADIAR[[#This Row],[DiasVenc]]=0),"",ARTICULOS_LADIAR[[#This Row],[FechaVenc]]-ARTICULOS_LADIAR[[#This Row],[DiasVenc]])</f>
        <v/>
      </c>
      <c r="AK82"/>
      <c r="AM82"/>
      <c r="AO82" s="30" t="s">
        <v>8689</v>
      </c>
    </row>
    <row r="83" spans="1:41" x14ac:dyDescent="0.25">
      <c r="A83" s="1" t="s">
        <v>9227</v>
      </c>
      <c r="C83" t="str">
        <f t="shared" si="4"/>
        <v>KIO80103521</v>
      </c>
      <c r="D83" t="s">
        <v>8689</v>
      </c>
      <c r="E83" s="1" t="s">
        <v>9228</v>
      </c>
      <c r="F83" s="61">
        <f t="shared" si="5"/>
        <v>1175.0899999999999</v>
      </c>
      <c r="G83" s="3">
        <v>10.5</v>
      </c>
      <c r="H83" s="4" t="s">
        <v>8690</v>
      </c>
      <c r="I83">
        <v>10</v>
      </c>
      <c r="J83" s="37">
        <v>1</v>
      </c>
      <c r="K83" s="4"/>
      <c r="L83" s="66">
        <f>((ARTICULOS_LADIAR[[#This Row],[P. Compra]]*(1+ARTICULOS_LADIAR[[#This Row],[IVA]]%))/ARTICULOS_LADIAR[[#This Row],[UnidFact]])+ARTICULOS_LADIAR[[#This Row],[CostoFlete]]</f>
        <v>1298.4744499999999</v>
      </c>
      <c r="M83">
        <v>35</v>
      </c>
      <c r="N83" s="68">
        <f>IF(L83&gt;=20,MROUND((L83*(1+(ARTICULOS_LADIAR[[#This Row],[IVA]]/100)))/(1-M83/100),50),20)</f>
        <v>2200</v>
      </c>
      <c r="O83" s="3">
        <f>MROUND((ARTICULOS_LADIAR[[#This Row],[Precio]]/0.6),50)</f>
        <v>3650</v>
      </c>
      <c r="P83" t="s">
        <v>8693</v>
      </c>
      <c r="Q83">
        <v>2</v>
      </c>
      <c r="R83" s="3">
        <f>ARTICULOS_LADIAR[[#This Row],[Bulto]]+ARTICULOS_LADIAR[[#This Row],[Minimo]]</f>
        <v>12</v>
      </c>
      <c r="S83" t="s">
        <v>70</v>
      </c>
      <c r="T83" t="s">
        <v>27</v>
      </c>
      <c r="U83" t="s">
        <v>28</v>
      </c>
      <c r="V83" t="s">
        <v>9173</v>
      </c>
      <c r="W83" t="s">
        <v>8692</v>
      </c>
      <c r="X83">
        <v>1</v>
      </c>
      <c r="Y83">
        <v>0</v>
      </c>
      <c r="Z83"/>
      <c r="AB83" s="80">
        <f>ARTICULOS_LADIAR[[#This Row],[Costo]]*ARTICULOS_LADIAR[[#This Row],[Pedido]]</f>
        <v>0</v>
      </c>
      <c r="AD83"/>
      <c r="AH83" s="2" t="str">
        <f>IF(AND(ARTICULOS_LADIAR[[#This Row],[FechaVenc]]=0,ARTICULOS_LADIAR[[#This Row],[DiasVenc]]=0),"",ARTICULOS_LADIAR[[#This Row],[FechaVenc]]-ARTICULOS_LADIAR[[#This Row],[DiasVenc]])</f>
        <v/>
      </c>
      <c r="AK83"/>
      <c r="AM83"/>
      <c r="AO83" s="30" t="s">
        <v>8689</v>
      </c>
    </row>
    <row r="84" spans="1:41" x14ac:dyDescent="0.25">
      <c r="A84" s="1" t="s">
        <v>9229</v>
      </c>
      <c r="C84" t="str">
        <f t="shared" si="4"/>
        <v>KIO80106560</v>
      </c>
      <c r="D84" t="s">
        <v>8689</v>
      </c>
      <c r="E84" s="1" t="s">
        <v>9230</v>
      </c>
      <c r="F84" s="61">
        <f t="shared" si="5"/>
        <v>1175.0899999999999</v>
      </c>
      <c r="G84" s="3">
        <v>10.5</v>
      </c>
      <c r="H84" s="4" t="s">
        <v>8690</v>
      </c>
      <c r="I84">
        <v>10</v>
      </c>
      <c r="J84" s="37">
        <v>1</v>
      </c>
      <c r="K84" s="4"/>
      <c r="L84" s="66">
        <f>((ARTICULOS_LADIAR[[#This Row],[P. Compra]]*(1+ARTICULOS_LADIAR[[#This Row],[IVA]]%))/ARTICULOS_LADIAR[[#This Row],[UnidFact]])+ARTICULOS_LADIAR[[#This Row],[CostoFlete]]</f>
        <v>1298.4744499999999</v>
      </c>
      <c r="M84">
        <v>35</v>
      </c>
      <c r="N84" s="68">
        <f>IF(L84&gt;=20,MROUND((L84*(1+(ARTICULOS_LADIAR[[#This Row],[IVA]]/100)))/(1-M84/100),50),20)</f>
        <v>2200</v>
      </c>
      <c r="O84" s="3">
        <f>MROUND((ARTICULOS_LADIAR[[#This Row],[Precio]]/0.6),50)</f>
        <v>3650</v>
      </c>
      <c r="P84" t="s">
        <v>8693</v>
      </c>
      <c r="Q84">
        <v>2</v>
      </c>
      <c r="R84" s="3">
        <f>ARTICULOS_LADIAR[[#This Row],[Bulto]]+ARTICULOS_LADIAR[[#This Row],[Minimo]]</f>
        <v>12</v>
      </c>
      <c r="S84" t="s">
        <v>70</v>
      </c>
      <c r="T84" t="s">
        <v>27</v>
      </c>
      <c r="U84" t="s">
        <v>28</v>
      </c>
      <c r="V84" t="s">
        <v>9173</v>
      </c>
      <c r="W84" t="s">
        <v>8692</v>
      </c>
      <c r="X84">
        <v>1</v>
      </c>
      <c r="Y84">
        <v>3</v>
      </c>
      <c r="Z84"/>
      <c r="AB84" s="80">
        <f>ARTICULOS_LADIAR[[#This Row],[Costo]]*ARTICULOS_LADIAR[[#This Row],[Pedido]]</f>
        <v>0</v>
      </c>
      <c r="AD84"/>
      <c r="AH84" s="2" t="str">
        <f>IF(AND(ARTICULOS_LADIAR[[#This Row],[FechaVenc]]=0,ARTICULOS_LADIAR[[#This Row],[DiasVenc]]=0),"",ARTICULOS_LADIAR[[#This Row],[FechaVenc]]-ARTICULOS_LADIAR[[#This Row],[DiasVenc]])</f>
        <v/>
      </c>
      <c r="AK84"/>
      <c r="AM84"/>
      <c r="AO84" s="30" t="s">
        <v>8689</v>
      </c>
    </row>
    <row r="85" spans="1:41" x14ac:dyDescent="0.25">
      <c r="A85" s="1" t="s">
        <v>9231</v>
      </c>
      <c r="C85" t="str">
        <f t="shared" si="4"/>
        <v>KIO80123642</v>
      </c>
      <c r="D85" t="s">
        <v>8689</v>
      </c>
      <c r="E85" s="1" t="s">
        <v>9232</v>
      </c>
      <c r="F85" s="61">
        <f t="shared" si="5"/>
        <v>1175.0899999999999</v>
      </c>
      <c r="G85" s="3">
        <v>10.5</v>
      </c>
      <c r="H85" s="4" t="s">
        <v>8690</v>
      </c>
      <c r="I85">
        <v>10</v>
      </c>
      <c r="J85" s="37">
        <v>1</v>
      </c>
      <c r="K85" s="4"/>
      <c r="L85" s="66">
        <f>((ARTICULOS_LADIAR[[#This Row],[P. Compra]]*(1+ARTICULOS_LADIAR[[#This Row],[IVA]]%))/ARTICULOS_LADIAR[[#This Row],[UnidFact]])+ARTICULOS_LADIAR[[#This Row],[CostoFlete]]</f>
        <v>1298.4744499999999</v>
      </c>
      <c r="M85">
        <v>35</v>
      </c>
      <c r="N85" s="68">
        <f>IF(L85&gt;=20,MROUND((L85*(1+(ARTICULOS_LADIAR[[#This Row],[IVA]]/100)))/(1-M85/100),50),20)</f>
        <v>2200</v>
      </c>
      <c r="O85" s="3">
        <f>MROUND((ARTICULOS_LADIAR[[#This Row],[Precio]]/0.6),50)</f>
        <v>3650</v>
      </c>
      <c r="P85" t="s">
        <v>8693</v>
      </c>
      <c r="Q85">
        <v>2</v>
      </c>
      <c r="R85" s="3">
        <f>ARTICULOS_LADIAR[[#This Row],[Bulto]]+ARTICULOS_LADIAR[[#This Row],[Minimo]]</f>
        <v>12</v>
      </c>
      <c r="S85" t="s">
        <v>70</v>
      </c>
      <c r="T85" t="s">
        <v>27</v>
      </c>
      <c r="U85" t="s">
        <v>28</v>
      </c>
      <c r="V85" t="s">
        <v>9173</v>
      </c>
      <c r="W85" t="s">
        <v>8692</v>
      </c>
      <c r="X85">
        <v>1</v>
      </c>
      <c r="Y85">
        <v>3</v>
      </c>
      <c r="Z85"/>
      <c r="AB85" s="80">
        <f>ARTICULOS_LADIAR[[#This Row],[Costo]]*ARTICULOS_LADIAR[[#This Row],[Pedido]]</f>
        <v>0</v>
      </c>
      <c r="AD85"/>
      <c r="AH85" s="2" t="str">
        <f>IF(AND(ARTICULOS_LADIAR[[#This Row],[FechaVenc]]=0,ARTICULOS_LADIAR[[#This Row],[DiasVenc]]=0),"",ARTICULOS_LADIAR[[#This Row],[FechaVenc]]-ARTICULOS_LADIAR[[#This Row],[DiasVenc]])</f>
        <v/>
      </c>
      <c r="AK85"/>
      <c r="AM85"/>
      <c r="AO85" s="30" t="s">
        <v>8689</v>
      </c>
    </row>
    <row r="86" spans="1:41" x14ac:dyDescent="0.25">
      <c r="A86" s="1" t="s">
        <v>9233</v>
      </c>
      <c r="C86" t="str">
        <f t="shared" si="4"/>
        <v>KIO80133573</v>
      </c>
      <c r="D86" t="s">
        <v>8689</v>
      </c>
      <c r="E86" s="24" t="s">
        <v>11755</v>
      </c>
      <c r="F86" s="61">
        <v>9761.0499999999993</v>
      </c>
      <c r="G86" s="3">
        <v>10.5</v>
      </c>
      <c r="H86" s="4" t="s">
        <v>8690</v>
      </c>
      <c r="I86">
        <v>12</v>
      </c>
      <c r="J86" s="37">
        <f>ARTICULOS_LADIAR[[#This Row],[Bulto]]</f>
        <v>12</v>
      </c>
      <c r="K86" s="4"/>
      <c r="L86" s="66">
        <f>((ARTICULOS_LADIAR[[#This Row],[P. Compra]]*(1+ARTICULOS_LADIAR[[#This Row],[IVA]]%))/ARTICULOS_LADIAR[[#This Row],[UnidFact]])+ARTICULOS_LADIAR[[#This Row],[CostoFlete]]</f>
        <v>898.83002083333315</v>
      </c>
      <c r="M86">
        <v>35</v>
      </c>
      <c r="N86" s="68">
        <f>IF(L86&gt;=20,MROUND((L86*(1+(ARTICULOS_LADIAR[[#This Row],[IVA]]/100)))/(1-M86/100),50),20)</f>
        <v>1550</v>
      </c>
      <c r="O86" s="3">
        <f>MROUND((ARTICULOS_LADIAR[[#This Row],[Precio]]/0.6),50)</f>
        <v>2600</v>
      </c>
      <c r="P86" t="s">
        <v>8693</v>
      </c>
      <c r="Q86">
        <v>2</v>
      </c>
      <c r="R86" s="3">
        <f>ARTICULOS_LADIAR[[#This Row],[Bulto]]+ARTICULOS_LADIAR[[#This Row],[Minimo]]</f>
        <v>14</v>
      </c>
      <c r="S86" t="s">
        <v>70</v>
      </c>
      <c r="T86" t="s">
        <v>27</v>
      </c>
      <c r="U86" t="s">
        <v>28</v>
      </c>
      <c r="V86" t="s">
        <v>9105</v>
      </c>
      <c r="W86" t="s">
        <v>8692</v>
      </c>
      <c r="X86">
        <v>1</v>
      </c>
      <c r="Y86">
        <v>12</v>
      </c>
      <c r="Z86"/>
      <c r="AB86" s="80">
        <f>ARTICULOS_LADIAR[[#This Row],[Costo]]*ARTICULOS_LADIAR[[#This Row],[Pedido]]</f>
        <v>0</v>
      </c>
      <c r="AD86"/>
      <c r="AH86" s="2" t="str">
        <f>IF(AND(ARTICULOS_LADIAR[[#This Row],[FechaVenc]]=0,ARTICULOS_LADIAR[[#This Row],[DiasVenc]]=0),"",ARTICULOS_LADIAR[[#This Row],[FechaVenc]]-ARTICULOS_LADIAR[[#This Row],[DiasVenc]])</f>
        <v/>
      </c>
      <c r="AK86"/>
      <c r="AM86"/>
      <c r="AO86" s="30" t="s">
        <v>8689</v>
      </c>
    </row>
    <row r="87" spans="1:41" x14ac:dyDescent="0.25">
      <c r="A87" s="24" t="s">
        <v>9237</v>
      </c>
      <c r="B87" s="1" t="s">
        <v>9238</v>
      </c>
      <c r="C87" t="str">
        <f t="shared" si="4"/>
        <v>KIO80128043</v>
      </c>
      <c r="D87" t="s">
        <v>8689</v>
      </c>
      <c r="E87" s="24" t="s">
        <v>9239</v>
      </c>
      <c r="F87" s="61">
        <v>546.62</v>
      </c>
      <c r="G87" s="3">
        <v>10.5</v>
      </c>
      <c r="H87" s="4" t="s">
        <v>8690</v>
      </c>
      <c r="I87">
        <v>16</v>
      </c>
      <c r="J87" s="37">
        <v>1</v>
      </c>
      <c r="K87" s="4"/>
      <c r="L87" s="66">
        <f>((ARTICULOS_LADIAR[[#This Row],[P. Compra]]*(1+ARTICULOS_LADIAR[[#This Row],[IVA]]%))/ARTICULOS_LADIAR[[#This Row],[UnidFact]])+ARTICULOS_LADIAR[[#This Row],[CostoFlete]]</f>
        <v>604.01509999999996</v>
      </c>
      <c r="M87">
        <v>35</v>
      </c>
      <c r="N87" s="68">
        <f>IF(L87&gt;=20,MROUND((L87*(1+(ARTICULOS_LADIAR[[#This Row],[IVA]]/100)))/(1-M87/100),50),20)</f>
        <v>1050</v>
      </c>
      <c r="O87" s="3">
        <f>MROUND((ARTICULOS_LADIAR[[#This Row],[Precio]]/0.6),50)</f>
        <v>1750</v>
      </c>
      <c r="P87" t="s">
        <v>8693</v>
      </c>
      <c r="Q87">
        <v>5</v>
      </c>
      <c r="R87" s="3">
        <f>ARTICULOS_LADIAR[[#This Row],[Bulto]]+ARTICULOS_LADIAR[[#This Row],[Minimo]]</f>
        <v>21</v>
      </c>
      <c r="S87" t="s">
        <v>70</v>
      </c>
      <c r="T87" t="s">
        <v>27</v>
      </c>
      <c r="U87" t="s">
        <v>28</v>
      </c>
      <c r="V87" t="s">
        <v>9100</v>
      </c>
      <c r="W87" t="s">
        <v>8692</v>
      </c>
      <c r="X87">
        <v>1</v>
      </c>
      <c r="Y87">
        <v>13</v>
      </c>
      <c r="Z87"/>
      <c r="AB87" s="80">
        <f>ARTICULOS_LADIAR[[#This Row],[Costo]]*ARTICULOS_LADIAR[[#This Row],[Pedido]]</f>
        <v>0</v>
      </c>
      <c r="AD87"/>
      <c r="AH87" s="2" t="str">
        <f>IF(AND(ARTICULOS_LADIAR[[#This Row],[FechaVenc]]=0,ARTICULOS_LADIAR[[#This Row],[DiasVenc]]=0),"",ARTICULOS_LADIAR[[#This Row],[FechaVenc]]-ARTICULOS_LADIAR[[#This Row],[DiasVenc]])</f>
        <v/>
      </c>
      <c r="AK87"/>
      <c r="AM87"/>
      <c r="AO87" s="30" t="s">
        <v>8689</v>
      </c>
    </row>
    <row r="88" spans="1:41" x14ac:dyDescent="0.25">
      <c r="A88" s="1" t="s">
        <v>9240</v>
      </c>
      <c r="B88" s="1" t="s">
        <v>9241</v>
      </c>
      <c r="C88" t="str">
        <f t="shared" si="4"/>
        <v>KIO80139797</v>
      </c>
      <c r="D88" t="s">
        <v>8689</v>
      </c>
      <c r="E88" s="1" t="s">
        <v>9242</v>
      </c>
      <c r="F88" s="61">
        <v>890.56</v>
      </c>
      <c r="G88" s="3">
        <v>10.5</v>
      </c>
      <c r="H88" s="4" t="s">
        <v>8690</v>
      </c>
      <c r="I88">
        <v>60</v>
      </c>
      <c r="J88" s="37">
        <v>1</v>
      </c>
      <c r="K88" s="4"/>
      <c r="L88" s="66">
        <f>((ARTICULOS_LADIAR[[#This Row],[P. Compra]]*(1+ARTICULOS_LADIAR[[#This Row],[IVA]]%))/ARTICULOS_LADIAR[[#This Row],[UnidFact]])+ARTICULOS_LADIAR[[#This Row],[CostoFlete]]</f>
        <v>984.0687999999999</v>
      </c>
      <c r="M88">
        <v>35</v>
      </c>
      <c r="N88" s="68">
        <f>IF(L88&gt;=20,MROUND((L88*(1+(ARTICULOS_LADIAR[[#This Row],[IVA]]/100)))/(1-M88/100),50),20)</f>
        <v>1650</v>
      </c>
      <c r="O88" s="3">
        <f>MROUND((ARTICULOS_LADIAR[[#This Row],[Precio]]/0.6),50)</f>
        <v>2750</v>
      </c>
      <c r="P88" t="s">
        <v>8693</v>
      </c>
      <c r="Q88">
        <v>2</v>
      </c>
      <c r="R88" s="23">
        <f>ARTICULOS_LADIAR[[#This Row],[Bulto]]+ARTICULOS_LADIAR[[#This Row],[Minimo]]</f>
        <v>62</v>
      </c>
      <c r="S88" t="s">
        <v>70</v>
      </c>
      <c r="T88" t="s">
        <v>27</v>
      </c>
      <c r="U88" t="s">
        <v>28</v>
      </c>
      <c r="V88" t="s">
        <v>9100</v>
      </c>
      <c r="W88" t="s">
        <v>8692</v>
      </c>
      <c r="X88">
        <v>1</v>
      </c>
      <c r="Y88">
        <v>1</v>
      </c>
      <c r="Z88"/>
      <c r="AB88" s="80">
        <f>ARTICULOS_LADIAR[[#This Row],[Costo]]*ARTICULOS_LADIAR[[#This Row],[Pedido]]</f>
        <v>0</v>
      </c>
      <c r="AD88"/>
      <c r="AH88" s="2" t="str">
        <f>IF(AND(ARTICULOS_LADIAR[[#This Row],[FechaVenc]]=0,ARTICULOS_LADIAR[[#This Row],[DiasVenc]]=0),"",ARTICULOS_LADIAR[[#This Row],[FechaVenc]]-ARTICULOS_LADIAR[[#This Row],[DiasVenc]])</f>
        <v/>
      </c>
      <c r="AK88"/>
      <c r="AM88"/>
      <c r="AO88" s="30" t="s">
        <v>8689</v>
      </c>
    </row>
    <row r="89" spans="1:41" x14ac:dyDescent="0.25">
      <c r="A89" s="1" t="s">
        <v>9246</v>
      </c>
      <c r="C89" t="str">
        <f t="shared" si="4"/>
        <v>KIO77961471</v>
      </c>
      <c r="D89" t="s">
        <v>8689</v>
      </c>
      <c r="E89" s="1" t="s">
        <v>9247</v>
      </c>
      <c r="F89" s="61">
        <v>3906.55</v>
      </c>
      <c r="G89" s="3">
        <v>10.5</v>
      </c>
      <c r="H89" s="4" t="s">
        <v>8690</v>
      </c>
      <c r="I89">
        <v>16</v>
      </c>
      <c r="J89" s="37">
        <v>16</v>
      </c>
      <c r="K89" s="4"/>
      <c r="L89" s="66">
        <f>((ARTICULOS_LADIAR[[#This Row],[P. Compra]]*(1+ARTICULOS_LADIAR[[#This Row],[IVA]]%))/ARTICULOS_LADIAR[[#This Row],[UnidFact]])+ARTICULOS_LADIAR[[#This Row],[CostoFlete]]</f>
        <v>269.79610937500001</v>
      </c>
      <c r="M89">
        <v>35</v>
      </c>
      <c r="N89" s="68">
        <f>IF(L89&gt;=20,MROUND((L89*(1+(ARTICULOS_LADIAR[[#This Row],[IVA]]/100)))/(1-M89/100),50),20)</f>
        <v>450</v>
      </c>
      <c r="O89" s="3">
        <f>MROUND((ARTICULOS_LADIAR[[#This Row],[Precio]]/0.6),50)</f>
        <v>750</v>
      </c>
      <c r="P89" t="s">
        <v>8693</v>
      </c>
      <c r="Q89">
        <v>2</v>
      </c>
      <c r="R89" s="3">
        <f>ARTICULOS_LADIAR[[#This Row],[Bulto]]+ARTICULOS_LADIAR[[#This Row],[Minimo]]</f>
        <v>18</v>
      </c>
      <c r="S89" t="s">
        <v>70</v>
      </c>
      <c r="T89" t="s">
        <v>27</v>
      </c>
      <c r="U89" t="s">
        <v>28</v>
      </c>
      <c r="V89" t="s">
        <v>9248</v>
      </c>
      <c r="W89" t="s">
        <v>8692</v>
      </c>
      <c r="X89">
        <v>1</v>
      </c>
      <c r="Y89">
        <v>0</v>
      </c>
      <c r="Z89"/>
      <c r="AB89" s="80">
        <f>ARTICULOS_LADIAR[[#This Row],[Costo]]*ARTICULOS_LADIAR[[#This Row],[Pedido]]</f>
        <v>0</v>
      </c>
      <c r="AD89"/>
      <c r="AH89" s="2" t="str">
        <f>IF(AND(ARTICULOS_LADIAR[[#This Row],[FechaVenc]]=0,ARTICULOS_LADIAR[[#This Row],[DiasVenc]]=0),"",ARTICULOS_LADIAR[[#This Row],[FechaVenc]]-ARTICULOS_LADIAR[[#This Row],[DiasVenc]])</f>
        <v/>
      </c>
      <c r="AK89"/>
      <c r="AM89"/>
      <c r="AO89" s="30" t="s">
        <v>8689</v>
      </c>
    </row>
    <row r="90" spans="1:41" x14ac:dyDescent="0.25">
      <c r="A90" s="1" t="s">
        <v>9254</v>
      </c>
      <c r="C90" t="str">
        <f t="shared" si="4"/>
        <v>KIO80136970</v>
      </c>
      <c r="D90" t="s">
        <v>8689</v>
      </c>
      <c r="E90" s="1" t="s">
        <v>9255</v>
      </c>
      <c r="F90" s="61">
        <v>3628.08</v>
      </c>
      <c r="G90" s="3">
        <v>10.5</v>
      </c>
      <c r="H90" s="4" t="s">
        <v>8690</v>
      </c>
      <c r="I90">
        <v>1</v>
      </c>
      <c r="J90" s="37">
        <v>1</v>
      </c>
      <c r="K90" s="4"/>
      <c r="L90" s="66">
        <f>((ARTICULOS_LADIAR[[#This Row],[P. Compra]]*(1+ARTICULOS_LADIAR[[#This Row],[IVA]]%))/ARTICULOS_LADIAR[[#This Row],[UnidFact]])+ARTICULOS_LADIAR[[#This Row],[CostoFlete]]</f>
        <v>4009.0283999999997</v>
      </c>
      <c r="M90">
        <v>35</v>
      </c>
      <c r="N90" s="68">
        <f>IF(L90&gt;=20,MROUND((L90*(1+(ARTICULOS_LADIAR[[#This Row],[IVA]]/100)))/(1-M90/100),50),20)</f>
        <v>6800</v>
      </c>
      <c r="O90" s="3">
        <f>MROUND((ARTICULOS_LADIAR[[#This Row],[Precio]]/0.6),50)</f>
        <v>11350</v>
      </c>
      <c r="P90" t="s">
        <v>8693</v>
      </c>
      <c r="Q90">
        <v>2</v>
      </c>
      <c r="R90" s="3">
        <f>ARTICULOS_LADIAR[[#This Row],[Bulto]]+ARTICULOS_LADIAR[[#This Row],[Minimo]]</f>
        <v>3</v>
      </c>
      <c r="S90" t="s">
        <v>70</v>
      </c>
      <c r="T90" t="s">
        <v>27</v>
      </c>
      <c r="U90" t="s">
        <v>28</v>
      </c>
      <c r="V90" t="s">
        <v>9248</v>
      </c>
      <c r="W90" t="s">
        <v>8692</v>
      </c>
      <c r="X90">
        <v>1</v>
      </c>
      <c r="Y90">
        <v>0</v>
      </c>
      <c r="Z90"/>
      <c r="AB90" s="80">
        <f>ARTICULOS_LADIAR[[#This Row],[Costo]]*ARTICULOS_LADIAR[[#This Row],[Pedido]]</f>
        <v>0</v>
      </c>
      <c r="AD90"/>
      <c r="AH90" s="2" t="str">
        <f>IF(AND(ARTICULOS_LADIAR[[#This Row],[FechaVenc]]=0,ARTICULOS_LADIAR[[#This Row],[DiasVenc]]=0),"",ARTICULOS_LADIAR[[#This Row],[FechaVenc]]-ARTICULOS_LADIAR[[#This Row],[DiasVenc]])</f>
        <v/>
      </c>
      <c r="AK90"/>
      <c r="AM90"/>
      <c r="AO90" s="30" t="s">
        <v>8689</v>
      </c>
    </row>
    <row r="91" spans="1:41" x14ac:dyDescent="0.25">
      <c r="A91" s="1" t="s">
        <v>9256</v>
      </c>
      <c r="C91" t="str">
        <f t="shared" si="4"/>
        <v>KIO80421007</v>
      </c>
      <c r="D91" t="s">
        <v>8689</v>
      </c>
      <c r="E91" s="1" t="s">
        <v>9257</v>
      </c>
      <c r="F91" s="61">
        <v>8547.5300000000007</v>
      </c>
      <c r="G91" s="3">
        <v>10.5</v>
      </c>
      <c r="H91" s="4" t="s">
        <v>8690</v>
      </c>
      <c r="I91">
        <v>24</v>
      </c>
      <c r="J91" s="37">
        <f>ARTICULOS_LADIAR[[#This Row],[Bulto]]</f>
        <v>24</v>
      </c>
      <c r="K91" s="4"/>
      <c r="L91" s="66">
        <f>((ARTICULOS_LADIAR[[#This Row],[P. Compra]]*(1+ARTICULOS_LADIAR[[#This Row],[IVA]]%))/ARTICULOS_LADIAR[[#This Row],[UnidFact]])+ARTICULOS_LADIAR[[#This Row],[CostoFlete]]</f>
        <v>393.54252708333337</v>
      </c>
      <c r="M91">
        <v>35</v>
      </c>
      <c r="N91" s="68">
        <f>IF(L91&gt;=20,MROUND((L91*(1+(ARTICULOS_LADIAR[[#This Row],[IVA]]/100)))/(1-M91/100),50),20)</f>
        <v>650</v>
      </c>
      <c r="O91" s="3">
        <f>MROUND((ARTICULOS_LADIAR[[#This Row],[Precio]]/0.6),50)</f>
        <v>1100</v>
      </c>
      <c r="P91" t="s">
        <v>8693</v>
      </c>
      <c r="Q91">
        <v>6</v>
      </c>
      <c r="R91" s="3">
        <f>ARTICULOS_LADIAR[[#This Row],[Bulto]]+ARTICULOS_LADIAR[[#This Row],[Minimo]]</f>
        <v>30</v>
      </c>
      <c r="S91" t="s">
        <v>70</v>
      </c>
      <c r="T91" t="s">
        <v>27</v>
      </c>
      <c r="U91" t="s">
        <v>28</v>
      </c>
      <c r="V91" t="s">
        <v>9248</v>
      </c>
      <c r="W91" t="s">
        <v>8692</v>
      </c>
      <c r="X91">
        <v>1</v>
      </c>
      <c r="Y91">
        <v>28</v>
      </c>
      <c r="Z91"/>
      <c r="AB91" s="80">
        <f>ARTICULOS_LADIAR[[#This Row],[Costo]]*ARTICULOS_LADIAR[[#This Row],[Pedido]]</f>
        <v>0</v>
      </c>
      <c r="AD91"/>
      <c r="AH91" s="2" t="str">
        <f>IF(AND(ARTICULOS_LADIAR[[#This Row],[FechaVenc]]=0,ARTICULOS_LADIAR[[#This Row],[DiasVenc]]=0),"",ARTICULOS_LADIAR[[#This Row],[FechaVenc]]-ARTICULOS_LADIAR[[#This Row],[DiasVenc]])</f>
        <v/>
      </c>
      <c r="AK91"/>
      <c r="AM91"/>
      <c r="AO91" s="30" t="s">
        <v>8689</v>
      </c>
    </row>
    <row r="92" spans="1:41" x14ac:dyDescent="0.25">
      <c r="A92" s="1" t="s">
        <v>9258</v>
      </c>
      <c r="C92" t="str">
        <f t="shared" si="4"/>
        <v>KIO80327415</v>
      </c>
      <c r="D92" t="s">
        <v>8689</v>
      </c>
      <c r="E92" s="1" t="s">
        <v>9259</v>
      </c>
      <c r="F92" s="61">
        <v>11473.27</v>
      </c>
      <c r="G92" s="3">
        <v>10.5</v>
      </c>
      <c r="H92" s="4" t="s">
        <v>8690</v>
      </c>
      <c r="I92">
        <v>18</v>
      </c>
      <c r="J92" s="37">
        <f>ARTICULOS_LADIAR[[#This Row],[Bulto]]</f>
        <v>18</v>
      </c>
      <c r="K92" s="4"/>
      <c r="L92" s="66">
        <f>((ARTICULOS_LADIAR[[#This Row],[P. Compra]]*(1+ARTICULOS_LADIAR[[#This Row],[IVA]]%))/ARTICULOS_LADIAR[[#This Row],[UnidFact]])+ARTICULOS_LADIAR[[#This Row],[CostoFlete]]</f>
        <v>704.33129722222225</v>
      </c>
      <c r="M92">
        <v>35</v>
      </c>
      <c r="N92" s="68">
        <f>IF(L92&gt;=20,MROUND((L92*(1+(ARTICULOS_LADIAR[[#This Row],[IVA]]/100)))/(1-M92/100),50),20)</f>
        <v>1200</v>
      </c>
      <c r="O92" s="3">
        <f>MROUND((ARTICULOS_LADIAR[[#This Row],[Precio]]/0.6),50)</f>
        <v>2000</v>
      </c>
      <c r="P92" t="s">
        <v>8693</v>
      </c>
      <c r="Q92">
        <v>2</v>
      </c>
      <c r="R92" s="3">
        <f>ARTICULOS_LADIAR[[#This Row],[Bulto]]+ARTICULOS_LADIAR[[#This Row],[Minimo]]</f>
        <v>20</v>
      </c>
      <c r="S92" t="s">
        <v>70</v>
      </c>
      <c r="T92" t="s">
        <v>27</v>
      </c>
      <c r="U92" t="s">
        <v>28</v>
      </c>
      <c r="V92" t="s">
        <v>9248</v>
      </c>
      <c r="W92" t="s">
        <v>8692</v>
      </c>
      <c r="X92">
        <v>1</v>
      </c>
      <c r="Y92">
        <v>22</v>
      </c>
      <c r="Z92"/>
      <c r="AB92" s="80">
        <f>ARTICULOS_LADIAR[[#This Row],[Costo]]*ARTICULOS_LADIAR[[#This Row],[Pedido]]</f>
        <v>0</v>
      </c>
      <c r="AD92"/>
      <c r="AH92" s="2" t="str">
        <f>IF(AND(ARTICULOS_LADIAR[[#This Row],[FechaVenc]]=0,ARTICULOS_LADIAR[[#This Row],[DiasVenc]]=0),"",ARTICULOS_LADIAR[[#This Row],[FechaVenc]]-ARTICULOS_LADIAR[[#This Row],[DiasVenc]])</f>
        <v/>
      </c>
      <c r="AK92"/>
      <c r="AM92"/>
      <c r="AO92" s="30" t="s">
        <v>8689</v>
      </c>
    </row>
    <row r="93" spans="1:41" x14ac:dyDescent="0.25">
      <c r="A93" s="1" t="s">
        <v>9260</v>
      </c>
      <c r="C93" t="str">
        <f t="shared" si="4"/>
        <v>KIO77942432</v>
      </c>
      <c r="D93" t="s">
        <v>8689</v>
      </c>
      <c r="E93" s="1" t="s">
        <v>9261</v>
      </c>
      <c r="F93" s="61">
        <v>8747.23</v>
      </c>
      <c r="G93" s="3">
        <v>10.5</v>
      </c>
      <c r="H93" s="4" t="s">
        <v>8690</v>
      </c>
      <c r="I93">
        <v>44</v>
      </c>
      <c r="J93" s="37">
        <f>ARTICULOS_LADIAR[[#This Row],[Bulto]]</f>
        <v>44</v>
      </c>
      <c r="K93" s="4"/>
      <c r="L93" s="66">
        <f>((ARTICULOS_LADIAR[[#This Row],[P. Compra]]*(1+ARTICULOS_LADIAR[[#This Row],[IVA]]%))/ARTICULOS_LADIAR[[#This Row],[UnidFact]])+ARTICULOS_LADIAR[[#This Row],[CostoFlete]]</f>
        <v>219.67475340909093</v>
      </c>
      <c r="M93">
        <v>35</v>
      </c>
      <c r="N93" s="68">
        <f>IF(L93&gt;=20,MROUND((L93*(1+(ARTICULOS_LADIAR[[#This Row],[IVA]]/100)))/(1-M93/100),50),20)</f>
        <v>350</v>
      </c>
      <c r="O93" s="3">
        <f>MROUND((ARTICULOS_LADIAR[[#This Row],[Precio]]/0.6),50)</f>
        <v>600</v>
      </c>
      <c r="P93" t="s">
        <v>8693</v>
      </c>
      <c r="Q93">
        <v>2</v>
      </c>
      <c r="R93" s="3">
        <f>ARTICULOS_LADIAR[[#This Row],[Bulto]]+ARTICULOS_LADIAR[[#This Row],[Minimo]]</f>
        <v>46</v>
      </c>
      <c r="S93" t="s">
        <v>70</v>
      </c>
      <c r="T93" t="s">
        <v>27</v>
      </c>
      <c r="U93" t="s">
        <v>28</v>
      </c>
      <c r="V93" t="s">
        <v>9248</v>
      </c>
      <c r="W93" t="s">
        <v>8692</v>
      </c>
      <c r="X93">
        <v>1</v>
      </c>
      <c r="Y93">
        <v>46</v>
      </c>
      <c r="Z93"/>
      <c r="AB93" s="80">
        <f>ARTICULOS_LADIAR[[#This Row],[Costo]]*ARTICULOS_LADIAR[[#This Row],[Pedido]]</f>
        <v>0</v>
      </c>
      <c r="AD93"/>
      <c r="AH93" s="2" t="str">
        <f>IF(AND(ARTICULOS_LADIAR[[#This Row],[FechaVenc]]=0,ARTICULOS_LADIAR[[#This Row],[DiasVenc]]=0),"",ARTICULOS_LADIAR[[#This Row],[FechaVenc]]-ARTICULOS_LADIAR[[#This Row],[DiasVenc]])</f>
        <v/>
      </c>
      <c r="AK93"/>
      <c r="AM93"/>
      <c r="AO93" s="30" t="s">
        <v>8689</v>
      </c>
    </row>
    <row r="94" spans="1:41" x14ac:dyDescent="0.25">
      <c r="A94" s="1" t="s">
        <v>9262</v>
      </c>
      <c r="C94" t="str">
        <f t="shared" si="4"/>
        <v>KIO80136963</v>
      </c>
      <c r="D94" t="s">
        <v>8689</v>
      </c>
      <c r="E94" s="1" t="s">
        <v>9263</v>
      </c>
      <c r="F94" s="61">
        <v>3628.08</v>
      </c>
      <c r="G94" s="3">
        <v>10.5</v>
      </c>
      <c r="H94" s="4" t="s">
        <v>8690</v>
      </c>
      <c r="I94">
        <v>1</v>
      </c>
      <c r="J94" s="37">
        <v>1</v>
      </c>
      <c r="K94" s="4"/>
      <c r="L94" s="66">
        <f>((ARTICULOS_LADIAR[[#This Row],[P. Compra]]*(1+ARTICULOS_LADIAR[[#This Row],[IVA]]%))/ARTICULOS_LADIAR[[#This Row],[UnidFact]])+ARTICULOS_LADIAR[[#This Row],[CostoFlete]]</f>
        <v>4009.0283999999997</v>
      </c>
      <c r="M94">
        <v>35</v>
      </c>
      <c r="N94" s="68">
        <f>IF(L94&gt;=20,MROUND((L94*(1+(ARTICULOS_LADIAR[[#This Row],[IVA]]/100)))/(1-M94/100),50),20)</f>
        <v>6800</v>
      </c>
      <c r="O94" s="3">
        <f>MROUND((ARTICULOS_LADIAR[[#This Row],[Precio]]/0.6),50)</f>
        <v>11350</v>
      </c>
      <c r="P94" t="s">
        <v>8693</v>
      </c>
      <c r="Q94">
        <v>2</v>
      </c>
      <c r="R94" s="3">
        <f>ARTICULOS_LADIAR[[#This Row],[Bulto]]+ARTICULOS_LADIAR[[#This Row],[Minimo]]</f>
        <v>3</v>
      </c>
      <c r="S94" t="s">
        <v>70</v>
      </c>
      <c r="T94" t="s">
        <v>27</v>
      </c>
      <c r="U94" t="s">
        <v>28</v>
      </c>
      <c r="V94" t="s">
        <v>9248</v>
      </c>
      <c r="W94" t="s">
        <v>8692</v>
      </c>
      <c r="X94">
        <v>1</v>
      </c>
      <c r="Y94">
        <v>0</v>
      </c>
      <c r="Z94"/>
      <c r="AB94" s="80">
        <f>ARTICULOS_LADIAR[[#This Row],[Costo]]*ARTICULOS_LADIAR[[#This Row],[Pedido]]</f>
        <v>0</v>
      </c>
      <c r="AD94"/>
      <c r="AH94" s="2" t="str">
        <f>IF(AND(ARTICULOS_LADIAR[[#This Row],[FechaVenc]]=0,ARTICULOS_LADIAR[[#This Row],[DiasVenc]]=0),"",ARTICULOS_LADIAR[[#This Row],[FechaVenc]]-ARTICULOS_LADIAR[[#This Row],[DiasVenc]])</f>
        <v/>
      </c>
      <c r="AK94"/>
      <c r="AM94"/>
      <c r="AO94" s="30" t="s">
        <v>8689</v>
      </c>
    </row>
    <row r="95" spans="1:41" x14ac:dyDescent="0.25">
      <c r="A95" s="1" t="s">
        <v>9269</v>
      </c>
      <c r="C95" t="str">
        <f t="shared" si="4"/>
        <v>KIO77974648</v>
      </c>
      <c r="D95" t="s">
        <v>8689</v>
      </c>
      <c r="E95" s="1" t="s">
        <v>9270</v>
      </c>
      <c r="F95" s="61">
        <v>619.12</v>
      </c>
      <c r="G95" s="3">
        <v>10.5</v>
      </c>
      <c r="H95" s="4" t="s">
        <v>8690</v>
      </c>
      <c r="I95">
        <v>1</v>
      </c>
      <c r="J95" s="37">
        <f>ARTICULOS_LADIAR[[#This Row],[Bulto]]</f>
        <v>1</v>
      </c>
      <c r="K95" s="4"/>
      <c r="L95" s="66">
        <f>((ARTICULOS_LADIAR[[#This Row],[P. Compra]]*(1+ARTICULOS_LADIAR[[#This Row],[IVA]]%))/ARTICULOS_LADIAR[[#This Row],[UnidFact]])+ARTICULOS_LADIAR[[#This Row],[CostoFlete]]</f>
        <v>684.12760000000003</v>
      </c>
      <c r="M95">
        <v>35</v>
      </c>
      <c r="N95" s="68">
        <f>IF(L95&gt;=20,MROUND((L95*(1+(ARTICULOS_LADIAR[[#This Row],[IVA]]/100)))/(1-M95/100),50),20)</f>
        <v>1150</v>
      </c>
      <c r="O95" s="3">
        <f>MROUND((ARTICULOS_LADIAR[[#This Row],[Precio]]/0.6),50)</f>
        <v>1900</v>
      </c>
      <c r="P95" t="s">
        <v>8693</v>
      </c>
      <c r="Q95">
        <v>2</v>
      </c>
      <c r="R95" s="3">
        <f>ARTICULOS_LADIAR[[#This Row],[Bulto]]+ARTICULOS_LADIAR[[#This Row],[Minimo]]</f>
        <v>3</v>
      </c>
      <c r="S95" t="s">
        <v>70</v>
      </c>
      <c r="T95" t="s">
        <v>27</v>
      </c>
      <c r="U95" t="s">
        <v>28</v>
      </c>
      <c r="V95" t="s">
        <v>9080</v>
      </c>
      <c r="W95" t="s">
        <v>8692</v>
      </c>
      <c r="X95">
        <v>1</v>
      </c>
      <c r="Y95">
        <v>0</v>
      </c>
      <c r="Z95"/>
      <c r="AB95" s="80">
        <f>ARTICULOS_LADIAR[[#This Row],[Costo]]*ARTICULOS_LADIAR[[#This Row],[Pedido]]</f>
        <v>0</v>
      </c>
      <c r="AD95"/>
      <c r="AH95" s="2" t="str">
        <f>IF(AND(ARTICULOS_LADIAR[[#This Row],[FechaVenc]]=0,ARTICULOS_LADIAR[[#This Row],[DiasVenc]]=0),"",ARTICULOS_LADIAR[[#This Row],[FechaVenc]]-ARTICULOS_LADIAR[[#This Row],[DiasVenc]])</f>
        <v/>
      </c>
      <c r="AK95"/>
      <c r="AM95"/>
      <c r="AO95" s="30" t="s">
        <v>8689</v>
      </c>
    </row>
    <row r="96" spans="1:41" x14ac:dyDescent="0.25">
      <c r="A96" s="1" t="s">
        <v>9271</v>
      </c>
      <c r="C96" t="str">
        <f t="shared" si="4"/>
        <v>KIO77974631</v>
      </c>
      <c r="D96" t="s">
        <v>8689</v>
      </c>
      <c r="E96" s="1" t="s">
        <v>9272</v>
      </c>
      <c r="F96" s="61">
        <f>F95</f>
        <v>619.12</v>
      </c>
      <c r="G96" s="3">
        <v>10.5</v>
      </c>
      <c r="H96" s="4" t="s">
        <v>8690</v>
      </c>
      <c r="I96">
        <v>1</v>
      </c>
      <c r="J96" s="37">
        <f>ARTICULOS_LADIAR[[#This Row],[Bulto]]</f>
        <v>1</v>
      </c>
      <c r="K96" s="4"/>
      <c r="L96" s="66">
        <f>((ARTICULOS_LADIAR[[#This Row],[P. Compra]]*(1+ARTICULOS_LADIAR[[#This Row],[IVA]]%))/ARTICULOS_LADIAR[[#This Row],[UnidFact]])+ARTICULOS_LADIAR[[#This Row],[CostoFlete]]</f>
        <v>684.12760000000003</v>
      </c>
      <c r="M96">
        <v>35</v>
      </c>
      <c r="N96" s="68">
        <f>IF(L96&gt;=20,MROUND((L96*(1+(ARTICULOS_LADIAR[[#This Row],[IVA]]/100)))/(1-M96/100),50),20)</f>
        <v>1150</v>
      </c>
      <c r="O96" s="3">
        <f>MROUND((ARTICULOS_LADIAR[[#This Row],[Precio]]/0.6),50)</f>
        <v>1900</v>
      </c>
      <c r="P96" t="s">
        <v>8693</v>
      </c>
      <c r="Q96">
        <v>2</v>
      </c>
      <c r="R96" s="3">
        <f>ARTICULOS_LADIAR[[#This Row],[Bulto]]+ARTICULOS_LADIAR[[#This Row],[Minimo]]</f>
        <v>3</v>
      </c>
      <c r="S96" t="s">
        <v>70</v>
      </c>
      <c r="T96" t="s">
        <v>27</v>
      </c>
      <c r="U96" t="s">
        <v>28</v>
      </c>
      <c r="V96" t="s">
        <v>9080</v>
      </c>
      <c r="W96" t="s">
        <v>8692</v>
      </c>
      <c r="X96">
        <v>1</v>
      </c>
      <c r="Y96">
        <v>0</v>
      </c>
      <c r="Z96"/>
      <c r="AB96" s="80">
        <f>ARTICULOS_LADIAR[[#This Row],[Costo]]*ARTICULOS_LADIAR[[#This Row],[Pedido]]</f>
        <v>0</v>
      </c>
      <c r="AD96"/>
      <c r="AH96" s="2" t="str">
        <f>IF(AND(ARTICULOS_LADIAR[[#This Row],[FechaVenc]]=0,ARTICULOS_LADIAR[[#This Row],[DiasVenc]]=0),"",ARTICULOS_LADIAR[[#This Row],[FechaVenc]]-ARTICULOS_LADIAR[[#This Row],[DiasVenc]])</f>
        <v/>
      </c>
      <c r="AK96"/>
      <c r="AM96"/>
      <c r="AO96" s="30" t="s">
        <v>8689</v>
      </c>
    </row>
    <row r="97" spans="1:41" x14ac:dyDescent="0.25">
      <c r="A97" s="1" t="s">
        <v>9273</v>
      </c>
      <c r="C97" t="str">
        <f t="shared" si="4"/>
        <v>KIO80746711</v>
      </c>
      <c r="D97" t="s">
        <v>8689</v>
      </c>
      <c r="E97" s="1" t="s">
        <v>9274</v>
      </c>
      <c r="F97" s="61">
        <v>1215.21</v>
      </c>
      <c r="G97" s="3">
        <v>10.5</v>
      </c>
      <c r="H97" s="4" t="s">
        <v>8690</v>
      </c>
      <c r="I97">
        <v>1</v>
      </c>
      <c r="J97" s="37">
        <f>ARTICULOS_LADIAR[[#This Row],[Bulto]]</f>
        <v>1</v>
      </c>
      <c r="K97" s="4"/>
      <c r="L97" s="66">
        <f>((ARTICULOS_LADIAR[[#This Row],[P. Compra]]*(1+ARTICULOS_LADIAR[[#This Row],[IVA]]%))/ARTICULOS_LADIAR[[#This Row],[UnidFact]])+ARTICULOS_LADIAR[[#This Row],[CostoFlete]]</f>
        <v>1342.8070500000001</v>
      </c>
      <c r="M97">
        <v>35</v>
      </c>
      <c r="N97" s="68">
        <f>IF(L97&gt;=20,MROUND((L97*(1+(ARTICULOS_LADIAR[[#This Row],[IVA]]/100)))/(1-M97/100),50),20)</f>
        <v>2300</v>
      </c>
      <c r="O97" s="3">
        <f>MROUND((ARTICULOS_LADIAR[[#This Row],[Precio]]/0.6),50)</f>
        <v>3850</v>
      </c>
      <c r="P97" t="s">
        <v>8693</v>
      </c>
      <c r="Q97">
        <v>2</v>
      </c>
      <c r="R97" s="3">
        <f>ARTICULOS_LADIAR[[#This Row],[Bulto]]+ARTICULOS_LADIAR[[#This Row],[Minimo]]</f>
        <v>3</v>
      </c>
      <c r="S97" t="s">
        <v>70</v>
      </c>
      <c r="T97" t="s">
        <v>27</v>
      </c>
      <c r="U97" t="s">
        <v>28</v>
      </c>
      <c r="V97" t="s">
        <v>9080</v>
      </c>
      <c r="W97" t="s">
        <v>8692</v>
      </c>
      <c r="X97">
        <v>1</v>
      </c>
      <c r="Y97">
        <v>0</v>
      </c>
      <c r="AB97" s="80">
        <f>ARTICULOS_LADIAR[[#This Row],[Costo]]*ARTICULOS_LADIAR[[#This Row],[Pedido]]</f>
        <v>0</v>
      </c>
      <c r="AD97"/>
      <c r="AH97" s="2" t="str">
        <f>IF(AND(ARTICULOS_LADIAR[[#This Row],[FechaVenc]]=0,ARTICULOS_LADIAR[[#This Row],[DiasVenc]]=0),"",ARTICULOS_LADIAR[[#This Row],[FechaVenc]]-ARTICULOS_LADIAR[[#This Row],[DiasVenc]])</f>
        <v/>
      </c>
      <c r="AK97"/>
      <c r="AM97"/>
      <c r="AO97" s="30" t="s">
        <v>8689</v>
      </c>
    </row>
    <row r="98" spans="1:41" x14ac:dyDescent="0.25">
      <c r="A98" s="24" t="s">
        <v>11757</v>
      </c>
      <c r="C98" t="str">
        <f t="shared" si="4"/>
        <v>KIO80746712</v>
      </c>
      <c r="D98" t="s">
        <v>8689</v>
      </c>
      <c r="E98" s="24" t="s">
        <v>11758</v>
      </c>
      <c r="F98" s="61">
        <f>F97</f>
        <v>1215.21</v>
      </c>
      <c r="G98" s="3">
        <v>10.5</v>
      </c>
      <c r="H98" s="4" t="s">
        <v>8690</v>
      </c>
      <c r="I98">
        <v>1</v>
      </c>
      <c r="J98" s="37">
        <f>ARTICULOS_LADIAR[[#This Row],[Bulto]]</f>
        <v>1</v>
      </c>
      <c r="K98" s="4"/>
      <c r="L98" s="66">
        <f>((ARTICULOS_LADIAR[[#This Row],[P. Compra]]*(1+ARTICULOS_LADIAR[[#This Row],[IVA]]%))/ARTICULOS_LADIAR[[#This Row],[UnidFact]])+ARTICULOS_LADIAR[[#This Row],[CostoFlete]]</f>
        <v>1342.8070500000001</v>
      </c>
      <c r="M98">
        <v>35</v>
      </c>
      <c r="N98" s="68">
        <f>IF(L98&gt;=20,MROUND((L98*(1+(ARTICULOS_LADIAR[[#This Row],[IVA]]/100)))/(1-M98/100),50),20)</f>
        <v>2300</v>
      </c>
      <c r="O98" s="3">
        <f>MROUND((ARTICULOS_LADIAR[[#This Row],[Precio]]/0.6),50)</f>
        <v>3850</v>
      </c>
      <c r="P98" t="s">
        <v>8693</v>
      </c>
      <c r="Q98">
        <v>2</v>
      </c>
      <c r="R98" s="3">
        <f>ARTICULOS_LADIAR[[#This Row],[Bulto]]+ARTICULOS_LADIAR[[#This Row],[Minimo]]</f>
        <v>3</v>
      </c>
      <c r="S98" t="s">
        <v>70</v>
      </c>
      <c r="T98" t="s">
        <v>27</v>
      </c>
      <c r="U98" t="s">
        <v>28</v>
      </c>
      <c r="V98" t="s">
        <v>9080</v>
      </c>
      <c r="W98" t="s">
        <v>8692</v>
      </c>
      <c r="X98">
        <v>1</v>
      </c>
      <c r="Y98">
        <v>0</v>
      </c>
      <c r="AB98" s="80">
        <f>ARTICULOS_LADIAR[[#This Row],[Costo]]*ARTICULOS_LADIAR[[#This Row],[Pedido]]</f>
        <v>0</v>
      </c>
      <c r="AD98"/>
      <c r="AH98" s="2" t="str">
        <f>IF(AND(ARTICULOS_LADIAR[[#This Row],[FechaVenc]]=0,ARTICULOS_LADIAR[[#This Row],[DiasVenc]]=0),"",ARTICULOS_LADIAR[[#This Row],[FechaVenc]]-ARTICULOS_LADIAR[[#This Row],[DiasVenc]])</f>
        <v/>
      </c>
      <c r="AK98"/>
      <c r="AM98"/>
      <c r="AO98" s="30" t="s">
        <v>8689</v>
      </c>
    </row>
    <row r="99" spans="1:41" x14ac:dyDescent="0.25">
      <c r="A99" s="24" t="s">
        <v>9275</v>
      </c>
      <c r="C99" t="str">
        <f t="shared" si="4"/>
        <v>KIO80116812</v>
      </c>
      <c r="D99" t="s">
        <v>8689</v>
      </c>
      <c r="E99" s="24" t="s">
        <v>11433</v>
      </c>
      <c r="F99" s="61">
        <v>2461.0500000000002</v>
      </c>
      <c r="G99" s="3">
        <v>10.5</v>
      </c>
      <c r="H99" s="4" t="s">
        <v>8690</v>
      </c>
      <c r="I99">
        <v>24</v>
      </c>
      <c r="J99" s="37">
        <f>ARTICULOS_LADIAR[[#This Row],[Bulto]]</f>
        <v>24</v>
      </c>
      <c r="K99" s="4"/>
      <c r="L99" s="66">
        <f>((ARTICULOS_LADIAR[[#This Row],[P. Compra]]*(1+ARTICULOS_LADIAR[[#This Row],[IVA]]%))/ARTICULOS_LADIAR[[#This Row],[UnidFact]])+ARTICULOS_LADIAR[[#This Row],[CostoFlete]]</f>
        <v>113.31084375</v>
      </c>
      <c r="M99">
        <v>50</v>
      </c>
      <c r="N99" s="68">
        <f>IF(L99&gt;=20,MROUND((L99*(1+(ARTICULOS_LADIAR[[#This Row],[IVA]]/100)))/(1-M99/100),50),20)</f>
        <v>250</v>
      </c>
      <c r="O99" s="3">
        <f>MROUND((ARTICULOS_LADIAR[[#This Row],[Precio]]/0.6),50)</f>
        <v>400</v>
      </c>
      <c r="P99" t="s">
        <v>8693</v>
      </c>
      <c r="Q99">
        <v>6</v>
      </c>
      <c r="R99" s="3">
        <f>ARTICULOS_LADIAR[[#This Row],[Bulto]]+ARTICULOS_LADIAR[[#This Row],[Minimo]]</f>
        <v>30</v>
      </c>
      <c r="S99" t="s">
        <v>32</v>
      </c>
      <c r="T99" t="s">
        <v>27</v>
      </c>
      <c r="U99" t="s">
        <v>31</v>
      </c>
      <c r="V99" t="s">
        <v>9276</v>
      </c>
      <c r="W99" t="s">
        <v>8692</v>
      </c>
      <c r="X99">
        <v>1</v>
      </c>
      <c r="Y99">
        <v>24</v>
      </c>
      <c r="Z99"/>
      <c r="AB99" s="80">
        <f>ARTICULOS_LADIAR[[#This Row],[Costo]]*ARTICULOS_LADIAR[[#This Row],[Pedido]]</f>
        <v>0</v>
      </c>
      <c r="AD99"/>
      <c r="AH99" s="2" t="str">
        <f>IF(AND(ARTICULOS_LADIAR[[#This Row],[FechaVenc]]=0,ARTICULOS_LADIAR[[#This Row],[DiasVenc]]=0),"",ARTICULOS_LADIAR[[#This Row],[FechaVenc]]-ARTICULOS_LADIAR[[#This Row],[DiasVenc]])</f>
        <v/>
      </c>
      <c r="AK99"/>
      <c r="AM99"/>
      <c r="AO99" s="30" t="s">
        <v>8689</v>
      </c>
    </row>
    <row r="100" spans="1:41" x14ac:dyDescent="0.25">
      <c r="A100" s="1" t="s">
        <v>9277</v>
      </c>
      <c r="C100" t="str">
        <f t="shared" si="4"/>
        <v>KIO80116811</v>
      </c>
      <c r="D100" t="s">
        <v>8689</v>
      </c>
      <c r="E100" s="24" t="s">
        <v>11434</v>
      </c>
      <c r="F100" s="61">
        <f>F99</f>
        <v>2461.0500000000002</v>
      </c>
      <c r="G100" s="3">
        <v>10.5</v>
      </c>
      <c r="H100" s="4" t="s">
        <v>8690</v>
      </c>
      <c r="I100">
        <v>24</v>
      </c>
      <c r="J100" s="37">
        <f>ARTICULOS_LADIAR[[#This Row],[Bulto]]</f>
        <v>24</v>
      </c>
      <c r="K100" s="4"/>
      <c r="L100" s="66">
        <f>((ARTICULOS_LADIAR[[#This Row],[P. Compra]]*(1+ARTICULOS_LADIAR[[#This Row],[IVA]]%))/ARTICULOS_LADIAR[[#This Row],[UnidFact]])+ARTICULOS_LADIAR[[#This Row],[CostoFlete]]</f>
        <v>113.31084375</v>
      </c>
      <c r="M100">
        <v>50</v>
      </c>
      <c r="N100" s="68">
        <f>IF(L100&gt;=20,MROUND((L100*(1+(ARTICULOS_LADIAR[[#This Row],[IVA]]/100)))/(1-M100/100),50),20)</f>
        <v>250</v>
      </c>
      <c r="O100" s="3">
        <f>MROUND((ARTICULOS_LADIAR[[#This Row],[Precio]]/0.6),50)</f>
        <v>400</v>
      </c>
      <c r="P100" t="s">
        <v>8693</v>
      </c>
      <c r="Q100">
        <v>6</v>
      </c>
      <c r="R100" s="3">
        <f>ARTICULOS_LADIAR[[#This Row],[Bulto]]+ARTICULOS_LADIAR[[#This Row],[Minimo]]</f>
        <v>30</v>
      </c>
      <c r="S100" t="s">
        <v>32</v>
      </c>
      <c r="T100" t="s">
        <v>27</v>
      </c>
      <c r="U100" t="s">
        <v>31</v>
      </c>
      <c r="V100" t="s">
        <v>9276</v>
      </c>
      <c r="W100" t="s">
        <v>8692</v>
      </c>
      <c r="X100">
        <v>1</v>
      </c>
      <c r="Y100">
        <v>15</v>
      </c>
      <c r="Z100"/>
      <c r="AB100" s="80">
        <f>ARTICULOS_LADIAR[[#This Row],[Costo]]*ARTICULOS_LADIAR[[#This Row],[Pedido]]</f>
        <v>0</v>
      </c>
      <c r="AD100"/>
      <c r="AH100" s="2" t="str">
        <f>IF(AND(ARTICULOS_LADIAR[[#This Row],[FechaVenc]]=0,ARTICULOS_LADIAR[[#This Row],[DiasVenc]]=0),"",ARTICULOS_LADIAR[[#This Row],[FechaVenc]]-ARTICULOS_LADIAR[[#This Row],[DiasVenc]])</f>
        <v/>
      </c>
      <c r="AK100"/>
      <c r="AM100"/>
      <c r="AO100" s="30" t="s">
        <v>8689</v>
      </c>
    </row>
    <row r="101" spans="1:41" x14ac:dyDescent="0.25">
      <c r="A101" s="24" t="s">
        <v>9278</v>
      </c>
      <c r="C101" t="str">
        <f t="shared" si="4"/>
        <v>KIO80118112</v>
      </c>
      <c r="D101" t="s">
        <v>8689</v>
      </c>
      <c r="E101" s="24" t="s">
        <v>11435</v>
      </c>
      <c r="F101" s="61">
        <f>F100</f>
        <v>2461.0500000000002</v>
      </c>
      <c r="G101" s="3">
        <v>10.5</v>
      </c>
      <c r="H101" s="31" t="s">
        <v>8690</v>
      </c>
      <c r="I101">
        <v>24</v>
      </c>
      <c r="J101" s="37">
        <f>ARTICULOS_LADIAR[[#This Row],[Bulto]]</f>
        <v>24</v>
      </c>
      <c r="K101" s="31"/>
      <c r="L101" s="66">
        <f>((ARTICULOS_LADIAR[[#This Row],[P. Compra]]*(1+ARTICULOS_LADIAR[[#This Row],[IVA]]%))/ARTICULOS_LADIAR[[#This Row],[UnidFact]])+ARTICULOS_LADIAR[[#This Row],[CostoFlete]]</f>
        <v>113.31084375</v>
      </c>
      <c r="M101">
        <v>50</v>
      </c>
      <c r="N101" s="68">
        <f>IF(L101&gt;=20,MROUND((L101*(1+(ARTICULOS_LADIAR[[#This Row],[IVA]]/100)))/(1-M101/100),50),20)</f>
        <v>250</v>
      </c>
      <c r="O101" s="3">
        <f>MROUND((ARTICULOS_LADIAR[[#This Row],[Precio]]/0.6),50)</f>
        <v>400</v>
      </c>
      <c r="P101" t="s">
        <v>8693</v>
      </c>
      <c r="Q101">
        <v>6</v>
      </c>
      <c r="R101" s="23">
        <f>ARTICULOS_LADIAR[[#This Row],[Bulto]]+ARTICULOS_LADIAR[[#This Row],[Minimo]]</f>
        <v>30</v>
      </c>
      <c r="S101" t="s">
        <v>32</v>
      </c>
      <c r="T101" t="s">
        <v>27</v>
      </c>
      <c r="U101" t="s">
        <v>31</v>
      </c>
      <c r="V101" t="s">
        <v>9276</v>
      </c>
      <c r="W101" t="s">
        <v>8692</v>
      </c>
      <c r="X101">
        <v>1</v>
      </c>
      <c r="Y101">
        <v>31</v>
      </c>
      <c r="Z101"/>
      <c r="AB101" s="80">
        <f>ARTICULOS_LADIAR[[#This Row],[Costo]]*ARTICULOS_LADIAR[[#This Row],[Pedido]]</f>
        <v>0</v>
      </c>
      <c r="AD101"/>
      <c r="AH101" s="2" t="str">
        <f>IF(AND(ARTICULOS_LADIAR[[#This Row],[FechaVenc]]=0,ARTICULOS_LADIAR[[#This Row],[DiasVenc]]=0),"",ARTICULOS_LADIAR[[#This Row],[FechaVenc]]-ARTICULOS_LADIAR[[#This Row],[DiasVenc]])</f>
        <v/>
      </c>
      <c r="AK101"/>
      <c r="AM101"/>
      <c r="AO101" s="30" t="s">
        <v>8689</v>
      </c>
    </row>
    <row r="102" spans="1:41" x14ac:dyDescent="0.25">
      <c r="A102" s="24" t="s">
        <v>9279</v>
      </c>
      <c r="C102" t="str">
        <f t="shared" si="4"/>
        <v>KIO80116813</v>
      </c>
      <c r="D102" t="s">
        <v>8689</v>
      </c>
      <c r="E102" s="24" t="s">
        <v>11436</v>
      </c>
      <c r="F102" s="61">
        <f>F101</f>
        <v>2461.0500000000002</v>
      </c>
      <c r="G102" s="3">
        <v>10.5</v>
      </c>
      <c r="H102" s="4" t="s">
        <v>8690</v>
      </c>
      <c r="I102">
        <v>24</v>
      </c>
      <c r="J102" s="37">
        <f>ARTICULOS_LADIAR[[#This Row],[Bulto]]</f>
        <v>24</v>
      </c>
      <c r="K102" s="4"/>
      <c r="L102" s="66">
        <f>((ARTICULOS_LADIAR[[#This Row],[P. Compra]]*(1+ARTICULOS_LADIAR[[#This Row],[IVA]]%))/ARTICULOS_LADIAR[[#This Row],[UnidFact]])+ARTICULOS_LADIAR[[#This Row],[CostoFlete]]</f>
        <v>113.31084375</v>
      </c>
      <c r="M102">
        <v>50</v>
      </c>
      <c r="N102" s="68">
        <f>IF(L102&gt;=20,MROUND((L102*(1+(ARTICULOS_LADIAR[[#This Row],[IVA]]/100)))/(1-M102/100),50),20)</f>
        <v>250</v>
      </c>
      <c r="O102" s="3">
        <f>MROUND((ARTICULOS_LADIAR[[#This Row],[Precio]]/0.6),50)</f>
        <v>400</v>
      </c>
      <c r="P102" t="s">
        <v>8693</v>
      </c>
      <c r="Q102">
        <v>6</v>
      </c>
      <c r="R102" s="3">
        <f>ARTICULOS_LADIAR[[#This Row],[Bulto]]+ARTICULOS_LADIAR[[#This Row],[Minimo]]</f>
        <v>30</v>
      </c>
      <c r="S102" t="s">
        <v>32</v>
      </c>
      <c r="T102" t="s">
        <v>27</v>
      </c>
      <c r="U102" t="s">
        <v>31</v>
      </c>
      <c r="V102" t="s">
        <v>9276</v>
      </c>
      <c r="W102" t="s">
        <v>8692</v>
      </c>
      <c r="X102">
        <v>1</v>
      </c>
      <c r="Y102">
        <v>2</v>
      </c>
      <c r="Z102"/>
      <c r="AB102" s="80">
        <f>ARTICULOS_LADIAR[[#This Row],[Costo]]*ARTICULOS_LADIAR[[#This Row],[Pedido]]</f>
        <v>0</v>
      </c>
      <c r="AD102"/>
      <c r="AH102" s="2" t="str">
        <f>IF(AND(ARTICULOS_LADIAR[[#This Row],[FechaVenc]]=0,ARTICULOS_LADIAR[[#This Row],[DiasVenc]]=0),"",ARTICULOS_LADIAR[[#This Row],[FechaVenc]]-ARTICULOS_LADIAR[[#This Row],[DiasVenc]])</f>
        <v/>
      </c>
      <c r="AK102"/>
      <c r="AM102"/>
      <c r="AO102" s="30" t="s">
        <v>8689</v>
      </c>
    </row>
    <row r="103" spans="1:41" x14ac:dyDescent="0.25">
      <c r="A103" s="1" t="s">
        <v>9280</v>
      </c>
      <c r="C103" t="str">
        <f t="shared" si="4"/>
        <v>KIO80111274</v>
      </c>
      <c r="D103" t="s">
        <v>8689</v>
      </c>
      <c r="E103" s="1" t="s">
        <v>11437</v>
      </c>
      <c r="F103" s="61">
        <v>3045.43</v>
      </c>
      <c r="G103" s="3">
        <v>10.5</v>
      </c>
      <c r="H103" s="4" t="s">
        <v>8690</v>
      </c>
      <c r="I103">
        <v>50</v>
      </c>
      <c r="J103" s="37">
        <f>ARTICULOS_LADIAR[[#This Row],[Bulto]]</f>
        <v>50</v>
      </c>
      <c r="K103" s="4"/>
      <c r="L103" s="66">
        <f>((ARTICULOS_LADIAR[[#This Row],[P. Compra]]*(1+ARTICULOS_LADIAR[[#This Row],[IVA]]%))/ARTICULOS_LADIAR[[#This Row],[UnidFact]])+ARTICULOS_LADIAR[[#This Row],[CostoFlete]]</f>
        <v>67.304002999999994</v>
      </c>
      <c r="M103">
        <v>50</v>
      </c>
      <c r="N103" s="68">
        <f>IF(L103&gt;=20,MROUND((L103*(1+(ARTICULOS_LADIAR[[#This Row],[IVA]]/100)))/(1-M103/100),50),20)</f>
        <v>150</v>
      </c>
      <c r="O103" s="3">
        <f>MROUND((ARTICULOS_LADIAR[[#This Row],[Precio]]/0.6),50)</f>
        <v>250</v>
      </c>
      <c r="P103" t="s">
        <v>8693</v>
      </c>
      <c r="Q103">
        <v>10</v>
      </c>
      <c r="R103" s="3">
        <f>ARTICULOS_LADIAR[[#This Row],[Bulto]]+ARTICULOS_LADIAR[[#This Row],[Minimo]]</f>
        <v>60</v>
      </c>
      <c r="S103" t="s">
        <v>32</v>
      </c>
      <c r="T103" t="s">
        <v>27</v>
      </c>
      <c r="U103" t="s">
        <v>31</v>
      </c>
      <c r="V103" t="s">
        <v>9276</v>
      </c>
      <c r="W103" t="s">
        <v>8692</v>
      </c>
      <c r="X103">
        <v>1</v>
      </c>
      <c r="Y103">
        <v>50</v>
      </c>
      <c r="Z103"/>
      <c r="AB103" s="80">
        <f>ARTICULOS_LADIAR[[#This Row],[Costo]]*ARTICULOS_LADIAR[[#This Row],[Pedido]]</f>
        <v>0</v>
      </c>
      <c r="AD103"/>
      <c r="AH103" s="2" t="str">
        <f>IF(AND(ARTICULOS_LADIAR[[#This Row],[FechaVenc]]=0,ARTICULOS_LADIAR[[#This Row],[DiasVenc]]=0),"",ARTICULOS_LADIAR[[#This Row],[FechaVenc]]-ARTICULOS_LADIAR[[#This Row],[DiasVenc]])</f>
        <v/>
      </c>
      <c r="AK103"/>
      <c r="AM103"/>
      <c r="AO103" s="30" t="s">
        <v>8689</v>
      </c>
    </row>
    <row r="104" spans="1:41" x14ac:dyDescent="0.25">
      <c r="A104" s="1" t="s">
        <v>9281</v>
      </c>
      <c r="C104" t="str">
        <f t="shared" si="4"/>
        <v>KIO80739003</v>
      </c>
      <c r="D104" t="s">
        <v>8689</v>
      </c>
      <c r="E104" s="1" t="s">
        <v>11438</v>
      </c>
      <c r="F104" s="61">
        <f>F103</f>
        <v>3045.43</v>
      </c>
      <c r="G104" s="3">
        <v>10.5</v>
      </c>
      <c r="H104" s="4" t="s">
        <v>8690</v>
      </c>
      <c r="I104">
        <v>50</v>
      </c>
      <c r="J104" s="37">
        <f>ARTICULOS_LADIAR[[#This Row],[Bulto]]</f>
        <v>50</v>
      </c>
      <c r="K104" s="4"/>
      <c r="L104" s="66">
        <f>((ARTICULOS_LADIAR[[#This Row],[P. Compra]]*(1+ARTICULOS_LADIAR[[#This Row],[IVA]]%))/ARTICULOS_LADIAR[[#This Row],[UnidFact]])+ARTICULOS_LADIAR[[#This Row],[CostoFlete]]</f>
        <v>67.304002999999994</v>
      </c>
      <c r="M104">
        <v>50</v>
      </c>
      <c r="N104" s="68">
        <f>IF(L104&gt;=20,MROUND((L104*(1+(ARTICULOS_LADIAR[[#This Row],[IVA]]/100)))/(1-M104/100),50),20)</f>
        <v>150</v>
      </c>
      <c r="O104" s="3">
        <f>MROUND((ARTICULOS_LADIAR[[#This Row],[Precio]]/0.6),50)</f>
        <v>250</v>
      </c>
      <c r="P104" t="s">
        <v>8693</v>
      </c>
      <c r="Q104">
        <v>10</v>
      </c>
      <c r="R104" s="3">
        <f>ARTICULOS_LADIAR[[#This Row],[Bulto]]+ARTICULOS_LADIAR[[#This Row],[Minimo]]</f>
        <v>60</v>
      </c>
      <c r="S104" t="s">
        <v>32</v>
      </c>
      <c r="T104" t="s">
        <v>27</v>
      </c>
      <c r="U104" t="s">
        <v>31</v>
      </c>
      <c r="V104" t="s">
        <v>9105</v>
      </c>
      <c r="W104" t="s">
        <v>8692</v>
      </c>
      <c r="X104">
        <v>1</v>
      </c>
      <c r="Y104">
        <v>48</v>
      </c>
      <c r="Z104"/>
      <c r="AB104" s="80">
        <f>ARTICULOS_LADIAR[[#This Row],[Costo]]*ARTICULOS_LADIAR[[#This Row],[Pedido]]</f>
        <v>0</v>
      </c>
      <c r="AD104"/>
      <c r="AH104" s="2" t="str">
        <f>IF(AND(ARTICULOS_LADIAR[[#This Row],[FechaVenc]]=0,ARTICULOS_LADIAR[[#This Row],[DiasVenc]]=0),"",ARTICULOS_LADIAR[[#This Row],[FechaVenc]]-ARTICULOS_LADIAR[[#This Row],[DiasVenc]])</f>
        <v/>
      </c>
      <c r="AK104"/>
      <c r="AM104"/>
      <c r="AO104" s="30" t="s">
        <v>8689</v>
      </c>
    </row>
    <row r="105" spans="1:41" x14ac:dyDescent="0.25">
      <c r="A105" s="1" t="s">
        <v>12205</v>
      </c>
      <c r="C105" t="str">
        <f t="shared" si="4"/>
        <v>ALM40143531</v>
      </c>
      <c r="D105" t="s">
        <v>8689</v>
      </c>
      <c r="E105" s="24" t="s">
        <v>12204</v>
      </c>
      <c r="F105" s="61">
        <v>640.97</v>
      </c>
      <c r="G105" s="3">
        <v>10.5</v>
      </c>
      <c r="H105" s="4" t="s">
        <v>8690</v>
      </c>
      <c r="I105">
        <v>12</v>
      </c>
      <c r="J105" s="37">
        <v>1</v>
      </c>
      <c r="K105" s="4"/>
      <c r="L105" s="66">
        <f>((ARTICULOS_LADIAR[[#This Row],[P. Compra]]*(1+ARTICULOS_LADIAR[[#This Row],[IVA]]%))/ARTICULOS_LADIAR[[#This Row],[UnidFact]])+ARTICULOS_LADIAR[[#This Row],[CostoFlete]]</f>
        <v>708.27184999999997</v>
      </c>
      <c r="M105">
        <v>35</v>
      </c>
      <c r="N105" s="68">
        <f>IF(L105&gt;=20,MROUND((L105*(1+(ARTICULOS_LADIAR[[#This Row],[IVA]]/100)))/(1-M105/100),50),20)</f>
        <v>1200</v>
      </c>
      <c r="O105" s="3">
        <f>MROUND((ARTICULOS_LADIAR[[#This Row],[Precio]]/0.6),50)</f>
        <v>2000</v>
      </c>
      <c r="P105" t="s">
        <v>8693</v>
      </c>
      <c r="Q105">
        <v>2</v>
      </c>
      <c r="R105" s="3">
        <f>ARTICULOS_LADIAR[[#This Row],[Bulto]]+ARTICULOS_LADIAR[[#This Row],[Minimo]]</f>
        <v>14</v>
      </c>
      <c r="S105" t="s">
        <v>32</v>
      </c>
      <c r="T105" t="s">
        <v>4</v>
      </c>
      <c r="U105" t="s">
        <v>60</v>
      </c>
      <c r="V105" t="s">
        <v>9073</v>
      </c>
      <c r="W105" t="s">
        <v>8692</v>
      </c>
      <c r="X105">
        <v>1</v>
      </c>
      <c r="Y105">
        <v>2</v>
      </c>
      <c r="Z105"/>
      <c r="AB105" s="80">
        <f>ARTICULOS_LADIAR[[#This Row],[Costo]]*ARTICULOS_LADIAR[[#This Row],[Pedido]]</f>
        <v>0</v>
      </c>
      <c r="AD105"/>
      <c r="AH105" s="2" t="str">
        <f>IF(AND(ARTICULOS_LADIAR[[#This Row],[FechaVenc]]=0,ARTICULOS_LADIAR[[#This Row],[DiasVenc]]=0),"",ARTICULOS_LADIAR[[#This Row],[FechaVenc]]-ARTICULOS_LADIAR[[#This Row],[DiasVenc]])</f>
        <v/>
      </c>
      <c r="AK105"/>
      <c r="AM105"/>
      <c r="AO105" s="30" t="s">
        <v>8689</v>
      </c>
    </row>
    <row r="106" spans="1:41" x14ac:dyDescent="0.25">
      <c r="A106" s="24" t="s">
        <v>12206</v>
      </c>
      <c r="C106" t="str">
        <f t="shared" si="4"/>
        <v>ALM40139398</v>
      </c>
      <c r="D106" t="s">
        <v>8689</v>
      </c>
      <c r="E106" s="24" t="s">
        <v>9282</v>
      </c>
      <c r="F106" s="61">
        <v>662.89</v>
      </c>
      <c r="G106" s="3">
        <v>10.5</v>
      </c>
      <c r="H106" s="4" t="s">
        <v>8690</v>
      </c>
      <c r="I106">
        <v>40</v>
      </c>
      <c r="J106" s="37">
        <v>1</v>
      </c>
      <c r="K106" s="4"/>
      <c r="L106" s="66">
        <f>((ARTICULOS_LADIAR[[#This Row],[P. Compra]]*(1+ARTICULOS_LADIAR[[#This Row],[IVA]]%))/ARTICULOS_LADIAR[[#This Row],[UnidFact]])+ARTICULOS_LADIAR[[#This Row],[CostoFlete]]</f>
        <v>732.49344999999994</v>
      </c>
      <c r="M106">
        <v>35</v>
      </c>
      <c r="N106" s="68">
        <f>IF(L106&gt;=20,MROUND((L106*(1+(ARTICULOS_LADIAR[[#This Row],[IVA]]/100)))/(1-M106/100),50),20)</f>
        <v>1250</v>
      </c>
      <c r="O106" s="3">
        <f>MROUND((ARTICULOS_LADIAR[[#This Row],[Precio]]/0.6),50)</f>
        <v>2100</v>
      </c>
      <c r="P106" t="s">
        <v>8693</v>
      </c>
      <c r="Q106">
        <v>2</v>
      </c>
      <c r="R106" s="3">
        <f>ARTICULOS_LADIAR[[#This Row],[Bulto]]+ARTICULOS_LADIAR[[#This Row],[Minimo]]</f>
        <v>42</v>
      </c>
      <c r="S106" t="s">
        <v>70</v>
      </c>
      <c r="T106" t="s">
        <v>4</v>
      </c>
      <c r="U106" t="s">
        <v>60</v>
      </c>
      <c r="V106" t="s">
        <v>9073</v>
      </c>
      <c r="W106" t="s">
        <v>8692</v>
      </c>
      <c r="X106">
        <v>1</v>
      </c>
      <c r="Y106">
        <v>4</v>
      </c>
      <c r="Z106"/>
      <c r="AB106" s="80">
        <f>ARTICULOS_LADIAR[[#This Row],[Costo]]*ARTICULOS_LADIAR[[#This Row],[Pedido]]</f>
        <v>0</v>
      </c>
      <c r="AD106"/>
      <c r="AH106" s="2" t="str">
        <f>IF(AND(ARTICULOS_LADIAR[[#This Row],[FechaVenc]]=0,ARTICULOS_LADIAR[[#This Row],[DiasVenc]]=0),"",ARTICULOS_LADIAR[[#This Row],[FechaVenc]]-ARTICULOS_LADIAR[[#This Row],[DiasVenc]])</f>
        <v/>
      </c>
      <c r="AK106"/>
      <c r="AM106"/>
      <c r="AO106" s="30" t="s">
        <v>8689</v>
      </c>
    </row>
    <row r="107" spans="1:41" x14ac:dyDescent="0.25">
      <c r="A107" s="1" t="s">
        <v>12111</v>
      </c>
      <c r="C107" t="str">
        <f t="shared" si="4"/>
        <v>ALM40143739</v>
      </c>
      <c r="D107" t="s">
        <v>8689</v>
      </c>
      <c r="E107" s="1" t="s">
        <v>12108</v>
      </c>
      <c r="F107" s="61">
        <v>1383.15</v>
      </c>
      <c r="G107" s="3">
        <v>10.5</v>
      </c>
      <c r="H107" s="4" t="s">
        <v>8690</v>
      </c>
      <c r="I107">
        <v>40</v>
      </c>
      <c r="J107" s="37">
        <v>1</v>
      </c>
      <c r="K107" s="4"/>
      <c r="L107" s="66">
        <f>((ARTICULOS_LADIAR[[#This Row],[P. Compra]]*(1+ARTICULOS_LADIAR[[#This Row],[IVA]]%))/ARTICULOS_LADIAR[[#This Row],[UnidFact]])+ARTICULOS_LADIAR[[#This Row],[CostoFlete]]</f>
        <v>1528.38075</v>
      </c>
      <c r="M107">
        <v>35</v>
      </c>
      <c r="N107" s="68">
        <f>IF(L107&gt;=20,MROUND((L107*(1+(ARTICULOS_LADIAR[[#This Row],[IVA]]/100)))/(1-M107/100),50),20)</f>
        <v>2600</v>
      </c>
      <c r="O107" s="3">
        <f>MROUND((ARTICULOS_LADIAR[[#This Row],[Precio]]/0.6),50)</f>
        <v>4350</v>
      </c>
      <c r="P107" t="s">
        <v>8693</v>
      </c>
      <c r="Q107">
        <v>2</v>
      </c>
      <c r="R107" s="3">
        <f>ARTICULOS_LADIAR[[#This Row],[Bulto]]+ARTICULOS_LADIAR[[#This Row],[Minimo]]</f>
        <v>42</v>
      </c>
      <c r="S107" t="s">
        <v>70</v>
      </c>
      <c r="T107" t="s">
        <v>4</v>
      </c>
      <c r="U107" t="s">
        <v>60</v>
      </c>
      <c r="V107" t="s">
        <v>9173</v>
      </c>
      <c r="W107" t="s">
        <v>8692</v>
      </c>
      <c r="X107">
        <v>1</v>
      </c>
      <c r="Y107">
        <v>0</v>
      </c>
      <c r="Z107"/>
      <c r="AB107" s="80">
        <f>ARTICULOS_LADIAR[[#This Row],[Costo]]*ARTICULOS_LADIAR[[#This Row],[Pedido]]</f>
        <v>0</v>
      </c>
      <c r="AD107"/>
      <c r="AH107" s="2" t="str">
        <f>IF(AND(ARTICULOS_LADIAR[[#This Row],[FechaVenc]]=0,ARTICULOS_LADIAR[[#This Row],[DiasVenc]]=0),"",ARTICULOS_LADIAR[[#This Row],[FechaVenc]]-ARTICULOS_LADIAR[[#This Row],[DiasVenc]])</f>
        <v/>
      </c>
      <c r="AK107"/>
      <c r="AM107"/>
      <c r="AO107" s="30" t="s">
        <v>8689</v>
      </c>
    </row>
    <row r="108" spans="1:41" x14ac:dyDescent="0.25">
      <c r="A108" s="1" t="s">
        <v>12112</v>
      </c>
      <c r="C108" t="str">
        <f t="shared" si="4"/>
        <v>ALM40143692</v>
      </c>
      <c r="D108" t="s">
        <v>8689</v>
      </c>
      <c r="E108" s="1" t="s">
        <v>12109</v>
      </c>
      <c r="F108" s="61">
        <f>F107</f>
        <v>1383.15</v>
      </c>
      <c r="G108" s="3">
        <v>10.5</v>
      </c>
      <c r="H108" s="4" t="s">
        <v>8690</v>
      </c>
      <c r="I108">
        <v>40</v>
      </c>
      <c r="J108" s="37">
        <v>1</v>
      </c>
      <c r="K108" s="4"/>
      <c r="L108" s="66">
        <f>((ARTICULOS_LADIAR[[#This Row],[P. Compra]]*(1+ARTICULOS_LADIAR[[#This Row],[IVA]]%))/ARTICULOS_LADIAR[[#This Row],[UnidFact]])+ARTICULOS_LADIAR[[#This Row],[CostoFlete]]</f>
        <v>1528.38075</v>
      </c>
      <c r="M108">
        <v>35</v>
      </c>
      <c r="N108" s="68">
        <f>IF(L108&gt;=20,MROUND((L108*(1+(ARTICULOS_LADIAR[[#This Row],[IVA]]/100)))/(1-M108/100),50),20)</f>
        <v>2600</v>
      </c>
      <c r="O108" s="3">
        <f>MROUND((ARTICULOS_LADIAR[[#This Row],[Precio]]/0.6),50)</f>
        <v>4350</v>
      </c>
      <c r="P108" t="s">
        <v>8693</v>
      </c>
      <c r="Q108">
        <v>2</v>
      </c>
      <c r="R108" s="3">
        <f>ARTICULOS_LADIAR[[#This Row],[Bulto]]+ARTICULOS_LADIAR[[#This Row],[Minimo]]</f>
        <v>42</v>
      </c>
      <c r="S108" t="s">
        <v>70</v>
      </c>
      <c r="T108" t="s">
        <v>4</v>
      </c>
      <c r="U108" t="s">
        <v>60</v>
      </c>
      <c r="V108" t="s">
        <v>9173</v>
      </c>
      <c r="W108" t="s">
        <v>8692</v>
      </c>
      <c r="X108">
        <v>1</v>
      </c>
      <c r="Y108">
        <v>0</v>
      </c>
      <c r="Z108"/>
      <c r="AB108" s="80">
        <f>ARTICULOS_LADIAR[[#This Row],[Costo]]*ARTICULOS_LADIAR[[#This Row],[Pedido]]</f>
        <v>0</v>
      </c>
      <c r="AD108"/>
      <c r="AH108" s="2" t="str">
        <f>IF(AND(ARTICULOS_LADIAR[[#This Row],[FechaVenc]]=0,ARTICULOS_LADIAR[[#This Row],[DiasVenc]]=0),"",ARTICULOS_LADIAR[[#This Row],[FechaVenc]]-ARTICULOS_LADIAR[[#This Row],[DiasVenc]])</f>
        <v/>
      </c>
      <c r="AK108"/>
      <c r="AM108"/>
      <c r="AO108" s="30" t="s">
        <v>8689</v>
      </c>
    </row>
    <row r="109" spans="1:41" x14ac:dyDescent="0.25">
      <c r="A109" s="1" t="s">
        <v>12110</v>
      </c>
      <c r="C109" t="str">
        <f t="shared" si="4"/>
        <v>ALM40143753</v>
      </c>
      <c r="D109" t="s">
        <v>8689</v>
      </c>
      <c r="E109" s="1" t="s">
        <v>12107</v>
      </c>
      <c r="F109" s="61">
        <f>F108</f>
        <v>1383.15</v>
      </c>
      <c r="G109" s="3">
        <v>10.5</v>
      </c>
      <c r="H109" s="4" t="s">
        <v>8690</v>
      </c>
      <c r="I109">
        <v>40</v>
      </c>
      <c r="J109" s="37">
        <v>1</v>
      </c>
      <c r="K109" s="4"/>
      <c r="L109" s="66">
        <f>((ARTICULOS_LADIAR[[#This Row],[P. Compra]]*(1+ARTICULOS_LADIAR[[#This Row],[IVA]]%))/ARTICULOS_LADIAR[[#This Row],[UnidFact]])+ARTICULOS_LADIAR[[#This Row],[CostoFlete]]</f>
        <v>1528.38075</v>
      </c>
      <c r="M109">
        <v>35</v>
      </c>
      <c r="N109" s="68">
        <f>IF(L109&gt;=20,MROUND((L109*(1+(ARTICULOS_LADIAR[[#This Row],[IVA]]/100)))/(1-M109/100),50),20)</f>
        <v>2600</v>
      </c>
      <c r="O109" s="3">
        <f>MROUND((ARTICULOS_LADIAR[[#This Row],[Precio]]/0.6),50)</f>
        <v>4350</v>
      </c>
      <c r="P109" t="s">
        <v>8693</v>
      </c>
      <c r="Q109">
        <v>2</v>
      </c>
      <c r="R109" s="3">
        <f>ARTICULOS_LADIAR[[#This Row],[Bulto]]+ARTICULOS_LADIAR[[#This Row],[Minimo]]</f>
        <v>42</v>
      </c>
      <c r="S109" t="s">
        <v>70</v>
      </c>
      <c r="T109" t="s">
        <v>4</v>
      </c>
      <c r="U109" t="s">
        <v>60</v>
      </c>
      <c r="V109" t="s">
        <v>9173</v>
      </c>
      <c r="W109" t="s">
        <v>8692</v>
      </c>
      <c r="X109">
        <v>1</v>
      </c>
      <c r="Y109">
        <v>0</v>
      </c>
      <c r="Z109"/>
      <c r="AB109" s="80">
        <f>ARTICULOS_LADIAR[[#This Row],[Costo]]*ARTICULOS_LADIAR[[#This Row],[Pedido]]</f>
        <v>0</v>
      </c>
      <c r="AD109"/>
      <c r="AH109" s="2" t="str">
        <f>IF(AND(ARTICULOS_LADIAR[[#This Row],[FechaVenc]]=0,ARTICULOS_LADIAR[[#This Row],[DiasVenc]]=0),"",ARTICULOS_LADIAR[[#This Row],[FechaVenc]]-ARTICULOS_LADIAR[[#This Row],[DiasVenc]])</f>
        <v/>
      </c>
      <c r="AK109"/>
      <c r="AM109"/>
      <c r="AO109" s="30" t="s">
        <v>8689</v>
      </c>
    </row>
    <row r="110" spans="1:41" x14ac:dyDescent="0.25">
      <c r="A110" s="1" t="s">
        <v>9283</v>
      </c>
      <c r="C110" t="str">
        <f t="shared" si="4"/>
        <v>ALM40116955</v>
      </c>
      <c r="D110" t="s">
        <v>8689</v>
      </c>
      <c r="E110" s="1" t="s">
        <v>9284</v>
      </c>
      <c r="F110" s="61">
        <v>857.8</v>
      </c>
      <c r="G110" s="3">
        <v>10.5</v>
      </c>
      <c r="H110" s="4" t="s">
        <v>8690</v>
      </c>
      <c r="I110">
        <v>30</v>
      </c>
      <c r="J110" s="37">
        <v>1</v>
      </c>
      <c r="K110" s="4"/>
      <c r="L110" s="66">
        <f>((ARTICULOS_LADIAR[[#This Row],[P. Compra]]*(1+ARTICULOS_LADIAR[[#This Row],[IVA]]%))/ARTICULOS_LADIAR[[#This Row],[UnidFact]])+ARTICULOS_LADIAR[[#This Row],[CostoFlete]]</f>
        <v>947.86899999999991</v>
      </c>
      <c r="M110">
        <v>35</v>
      </c>
      <c r="N110" s="68">
        <f>IF(L110&gt;=20,MROUND((L110*(1+(ARTICULOS_LADIAR[[#This Row],[IVA]]/100)))/(1-M110/100),50),20)</f>
        <v>1600</v>
      </c>
      <c r="O110" s="3">
        <f>MROUND((ARTICULOS_LADIAR[[#This Row],[Precio]]/0.6),50)</f>
        <v>2650</v>
      </c>
      <c r="P110" t="s">
        <v>8693</v>
      </c>
      <c r="Q110">
        <v>2</v>
      </c>
      <c r="R110" s="3">
        <f>ARTICULOS_LADIAR[[#This Row],[Bulto]]+ARTICULOS_LADIAR[[#This Row],[Minimo]]</f>
        <v>32</v>
      </c>
      <c r="S110" t="s">
        <v>70</v>
      </c>
      <c r="T110" t="s">
        <v>4</v>
      </c>
      <c r="U110" t="s">
        <v>60</v>
      </c>
      <c r="V110" t="s">
        <v>9100</v>
      </c>
      <c r="W110" t="s">
        <v>8692</v>
      </c>
      <c r="X110">
        <v>1</v>
      </c>
      <c r="Y110">
        <v>2</v>
      </c>
      <c r="Z110"/>
      <c r="AB110" s="80">
        <f>ARTICULOS_LADIAR[[#This Row],[Costo]]*ARTICULOS_LADIAR[[#This Row],[Pedido]]</f>
        <v>0</v>
      </c>
      <c r="AD110"/>
      <c r="AH110" s="2" t="str">
        <f>IF(AND(ARTICULOS_LADIAR[[#This Row],[FechaVenc]]=0,ARTICULOS_LADIAR[[#This Row],[DiasVenc]]=0),"",ARTICULOS_LADIAR[[#This Row],[FechaVenc]]-ARTICULOS_LADIAR[[#This Row],[DiasVenc]])</f>
        <v/>
      </c>
      <c r="AK110"/>
      <c r="AM110"/>
      <c r="AO110" s="30" t="s">
        <v>8689</v>
      </c>
    </row>
    <row r="111" spans="1:41" x14ac:dyDescent="0.25">
      <c r="A111" s="1" t="s">
        <v>12103</v>
      </c>
      <c r="C111" t="str">
        <f t="shared" si="4"/>
        <v>ALM40143807</v>
      </c>
      <c r="D111" t="s">
        <v>8689</v>
      </c>
      <c r="E111" s="1" t="s">
        <v>12104</v>
      </c>
      <c r="F111" s="61">
        <v>552.12</v>
      </c>
      <c r="G111" s="3">
        <v>10.5</v>
      </c>
      <c r="H111" s="4" t="s">
        <v>8690</v>
      </c>
      <c r="I111">
        <v>40</v>
      </c>
      <c r="J111" s="37">
        <v>1</v>
      </c>
      <c r="K111" s="4"/>
      <c r="L111" s="66">
        <f>((ARTICULOS_LADIAR[[#This Row],[P. Compra]]*(1+ARTICULOS_LADIAR[[#This Row],[IVA]]%))/ARTICULOS_LADIAR[[#This Row],[UnidFact]])+ARTICULOS_LADIAR[[#This Row],[CostoFlete]]</f>
        <v>610.09259999999995</v>
      </c>
      <c r="M111">
        <v>35</v>
      </c>
      <c r="N111" s="68">
        <f>IF(L111&gt;=20,MROUND((L111*(1+(ARTICULOS_LADIAR[[#This Row],[IVA]]/100)))/(1-M111/100),50),20)</f>
        <v>1050</v>
      </c>
      <c r="O111" s="3">
        <f>MROUND((ARTICULOS_LADIAR[[#This Row],[Precio]]/0.6),50)</f>
        <v>1750</v>
      </c>
      <c r="P111" t="s">
        <v>8693</v>
      </c>
      <c r="Q111">
        <v>2</v>
      </c>
      <c r="R111" s="3">
        <f>ARTICULOS_LADIAR[[#This Row],[Bulto]]+ARTICULOS_LADIAR[[#This Row],[Minimo]]</f>
        <v>42</v>
      </c>
      <c r="S111" t="s">
        <v>70</v>
      </c>
      <c r="T111" t="s">
        <v>4</v>
      </c>
      <c r="U111" t="s">
        <v>60</v>
      </c>
      <c r="V111" t="s">
        <v>9173</v>
      </c>
      <c r="W111" t="s">
        <v>8692</v>
      </c>
      <c r="X111">
        <v>1</v>
      </c>
      <c r="Y111">
        <v>0</v>
      </c>
      <c r="Z111"/>
      <c r="AB111" s="80">
        <f>ARTICULOS_LADIAR[[#This Row],[Costo]]*ARTICULOS_LADIAR[[#This Row],[Pedido]]</f>
        <v>0</v>
      </c>
      <c r="AD111"/>
      <c r="AH111" s="2" t="str">
        <f>IF(AND(ARTICULOS_LADIAR[[#This Row],[FechaVenc]]=0,ARTICULOS_LADIAR[[#This Row],[DiasVenc]]=0),"",ARTICULOS_LADIAR[[#This Row],[FechaVenc]]-ARTICULOS_LADIAR[[#This Row],[DiasVenc]])</f>
        <v/>
      </c>
      <c r="AK111"/>
      <c r="AM111"/>
      <c r="AO111" s="30" t="s">
        <v>8689</v>
      </c>
    </row>
    <row r="112" spans="1:41" x14ac:dyDescent="0.25">
      <c r="A112" s="1" t="s">
        <v>12105</v>
      </c>
      <c r="C112" t="str">
        <f t="shared" si="4"/>
        <v>ALM40143777</v>
      </c>
      <c r="D112" t="s">
        <v>8689</v>
      </c>
      <c r="E112" s="1" t="s">
        <v>12106</v>
      </c>
      <c r="F112" s="61">
        <f>F111</f>
        <v>552.12</v>
      </c>
      <c r="G112" s="3">
        <v>10.5</v>
      </c>
      <c r="H112" s="4" t="s">
        <v>8690</v>
      </c>
      <c r="I112">
        <v>40</v>
      </c>
      <c r="J112" s="37">
        <v>1</v>
      </c>
      <c r="K112" s="4"/>
      <c r="L112" s="66">
        <f>((ARTICULOS_LADIAR[[#This Row],[P. Compra]]*(1+ARTICULOS_LADIAR[[#This Row],[IVA]]%))/ARTICULOS_LADIAR[[#This Row],[UnidFact]])+ARTICULOS_LADIAR[[#This Row],[CostoFlete]]</f>
        <v>610.09259999999995</v>
      </c>
      <c r="M112">
        <v>35</v>
      </c>
      <c r="N112" s="68">
        <f>IF(L112&gt;=20,MROUND((L112*(1+(ARTICULOS_LADIAR[[#This Row],[IVA]]/100)))/(1-M112/100),50),20)</f>
        <v>1050</v>
      </c>
      <c r="O112" s="3">
        <f>MROUND((ARTICULOS_LADIAR[[#This Row],[Precio]]/0.6),50)</f>
        <v>1750</v>
      </c>
      <c r="P112" t="s">
        <v>8693</v>
      </c>
      <c r="Q112">
        <v>2</v>
      </c>
      <c r="R112" s="3">
        <f>ARTICULOS_LADIAR[[#This Row],[Bulto]]+ARTICULOS_LADIAR[[#This Row],[Minimo]]</f>
        <v>42</v>
      </c>
      <c r="S112" t="s">
        <v>70</v>
      </c>
      <c r="T112" t="s">
        <v>4</v>
      </c>
      <c r="U112" t="s">
        <v>60</v>
      </c>
      <c r="V112" t="s">
        <v>9173</v>
      </c>
      <c r="W112" t="s">
        <v>8692</v>
      </c>
      <c r="X112">
        <v>1</v>
      </c>
      <c r="Y112">
        <v>0</v>
      </c>
      <c r="Z112"/>
      <c r="AB112" s="80">
        <f>ARTICULOS_LADIAR[[#This Row],[Costo]]*ARTICULOS_LADIAR[[#This Row],[Pedido]]</f>
        <v>0</v>
      </c>
      <c r="AD112"/>
      <c r="AH112" s="2" t="str">
        <f>IF(AND(ARTICULOS_LADIAR[[#This Row],[FechaVenc]]=0,ARTICULOS_LADIAR[[#This Row],[DiasVenc]]=0),"",ARTICULOS_LADIAR[[#This Row],[FechaVenc]]-ARTICULOS_LADIAR[[#This Row],[DiasVenc]])</f>
        <v/>
      </c>
      <c r="AK112"/>
      <c r="AM112"/>
      <c r="AO112" s="30" t="s">
        <v>8689</v>
      </c>
    </row>
    <row r="113" spans="1:41" x14ac:dyDescent="0.25">
      <c r="A113" s="1" t="s">
        <v>12101</v>
      </c>
      <c r="C113" t="str">
        <f t="shared" si="4"/>
        <v>ALM40143784</v>
      </c>
      <c r="D113" t="s">
        <v>8689</v>
      </c>
      <c r="E113" s="1" t="s">
        <v>12102</v>
      </c>
      <c r="F113" s="61">
        <f>F112</f>
        <v>552.12</v>
      </c>
      <c r="G113" s="3">
        <v>10.5</v>
      </c>
      <c r="H113" s="4" t="s">
        <v>8690</v>
      </c>
      <c r="I113">
        <v>40</v>
      </c>
      <c r="J113" s="37">
        <v>1</v>
      </c>
      <c r="K113" s="4"/>
      <c r="L113" s="66">
        <f>((ARTICULOS_LADIAR[[#This Row],[P. Compra]]*(1+ARTICULOS_LADIAR[[#This Row],[IVA]]%))/ARTICULOS_LADIAR[[#This Row],[UnidFact]])+ARTICULOS_LADIAR[[#This Row],[CostoFlete]]</f>
        <v>610.09259999999995</v>
      </c>
      <c r="M113">
        <v>35</v>
      </c>
      <c r="N113" s="68">
        <f>IF(L113&gt;=20,MROUND((L113*(1+(ARTICULOS_LADIAR[[#This Row],[IVA]]/100)))/(1-M113/100),50),20)</f>
        <v>1050</v>
      </c>
      <c r="O113" s="3">
        <f>MROUND((ARTICULOS_LADIAR[[#This Row],[Precio]]/0.6),50)</f>
        <v>1750</v>
      </c>
      <c r="P113" t="s">
        <v>8693</v>
      </c>
      <c r="Q113">
        <v>2</v>
      </c>
      <c r="R113" s="3">
        <f>ARTICULOS_LADIAR[[#This Row],[Bulto]]+ARTICULOS_LADIAR[[#This Row],[Minimo]]</f>
        <v>42</v>
      </c>
      <c r="S113" t="s">
        <v>70</v>
      </c>
      <c r="T113" t="s">
        <v>4</v>
      </c>
      <c r="U113" t="s">
        <v>60</v>
      </c>
      <c r="V113" t="s">
        <v>9173</v>
      </c>
      <c r="W113" t="s">
        <v>8692</v>
      </c>
      <c r="X113">
        <v>1</v>
      </c>
      <c r="Y113">
        <v>0</v>
      </c>
      <c r="Z113"/>
      <c r="AB113" s="80">
        <f>ARTICULOS_LADIAR[[#This Row],[Costo]]*ARTICULOS_LADIAR[[#This Row],[Pedido]]</f>
        <v>0</v>
      </c>
      <c r="AD113"/>
      <c r="AH113" s="2" t="str">
        <f>IF(AND(ARTICULOS_LADIAR[[#This Row],[FechaVenc]]=0,ARTICULOS_LADIAR[[#This Row],[DiasVenc]]=0),"",ARTICULOS_LADIAR[[#This Row],[FechaVenc]]-ARTICULOS_LADIAR[[#This Row],[DiasVenc]])</f>
        <v/>
      </c>
      <c r="AK113"/>
      <c r="AM113"/>
      <c r="AO113" s="30" t="s">
        <v>8689</v>
      </c>
    </row>
    <row r="114" spans="1:41" x14ac:dyDescent="0.25">
      <c r="A114" s="1" t="s">
        <v>9285</v>
      </c>
      <c r="C114" t="str">
        <f t="shared" si="4"/>
        <v>ALM40139411</v>
      </c>
      <c r="D114" t="s">
        <v>8689</v>
      </c>
      <c r="E114" s="1" t="s">
        <v>9286</v>
      </c>
      <c r="F114" s="61">
        <v>662.89</v>
      </c>
      <c r="G114" s="3">
        <v>10.5</v>
      </c>
      <c r="H114" s="4" t="s">
        <v>8690</v>
      </c>
      <c r="I114">
        <v>40</v>
      </c>
      <c r="J114" s="37">
        <v>1</v>
      </c>
      <c r="K114" s="4"/>
      <c r="L114" s="66">
        <f>((ARTICULOS_LADIAR[[#This Row],[P. Compra]]*(1+ARTICULOS_LADIAR[[#This Row],[IVA]]%))/ARTICULOS_LADIAR[[#This Row],[UnidFact]])+ARTICULOS_LADIAR[[#This Row],[CostoFlete]]</f>
        <v>732.49344999999994</v>
      </c>
      <c r="M114">
        <v>35</v>
      </c>
      <c r="N114" s="68">
        <f>IF(L114&gt;=20,MROUND((L114*(1+(ARTICULOS_LADIAR[[#This Row],[IVA]]/100)))/(1-M114/100),50),20)</f>
        <v>1250</v>
      </c>
      <c r="O114" s="3">
        <f>MROUND((ARTICULOS_LADIAR[[#This Row],[Precio]]/0.6),50)</f>
        <v>2100</v>
      </c>
      <c r="P114" t="s">
        <v>8693</v>
      </c>
      <c r="Q114">
        <v>2</v>
      </c>
      <c r="R114" s="3">
        <f>ARTICULOS_LADIAR[[#This Row],[Bulto]]+ARTICULOS_LADIAR[[#This Row],[Minimo]]</f>
        <v>42</v>
      </c>
      <c r="S114" t="s">
        <v>32</v>
      </c>
      <c r="T114" t="s">
        <v>4</v>
      </c>
      <c r="U114" t="s">
        <v>60</v>
      </c>
      <c r="V114" t="s">
        <v>9073</v>
      </c>
      <c r="W114" t="s">
        <v>8692</v>
      </c>
      <c r="X114">
        <v>1</v>
      </c>
      <c r="Y114">
        <v>0</v>
      </c>
      <c r="Z114"/>
      <c r="AB114" s="80">
        <f>ARTICULOS_LADIAR[[#This Row],[Costo]]*ARTICULOS_LADIAR[[#This Row],[Pedido]]</f>
        <v>0</v>
      </c>
      <c r="AD114"/>
      <c r="AH114" s="2" t="str">
        <f>IF(AND(ARTICULOS_LADIAR[[#This Row],[FechaVenc]]=0,ARTICULOS_LADIAR[[#This Row],[DiasVenc]]=0),"",ARTICULOS_LADIAR[[#This Row],[FechaVenc]]-ARTICULOS_LADIAR[[#This Row],[DiasVenc]])</f>
        <v/>
      </c>
      <c r="AK114"/>
      <c r="AM114"/>
      <c r="AO114" s="30" t="s">
        <v>8689</v>
      </c>
    </row>
    <row r="115" spans="1:41" x14ac:dyDescent="0.25">
      <c r="A115" s="1" t="s">
        <v>9287</v>
      </c>
      <c r="C115" t="str">
        <f t="shared" si="4"/>
        <v>ALM40946101</v>
      </c>
      <c r="D115" t="s">
        <v>8689</v>
      </c>
      <c r="E115" s="24" t="s">
        <v>9288</v>
      </c>
      <c r="F115" s="61">
        <v>476.54</v>
      </c>
      <c r="G115" s="3">
        <v>10.5</v>
      </c>
      <c r="H115" s="4" t="s">
        <v>8690</v>
      </c>
      <c r="I115">
        <v>36</v>
      </c>
      <c r="J115" s="37">
        <v>1</v>
      </c>
      <c r="K115" s="4"/>
      <c r="L115" s="66">
        <f>((ARTICULOS_LADIAR[[#This Row],[P. Compra]]*(1+ARTICULOS_LADIAR[[#This Row],[IVA]]%))/ARTICULOS_LADIAR[[#This Row],[UnidFact]])+ARTICULOS_LADIAR[[#This Row],[CostoFlete]]</f>
        <v>526.57669999999996</v>
      </c>
      <c r="M115">
        <v>35</v>
      </c>
      <c r="N115" s="68">
        <f>IF(L115&gt;=20,MROUND((L115*(1+(ARTICULOS_LADIAR[[#This Row],[IVA]]/100)))/(1-M115/100),50),20)</f>
        <v>900</v>
      </c>
      <c r="O115" s="3">
        <f>MROUND((ARTICULOS_LADIAR[[#This Row],[Precio]]/0.6),50)</f>
        <v>1500</v>
      </c>
      <c r="P115" t="s">
        <v>8693</v>
      </c>
      <c r="Q115">
        <v>2</v>
      </c>
      <c r="R115" s="3">
        <f>ARTICULOS_LADIAR[[#This Row],[Bulto]]+ARTICULOS_LADIAR[[#This Row],[Minimo]]</f>
        <v>38</v>
      </c>
      <c r="S115" t="s">
        <v>32</v>
      </c>
      <c r="T115" t="s">
        <v>4</v>
      </c>
      <c r="U115" t="s">
        <v>60</v>
      </c>
      <c r="V115" t="s">
        <v>9073</v>
      </c>
      <c r="W115" t="s">
        <v>8692</v>
      </c>
      <c r="X115">
        <v>1</v>
      </c>
      <c r="Y115">
        <v>0</v>
      </c>
      <c r="Z115"/>
      <c r="AB115" s="80">
        <f>ARTICULOS_LADIAR[[#This Row],[Costo]]*ARTICULOS_LADIAR[[#This Row],[Pedido]]</f>
        <v>0</v>
      </c>
      <c r="AD115"/>
      <c r="AH115" s="2" t="str">
        <f>IF(AND(ARTICULOS_LADIAR[[#This Row],[FechaVenc]]=0,ARTICULOS_LADIAR[[#This Row],[DiasVenc]]=0),"",ARTICULOS_LADIAR[[#This Row],[FechaVenc]]-ARTICULOS_LADIAR[[#This Row],[DiasVenc]])</f>
        <v/>
      </c>
      <c r="AK115"/>
      <c r="AM115"/>
      <c r="AO115" s="30" t="s">
        <v>8689</v>
      </c>
    </row>
    <row r="116" spans="1:41" x14ac:dyDescent="0.25">
      <c r="A116" s="1" t="s">
        <v>9289</v>
      </c>
      <c r="C116" t="str">
        <f t="shared" si="4"/>
        <v>ALM40946309</v>
      </c>
      <c r="D116" t="s">
        <v>8689</v>
      </c>
      <c r="E116" s="24" t="s">
        <v>9290</v>
      </c>
      <c r="F116" s="61">
        <f>F115</f>
        <v>476.54</v>
      </c>
      <c r="G116" s="3">
        <v>10.5</v>
      </c>
      <c r="H116" s="4" t="s">
        <v>8690</v>
      </c>
      <c r="I116">
        <v>36</v>
      </c>
      <c r="J116" s="37">
        <v>1</v>
      </c>
      <c r="K116" s="4"/>
      <c r="L116" s="66">
        <f>((ARTICULOS_LADIAR[[#This Row],[P. Compra]]*(1+ARTICULOS_LADIAR[[#This Row],[IVA]]%))/ARTICULOS_LADIAR[[#This Row],[UnidFact]])+ARTICULOS_LADIAR[[#This Row],[CostoFlete]]</f>
        <v>526.57669999999996</v>
      </c>
      <c r="M116">
        <v>35</v>
      </c>
      <c r="N116" s="68">
        <f>IF(L116&gt;=20,MROUND((L116*(1+(ARTICULOS_LADIAR[[#This Row],[IVA]]/100)))/(1-M116/100),50),20)</f>
        <v>900</v>
      </c>
      <c r="O116" s="3">
        <f>MROUND((ARTICULOS_LADIAR[[#This Row],[Precio]]/0.6),50)</f>
        <v>1500</v>
      </c>
      <c r="P116" t="s">
        <v>8693</v>
      </c>
      <c r="Q116">
        <v>2</v>
      </c>
      <c r="R116" s="3">
        <f>ARTICULOS_LADIAR[[#This Row],[Bulto]]+ARTICULOS_LADIAR[[#This Row],[Minimo]]</f>
        <v>38</v>
      </c>
      <c r="S116" t="s">
        <v>32</v>
      </c>
      <c r="T116" t="s">
        <v>4</v>
      </c>
      <c r="U116" t="s">
        <v>60</v>
      </c>
      <c r="V116" t="s">
        <v>9073</v>
      </c>
      <c r="W116" t="s">
        <v>8692</v>
      </c>
      <c r="X116">
        <v>1</v>
      </c>
      <c r="Y116">
        <v>3</v>
      </c>
      <c r="Z116"/>
      <c r="AB116" s="80">
        <f>ARTICULOS_LADIAR[[#This Row],[Costo]]*ARTICULOS_LADIAR[[#This Row],[Pedido]]</f>
        <v>0</v>
      </c>
      <c r="AD116"/>
      <c r="AH116" s="2" t="str">
        <f>IF(AND(ARTICULOS_LADIAR[[#This Row],[FechaVenc]]=0,ARTICULOS_LADIAR[[#This Row],[DiasVenc]]=0),"",ARTICULOS_LADIAR[[#This Row],[FechaVenc]]-ARTICULOS_LADIAR[[#This Row],[DiasVenc]])</f>
        <v/>
      </c>
      <c r="AK116"/>
      <c r="AM116"/>
      <c r="AO116" s="30" t="s">
        <v>8689</v>
      </c>
    </row>
    <row r="117" spans="1:41" x14ac:dyDescent="0.25">
      <c r="A117" s="1" t="s">
        <v>9291</v>
      </c>
      <c r="C117" t="str">
        <f t="shared" si="4"/>
        <v>ALM40377707</v>
      </c>
      <c r="D117" t="s">
        <v>8689</v>
      </c>
      <c r="E117" s="1" t="s">
        <v>9292</v>
      </c>
      <c r="F117" s="61">
        <v>287.94</v>
      </c>
      <c r="G117" s="3">
        <v>10.5</v>
      </c>
      <c r="H117" s="4" t="s">
        <v>8690</v>
      </c>
      <c r="I117">
        <v>56</v>
      </c>
      <c r="J117" s="37">
        <v>1</v>
      </c>
      <c r="K117" s="4"/>
      <c r="L117" s="66">
        <f>((ARTICULOS_LADIAR[[#This Row],[P. Compra]]*(1+ARTICULOS_LADIAR[[#This Row],[IVA]]%))/ARTICULOS_LADIAR[[#This Row],[UnidFact]])+ARTICULOS_LADIAR[[#This Row],[CostoFlete]]</f>
        <v>318.1737</v>
      </c>
      <c r="M117">
        <v>35</v>
      </c>
      <c r="N117" s="68">
        <f>IF(L117&gt;=20,MROUND((L117*(1+(ARTICULOS_LADIAR[[#This Row],[IVA]]/100)))/(1-M117/100),50),20)</f>
        <v>550</v>
      </c>
      <c r="O117" s="3">
        <f>MROUND((ARTICULOS_LADIAR[[#This Row],[Precio]]/0.6),50)</f>
        <v>900</v>
      </c>
      <c r="P117" t="s">
        <v>8693</v>
      </c>
      <c r="Q117">
        <v>2</v>
      </c>
      <c r="R117" s="3">
        <f>ARTICULOS_LADIAR[[#This Row],[Bulto]]+ARTICULOS_LADIAR[[#This Row],[Minimo]]</f>
        <v>58</v>
      </c>
      <c r="S117" t="s">
        <v>32</v>
      </c>
      <c r="T117" t="s">
        <v>4</v>
      </c>
      <c r="U117" t="s">
        <v>60</v>
      </c>
      <c r="V117" t="s">
        <v>9073</v>
      </c>
      <c r="W117" t="s">
        <v>8692</v>
      </c>
      <c r="X117">
        <v>1</v>
      </c>
      <c r="Y117">
        <v>1</v>
      </c>
      <c r="Z117"/>
      <c r="AB117" s="80">
        <f>ARTICULOS_LADIAR[[#This Row],[Costo]]*ARTICULOS_LADIAR[[#This Row],[Pedido]]</f>
        <v>0</v>
      </c>
      <c r="AD117"/>
      <c r="AH117" s="2" t="str">
        <f>IF(AND(ARTICULOS_LADIAR[[#This Row],[FechaVenc]]=0,ARTICULOS_LADIAR[[#This Row],[DiasVenc]]=0),"",ARTICULOS_LADIAR[[#This Row],[FechaVenc]]-ARTICULOS_LADIAR[[#This Row],[DiasVenc]])</f>
        <v/>
      </c>
      <c r="AK117"/>
      <c r="AM117"/>
      <c r="AO117" s="30" t="s">
        <v>8689</v>
      </c>
    </row>
    <row r="118" spans="1:41" x14ac:dyDescent="0.25">
      <c r="A118" s="1" t="s">
        <v>9293</v>
      </c>
      <c r="C118" t="str">
        <f t="shared" si="4"/>
        <v>ALM40377806</v>
      </c>
      <c r="D118" t="s">
        <v>8689</v>
      </c>
      <c r="E118" s="1" t="s">
        <v>9294</v>
      </c>
      <c r="F118" s="61">
        <v>856.52</v>
      </c>
      <c r="G118" s="3">
        <v>10.5</v>
      </c>
      <c r="H118" s="4" t="s">
        <v>8690</v>
      </c>
      <c r="I118">
        <v>22</v>
      </c>
      <c r="J118" s="37">
        <v>1</v>
      </c>
      <c r="K118" s="4"/>
      <c r="L118" s="66">
        <f>((ARTICULOS_LADIAR[[#This Row],[P. Compra]]*(1+ARTICULOS_LADIAR[[#This Row],[IVA]]%))/ARTICULOS_LADIAR[[#This Row],[UnidFact]])+ARTICULOS_LADIAR[[#This Row],[CostoFlete]]</f>
        <v>946.45459999999991</v>
      </c>
      <c r="M118">
        <v>35</v>
      </c>
      <c r="N118" s="68">
        <f>IF(L118&gt;=20,MROUND((L118*(1+(ARTICULOS_LADIAR[[#This Row],[IVA]]/100)))/(1-M118/100),50),20)</f>
        <v>1600</v>
      </c>
      <c r="O118" s="3">
        <f>MROUND((ARTICULOS_LADIAR[[#This Row],[Precio]]/0.6),50)</f>
        <v>2650</v>
      </c>
      <c r="P118" t="s">
        <v>8693</v>
      </c>
      <c r="Q118">
        <v>2</v>
      </c>
      <c r="R118" s="3">
        <f>ARTICULOS_LADIAR[[#This Row],[Bulto]]+ARTICULOS_LADIAR[[#This Row],[Minimo]]</f>
        <v>24</v>
      </c>
      <c r="S118" t="s">
        <v>32</v>
      </c>
      <c r="T118" t="s">
        <v>4</v>
      </c>
      <c r="U118" t="s">
        <v>60</v>
      </c>
      <c r="V118" t="s">
        <v>9073</v>
      </c>
      <c r="W118" t="s">
        <v>8692</v>
      </c>
      <c r="X118">
        <v>1</v>
      </c>
      <c r="Y118">
        <v>0</v>
      </c>
      <c r="Z118"/>
      <c r="AB118" s="80">
        <f>ARTICULOS_LADIAR[[#This Row],[Costo]]*ARTICULOS_LADIAR[[#This Row],[Pedido]]</f>
        <v>0</v>
      </c>
      <c r="AD118"/>
      <c r="AH118" s="2" t="str">
        <f>IF(AND(ARTICULOS_LADIAR[[#This Row],[FechaVenc]]=0,ARTICULOS_LADIAR[[#This Row],[DiasVenc]]=0),"",ARTICULOS_LADIAR[[#This Row],[FechaVenc]]-ARTICULOS_LADIAR[[#This Row],[DiasVenc]])</f>
        <v/>
      </c>
      <c r="AK118"/>
      <c r="AM118"/>
      <c r="AO118" s="30" t="s">
        <v>8689</v>
      </c>
    </row>
    <row r="119" spans="1:41" x14ac:dyDescent="0.25">
      <c r="A119" s="1" t="s">
        <v>9295</v>
      </c>
      <c r="C119" t="str">
        <f t="shared" si="4"/>
        <v>ALM40133495</v>
      </c>
      <c r="D119" t="s">
        <v>8689</v>
      </c>
      <c r="E119" s="1" t="s">
        <v>9296</v>
      </c>
      <c r="F119" s="61">
        <f>F113</f>
        <v>552.12</v>
      </c>
      <c r="G119" s="3">
        <v>10.5</v>
      </c>
      <c r="H119" s="4" t="s">
        <v>8690</v>
      </c>
      <c r="I119">
        <v>36</v>
      </c>
      <c r="J119" s="37">
        <v>1</v>
      </c>
      <c r="K119" s="4"/>
      <c r="L119" s="66">
        <f>((ARTICULOS_LADIAR[[#This Row],[P. Compra]]*(1+ARTICULOS_LADIAR[[#This Row],[IVA]]%))/ARTICULOS_LADIAR[[#This Row],[UnidFact]])+ARTICULOS_LADIAR[[#This Row],[CostoFlete]]</f>
        <v>610.09259999999995</v>
      </c>
      <c r="M119">
        <v>35</v>
      </c>
      <c r="N119" s="68">
        <f>IF(L119&gt;=20,MROUND((L119*(1+(ARTICULOS_LADIAR[[#This Row],[IVA]]/100)))/(1-M119/100),50),20)</f>
        <v>1050</v>
      </c>
      <c r="O119" s="3">
        <f>MROUND((ARTICULOS_LADIAR[[#This Row],[Precio]]/0.6),50)</f>
        <v>1750</v>
      </c>
      <c r="P119" t="s">
        <v>8693</v>
      </c>
      <c r="Q119">
        <v>2</v>
      </c>
      <c r="R119" s="3">
        <f>ARTICULOS_LADIAR[[#This Row],[Bulto]]+ARTICULOS_LADIAR[[#This Row],[Minimo]]</f>
        <v>38</v>
      </c>
      <c r="S119" t="s">
        <v>32</v>
      </c>
      <c r="T119" t="s">
        <v>4</v>
      </c>
      <c r="U119" t="s">
        <v>60</v>
      </c>
      <c r="V119" t="s">
        <v>9073</v>
      </c>
      <c r="W119" t="s">
        <v>8692</v>
      </c>
      <c r="X119">
        <v>1</v>
      </c>
      <c r="Y119">
        <v>3</v>
      </c>
      <c r="Z119"/>
      <c r="AB119" s="80">
        <f>ARTICULOS_LADIAR[[#This Row],[Costo]]*ARTICULOS_LADIAR[[#This Row],[Pedido]]</f>
        <v>0</v>
      </c>
      <c r="AD119"/>
      <c r="AH119" s="2" t="str">
        <f>IF(AND(ARTICULOS_LADIAR[[#This Row],[FechaVenc]]=0,ARTICULOS_LADIAR[[#This Row],[DiasVenc]]=0),"",ARTICULOS_LADIAR[[#This Row],[FechaVenc]]-ARTICULOS_LADIAR[[#This Row],[DiasVenc]])</f>
        <v/>
      </c>
      <c r="AK119"/>
      <c r="AM119"/>
      <c r="AO119" s="30" t="s">
        <v>8689</v>
      </c>
    </row>
    <row r="120" spans="1:41" x14ac:dyDescent="0.25">
      <c r="A120" s="1" t="s">
        <v>9297</v>
      </c>
      <c r="C120" t="str">
        <f t="shared" si="4"/>
        <v>ALM40137912</v>
      </c>
      <c r="D120" t="s">
        <v>8689</v>
      </c>
      <c r="E120" s="1" t="s">
        <v>9298</v>
      </c>
      <c r="F120" s="61">
        <v>522.38</v>
      </c>
      <c r="G120" s="3">
        <v>10.5</v>
      </c>
      <c r="H120" s="4" t="s">
        <v>8690</v>
      </c>
      <c r="I120">
        <v>36</v>
      </c>
      <c r="J120" s="37">
        <v>1</v>
      </c>
      <c r="K120" s="4"/>
      <c r="L120" s="66">
        <f>((ARTICULOS_LADIAR[[#This Row],[P. Compra]]*(1+ARTICULOS_LADIAR[[#This Row],[IVA]]%))/ARTICULOS_LADIAR[[#This Row],[UnidFact]])+ARTICULOS_LADIAR[[#This Row],[CostoFlete]]</f>
        <v>577.22989999999993</v>
      </c>
      <c r="M120">
        <v>35</v>
      </c>
      <c r="N120" s="68">
        <f>IF(L120&gt;=20,MROUND((L120*(1+(ARTICULOS_LADIAR[[#This Row],[IVA]]/100)))/(1-M120/100),50),20)</f>
        <v>1000</v>
      </c>
      <c r="O120" s="3">
        <f>MROUND((ARTICULOS_LADIAR[[#This Row],[Precio]]/0.6),50)</f>
        <v>1650</v>
      </c>
      <c r="P120" t="s">
        <v>8693</v>
      </c>
      <c r="Q120">
        <v>2</v>
      </c>
      <c r="R120" s="3">
        <f>ARTICULOS_LADIAR[[#This Row],[Bulto]]+ARTICULOS_LADIAR[[#This Row],[Minimo]]</f>
        <v>38</v>
      </c>
      <c r="S120" t="s">
        <v>32</v>
      </c>
      <c r="T120" t="s">
        <v>4</v>
      </c>
      <c r="U120" t="s">
        <v>60</v>
      </c>
      <c r="V120" t="s">
        <v>9299</v>
      </c>
      <c r="W120" t="s">
        <v>8692</v>
      </c>
      <c r="X120">
        <v>1</v>
      </c>
      <c r="Y120">
        <v>0</v>
      </c>
      <c r="Z120"/>
      <c r="AB120" s="80">
        <f>ARTICULOS_LADIAR[[#This Row],[Costo]]*ARTICULOS_LADIAR[[#This Row],[Pedido]]</f>
        <v>0</v>
      </c>
      <c r="AD120"/>
      <c r="AH120" s="2" t="str">
        <f>IF(AND(ARTICULOS_LADIAR[[#This Row],[FechaVenc]]=0,ARTICULOS_LADIAR[[#This Row],[DiasVenc]]=0),"",ARTICULOS_LADIAR[[#This Row],[FechaVenc]]-ARTICULOS_LADIAR[[#This Row],[DiasVenc]])</f>
        <v/>
      </c>
      <c r="AK120"/>
      <c r="AM120"/>
      <c r="AO120" s="30" t="s">
        <v>8689</v>
      </c>
    </row>
    <row r="121" spans="1:41" x14ac:dyDescent="0.25">
      <c r="A121" s="1" t="s">
        <v>9300</v>
      </c>
      <c r="C121" t="str">
        <f t="shared" si="4"/>
        <v>ALM40720206</v>
      </c>
      <c r="D121" t="s">
        <v>8689</v>
      </c>
      <c r="E121" s="1" t="s">
        <v>9301</v>
      </c>
      <c r="F121" s="61">
        <f>F120</f>
        <v>522.38</v>
      </c>
      <c r="G121" s="3">
        <v>10.5</v>
      </c>
      <c r="H121" s="4" t="s">
        <v>8690</v>
      </c>
      <c r="I121">
        <v>36</v>
      </c>
      <c r="J121" s="37">
        <v>1</v>
      </c>
      <c r="K121" s="4"/>
      <c r="L121" s="66">
        <f>((ARTICULOS_LADIAR[[#This Row],[P. Compra]]*(1+ARTICULOS_LADIAR[[#This Row],[IVA]]%))/ARTICULOS_LADIAR[[#This Row],[UnidFact]])+ARTICULOS_LADIAR[[#This Row],[CostoFlete]]</f>
        <v>577.22989999999993</v>
      </c>
      <c r="M121">
        <v>35</v>
      </c>
      <c r="N121" s="68">
        <f>IF(L121&gt;=20,MROUND((L121*(1+(ARTICULOS_LADIAR[[#This Row],[IVA]]/100)))/(1-M121/100),50),20)</f>
        <v>1000</v>
      </c>
      <c r="O121" s="3">
        <f>MROUND((ARTICULOS_LADIAR[[#This Row],[Precio]]/0.6),50)</f>
        <v>1650</v>
      </c>
      <c r="P121" t="s">
        <v>8693</v>
      </c>
      <c r="Q121">
        <v>2</v>
      </c>
      <c r="R121" s="3">
        <f>ARTICULOS_LADIAR[[#This Row],[Bulto]]+ARTICULOS_LADIAR[[#This Row],[Minimo]]</f>
        <v>38</v>
      </c>
      <c r="S121" t="s">
        <v>32</v>
      </c>
      <c r="T121" t="s">
        <v>4</v>
      </c>
      <c r="U121" t="s">
        <v>60</v>
      </c>
      <c r="V121" t="s">
        <v>9299</v>
      </c>
      <c r="W121" t="s">
        <v>8692</v>
      </c>
      <c r="X121">
        <v>1</v>
      </c>
      <c r="Y121">
        <v>0</v>
      </c>
      <c r="Z121"/>
      <c r="AB121" s="80">
        <f>ARTICULOS_LADIAR[[#This Row],[Costo]]*ARTICULOS_LADIAR[[#This Row],[Pedido]]</f>
        <v>0</v>
      </c>
      <c r="AD121"/>
      <c r="AH121" s="2" t="str">
        <f>IF(AND(ARTICULOS_LADIAR[[#This Row],[FechaVenc]]=0,ARTICULOS_LADIAR[[#This Row],[DiasVenc]]=0),"",ARTICULOS_LADIAR[[#This Row],[FechaVenc]]-ARTICULOS_LADIAR[[#This Row],[DiasVenc]])</f>
        <v/>
      </c>
      <c r="AK121"/>
      <c r="AM121"/>
      <c r="AO121" s="30" t="s">
        <v>8689</v>
      </c>
    </row>
    <row r="122" spans="1:41" x14ac:dyDescent="0.25">
      <c r="A122" s="1" t="s">
        <v>9302</v>
      </c>
      <c r="C122" t="str">
        <f t="shared" si="4"/>
        <v>ALM40720305</v>
      </c>
      <c r="D122" t="s">
        <v>8689</v>
      </c>
      <c r="E122" s="1" t="s">
        <v>9303</v>
      </c>
      <c r="F122" s="61">
        <f>F121</f>
        <v>522.38</v>
      </c>
      <c r="G122" s="3">
        <v>10.5</v>
      </c>
      <c r="H122" s="4" t="s">
        <v>8690</v>
      </c>
      <c r="I122">
        <v>36</v>
      </c>
      <c r="J122" s="37">
        <v>1</v>
      </c>
      <c r="K122" s="4"/>
      <c r="L122" s="66">
        <f>((ARTICULOS_LADIAR[[#This Row],[P. Compra]]*(1+ARTICULOS_LADIAR[[#This Row],[IVA]]%))/ARTICULOS_LADIAR[[#This Row],[UnidFact]])+ARTICULOS_LADIAR[[#This Row],[CostoFlete]]</f>
        <v>577.22989999999993</v>
      </c>
      <c r="M122">
        <v>35</v>
      </c>
      <c r="N122" s="68">
        <f>IF(L122&gt;=20,MROUND((L122*(1+(ARTICULOS_LADIAR[[#This Row],[IVA]]/100)))/(1-M122/100),50),20)</f>
        <v>1000</v>
      </c>
      <c r="O122" s="3">
        <f>MROUND((ARTICULOS_LADIAR[[#This Row],[Precio]]/0.6),50)</f>
        <v>1650</v>
      </c>
      <c r="P122" t="s">
        <v>8693</v>
      </c>
      <c r="Q122">
        <v>2</v>
      </c>
      <c r="R122" s="3">
        <f>ARTICULOS_LADIAR[[#This Row],[Bulto]]+ARTICULOS_LADIAR[[#This Row],[Minimo]]</f>
        <v>38</v>
      </c>
      <c r="S122" t="s">
        <v>32</v>
      </c>
      <c r="T122" t="s">
        <v>4</v>
      </c>
      <c r="U122" t="s">
        <v>60</v>
      </c>
      <c r="V122" t="s">
        <v>9299</v>
      </c>
      <c r="W122" t="s">
        <v>8692</v>
      </c>
      <c r="X122">
        <v>1</v>
      </c>
      <c r="Y122">
        <v>0</v>
      </c>
      <c r="Z122"/>
      <c r="AB122" s="80">
        <f>ARTICULOS_LADIAR[[#This Row],[Costo]]*ARTICULOS_LADIAR[[#This Row],[Pedido]]</f>
        <v>0</v>
      </c>
      <c r="AD122"/>
      <c r="AH122" s="2" t="str">
        <f>IF(AND(ARTICULOS_LADIAR[[#This Row],[FechaVenc]]=0,ARTICULOS_LADIAR[[#This Row],[DiasVenc]]=0),"",ARTICULOS_LADIAR[[#This Row],[FechaVenc]]-ARTICULOS_LADIAR[[#This Row],[DiasVenc]])</f>
        <v/>
      </c>
      <c r="AK122"/>
      <c r="AM122"/>
      <c r="AO122" s="30" t="s">
        <v>8689</v>
      </c>
    </row>
    <row r="123" spans="1:41" x14ac:dyDescent="0.25">
      <c r="A123" s="1" t="s">
        <v>9304</v>
      </c>
      <c r="C123" t="str">
        <f t="shared" si="4"/>
        <v>ALM40137837</v>
      </c>
      <c r="D123" t="s">
        <v>8689</v>
      </c>
      <c r="E123" s="1" t="s">
        <v>9305</v>
      </c>
      <c r="F123" s="61">
        <f>F122</f>
        <v>522.38</v>
      </c>
      <c r="G123" s="3">
        <v>10.5</v>
      </c>
      <c r="H123" s="4" t="s">
        <v>8690</v>
      </c>
      <c r="I123">
        <v>36</v>
      </c>
      <c r="J123" s="37">
        <v>1</v>
      </c>
      <c r="K123" s="4"/>
      <c r="L123" s="66">
        <f>((ARTICULOS_LADIAR[[#This Row],[P. Compra]]*(1+ARTICULOS_LADIAR[[#This Row],[IVA]]%))/ARTICULOS_LADIAR[[#This Row],[UnidFact]])+ARTICULOS_LADIAR[[#This Row],[CostoFlete]]</f>
        <v>577.22989999999993</v>
      </c>
      <c r="M123">
        <v>35</v>
      </c>
      <c r="N123" s="68">
        <f>IF(L123&gt;=20,MROUND((L123*(1+(ARTICULOS_LADIAR[[#This Row],[IVA]]/100)))/(1-M123/100),50),20)</f>
        <v>1000</v>
      </c>
      <c r="O123" s="3">
        <f>MROUND((ARTICULOS_LADIAR[[#This Row],[Precio]]/0.6),50)</f>
        <v>1650</v>
      </c>
      <c r="P123" t="s">
        <v>8693</v>
      </c>
      <c r="Q123">
        <v>2</v>
      </c>
      <c r="R123" s="3">
        <f>ARTICULOS_LADIAR[[#This Row],[Bulto]]+ARTICULOS_LADIAR[[#This Row],[Minimo]]</f>
        <v>38</v>
      </c>
      <c r="S123" t="s">
        <v>32</v>
      </c>
      <c r="T123" t="s">
        <v>4</v>
      </c>
      <c r="U123" t="s">
        <v>60</v>
      </c>
      <c r="V123" t="s">
        <v>9299</v>
      </c>
      <c r="W123" t="s">
        <v>8692</v>
      </c>
      <c r="X123">
        <v>1</v>
      </c>
      <c r="Y123">
        <v>0</v>
      </c>
      <c r="Z123"/>
      <c r="AB123" s="80">
        <f>ARTICULOS_LADIAR[[#This Row],[Costo]]*ARTICULOS_LADIAR[[#This Row],[Pedido]]</f>
        <v>0</v>
      </c>
      <c r="AD123"/>
      <c r="AH123" s="2" t="str">
        <f>IF(AND(ARTICULOS_LADIAR[[#This Row],[FechaVenc]]=0,ARTICULOS_LADIAR[[#This Row],[DiasVenc]]=0),"",ARTICULOS_LADIAR[[#This Row],[FechaVenc]]-ARTICULOS_LADIAR[[#This Row],[DiasVenc]])</f>
        <v/>
      </c>
      <c r="AK123"/>
      <c r="AM123"/>
      <c r="AO123" s="30" t="s">
        <v>8689</v>
      </c>
    </row>
    <row r="124" spans="1:41" x14ac:dyDescent="0.25">
      <c r="A124" s="1" t="s">
        <v>9306</v>
      </c>
      <c r="C124" t="str">
        <f t="shared" si="4"/>
        <v>ALM40133242</v>
      </c>
      <c r="D124" t="s">
        <v>8689</v>
      </c>
      <c r="E124" s="1" t="s">
        <v>9307</v>
      </c>
      <c r="F124" s="61">
        <v>750.22</v>
      </c>
      <c r="G124" s="3">
        <v>10.5</v>
      </c>
      <c r="H124" s="4" t="s">
        <v>8690</v>
      </c>
      <c r="I124">
        <v>36</v>
      </c>
      <c r="J124" s="37">
        <v>1</v>
      </c>
      <c r="K124" s="4"/>
      <c r="L124" s="66">
        <f>((ARTICULOS_LADIAR[[#This Row],[P. Compra]]*(1+ARTICULOS_LADIAR[[#This Row],[IVA]]%))/ARTICULOS_LADIAR[[#This Row],[UnidFact]])+ARTICULOS_LADIAR[[#This Row],[CostoFlete]]</f>
        <v>828.99310000000003</v>
      </c>
      <c r="M124">
        <v>35</v>
      </c>
      <c r="N124" s="68">
        <f>IF(L124&gt;=20,MROUND((L124*(1+(ARTICULOS_LADIAR[[#This Row],[IVA]]/100)))/(1-M124/100),50),20)</f>
        <v>1400</v>
      </c>
      <c r="O124" s="3">
        <f>MROUND((ARTICULOS_LADIAR[[#This Row],[Precio]]/0.6),50)</f>
        <v>2350</v>
      </c>
      <c r="P124" t="s">
        <v>8693</v>
      </c>
      <c r="Q124">
        <v>2</v>
      </c>
      <c r="R124" s="3">
        <f>ARTICULOS_LADIAR[[#This Row],[Bulto]]+ARTICULOS_LADIAR[[#This Row],[Minimo]]</f>
        <v>38</v>
      </c>
      <c r="S124" t="s">
        <v>32</v>
      </c>
      <c r="T124" t="s">
        <v>4</v>
      </c>
      <c r="U124" t="s">
        <v>60</v>
      </c>
      <c r="V124" t="s">
        <v>9299</v>
      </c>
      <c r="W124" t="s">
        <v>8692</v>
      </c>
      <c r="X124">
        <v>1</v>
      </c>
      <c r="Y124">
        <v>5</v>
      </c>
      <c r="Z124"/>
      <c r="AB124" s="80">
        <f>ARTICULOS_LADIAR[[#This Row],[Costo]]*ARTICULOS_LADIAR[[#This Row],[Pedido]]</f>
        <v>0</v>
      </c>
      <c r="AD124"/>
      <c r="AH124" s="2" t="str">
        <f>IF(AND(ARTICULOS_LADIAR[[#This Row],[FechaVenc]]=0,ARTICULOS_LADIAR[[#This Row],[DiasVenc]]=0),"",ARTICULOS_LADIAR[[#This Row],[FechaVenc]]-ARTICULOS_LADIAR[[#This Row],[DiasVenc]])</f>
        <v/>
      </c>
      <c r="AK124"/>
      <c r="AM124"/>
      <c r="AO124" s="30" t="s">
        <v>8689</v>
      </c>
    </row>
    <row r="125" spans="1:41" x14ac:dyDescent="0.25">
      <c r="A125" s="1" t="s">
        <v>9308</v>
      </c>
      <c r="C125" t="str">
        <f t="shared" si="4"/>
        <v>ALM40133266</v>
      </c>
      <c r="D125" t="s">
        <v>8689</v>
      </c>
      <c r="E125" s="1" t="s">
        <v>9309</v>
      </c>
      <c r="F125" s="61">
        <f>F124</f>
        <v>750.22</v>
      </c>
      <c r="G125" s="3">
        <v>10.5</v>
      </c>
      <c r="H125" s="4" t="s">
        <v>8690</v>
      </c>
      <c r="I125">
        <v>36</v>
      </c>
      <c r="J125" s="37">
        <v>1</v>
      </c>
      <c r="K125" s="4"/>
      <c r="L125" s="66">
        <f>((ARTICULOS_LADIAR[[#This Row],[P. Compra]]*(1+ARTICULOS_LADIAR[[#This Row],[IVA]]%))/ARTICULOS_LADIAR[[#This Row],[UnidFact]])+ARTICULOS_LADIAR[[#This Row],[CostoFlete]]</f>
        <v>828.99310000000003</v>
      </c>
      <c r="M125">
        <v>35</v>
      </c>
      <c r="N125" s="68">
        <f>IF(L125&gt;=20,MROUND((L125*(1+(ARTICULOS_LADIAR[[#This Row],[IVA]]/100)))/(1-M125/100),50),20)</f>
        <v>1400</v>
      </c>
      <c r="O125" s="3">
        <f>MROUND((ARTICULOS_LADIAR[[#This Row],[Precio]]/0.6),50)</f>
        <v>2350</v>
      </c>
      <c r="P125" t="s">
        <v>8693</v>
      </c>
      <c r="Q125">
        <v>2</v>
      </c>
      <c r="R125" s="3">
        <f>ARTICULOS_LADIAR[[#This Row],[Bulto]]+ARTICULOS_LADIAR[[#This Row],[Minimo]]</f>
        <v>38</v>
      </c>
      <c r="S125" t="s">
        <v>32</v>
      </c>
      <c r="T125" t="s">
        <v>4</v>
      </c>
      <c r="U125" t="s">
        <v>60</v>
      </c>
      <c r="V125" t="s">
        <v>9299</v>
      </c>
      <c r="W125" t="s">
        <v>8692</v>
      </c>
      <c r="X125">
        <v>1</v>
      </c>
      <c r="Y125">
        <v>6</v>
      </c>
      <c r="Z125"/>
      <c r="AB125" s="80">
        <f>ARTICULOS_LADIAR[[#This Row],[Costo]]*ARTICULOS_LADIAR[[#This Row],[Pedido]]</f>
        <v>0</v>
      </c>
      <c r="AD125"/>
      <c r="AH125" s="2" t="str">
        <f>IF(AND(ARTICULOS_LADIAR[[#This Row],[FechaVenc]]=0,ARTICULOS_LADIAR[[#This Row],[DiasVenc]]=0),"",ARTICULOS_LADIAR[[#This Row],[FechaVenc]]-ARTICULOS_LADIAR[[#This Row],[DiasVenc]])</f>
        <v/>
      </c>
      <c r="AK125"/>
      <c r="AM125"/>
      <c r="AO125" s="30" t="s">
        <v>8689</v>
      </c>
    </row>
    <row r="126" spans="1:41" x14ac:dyDescent="0.25">
      <c r="A126" s="1" t="s">
        <v>9310</v>
      </c>
      <c r="C126" t="str">
        <f t="shared" si="4"/>
        <v>ALM40133259</v>
      </c>
      <c r="D126" t="s">
        <v>8689</v>
      </c>
      <c r="E126" s="1" t="s">
        <v>9311</v>
      </c>
      <c r="F126" s="61">
        <f>F125</f>
        <v>750.22</v>
      </c>
      <c r="G126" s="3">
        <v>10.5</v>
      </c>
      <c r="H126" s="4" t="s">
        <v>8690</v>
      </c>
      <c r="I126">
        <v>36</v>
      </c>
      <c r="J126" s="37">
        <v>1</v>
      </c>
      <c r="K126" s="4"/>
      <c r="L126" s="66">
        <f>((ARTICULOS_LADIAR[[#This Row],[P. Compra]]*(1+ARTICULOS_LADIAR[[#This Row],[IVA]]%))/ARTICULOS_LADIAR[[#This Row],[UnidFact]])+ARTICULOS_LADIAR[[#This Row],[CostoFlete]]</f>
        <v>828.99310000000003</v>
      </c>
      <c r="M126">
        <v>35</v>
      </c>
      <c r="N126" s="68">
        <f>IF(L126&gt;=20,MROUND((L126*(1+(ARTICULOS_LADIAR[[#This Row],[IVA]]/100)))/(1-M126/100),50),20)</f>
        <v>1400</v>
      </c>
      <c r="O126" s="3">
        <f>MROUND((ARTICULOS_LADIAR[[#This Row],[Precio]]/0.6),50)</f>
        <v>2350</v>
      </c>
      <c r="P126" t="s">
        <v>8693</v>
      </c>
      <c r="Q126">
        <v>2</v>
      </c>
      <c r="R126" s="3">
        <f>ARTICULOS_LADIAR[[#This Row],[Bulto]]+ARTICULOS_LADIAR[[#This Row],[Minimo]]</f>
        <v>38</v>
      </c>
      <c r="S126" t="s">
        <v>32</v>
      </c>
      <c r="T126" t="s">
        <v>4</v>
      </c>
      <c r="U126" t="s">
        <v>60</v>
      </c>
      <c r="V126" t="s">
        <v>9299</v>
      </c>
      <c r="W126" t="s">
        <v>8692</v>
      </c>
      <c r="X126">
        <v>1</v>
      </c>
      <c r="Y126">
        <v>0</v>
      </c>
      <c r="Z126"/>
      <c r="AB126" s="80">
        <f>ARTICULOS_LADIAR[[#This Row],[Costo]]*ARTICULOS_LADIAR[[#This Row],[Pedido]]</f>
        <v>0</v>
      </c>
      <c r="AD126"/>
      <c r="AH126" s="2" t="str">
        <f>IF(AND(ARTICULOS_LADIAR[[#This Row],[FechaVenc]]=0,ARTICULOS_LADIAR[[#This Row],[DiasVenc]]=0),"",ARTICULOS_LADIAR[[#This Row],[FechaVenc]]-ARTICULOS_LADIAR[[#This Row],[DiasVenc]])</f>
        <v/>
      </c>
      <c r="AK126"/>
      <c r="AM126"/>
      <c r="AO126" s="30" t="s">
        <v>8689</v>
      </c>
    </row>
    <row r="127" spans="1:41" x14ac:dyDescent="0.25">
      <c r="A127" s="1" t="s">
        <v>9312</v>
      </c>
      <c r="C127" t="str">
        <f t="shared" si="4"/>
        <v>ALM40133235</v>
      </c>
      <c r="D127" t="s">
        <v>8689</v>
      </c>
      <c r="E127" s="1" t="s">
        <v>9313</v>
      </c>
      <c r="F127" s="61">
        <f>F126</f>
        <v>750.22</v>
      </c>
      <c r="G127" s="3">
        <v>10.5</v>
      </c>
      <c r="H127" s="4" t="s">
        <v>8690</v>
      </c>
      <c r="I127">
        <v>36</v>
      </c>
      <c r="J127" s="37">
        <v>1</v>
      </c>
      <c r="K127" s="4"/>
      <c r="L127" s="66">
        <f>((ARTICULOS_LADIAR[[#This Row],[P. Compra]]*(1+ARTICULOS_LADIAR[[#This Row],[IVA]]%))/ARTICULOS_LADIAR[[#This Row],[UnidFact]])+ARTICULOS_LADIAR[[#This Row],[CostoFlete]]</f>
        <v>828.99310000000003</v>
      </c>
      <c r="M127">
        <v>35</v>
      </c>
      <c r="N127" s="68">
        <f>IF(L127&gt;=20,MROUND((L127*(1+(ARTICULOS_LADIAR[[#This Row],[IVA]]/100)))/(1-M127/100),50),20)</f>
        <v>1400</v>
      </c>
      <c r="O127" s="3">
        <f>MROUND((ARTICULOS_LADIAR[[#This Row],[Precio]]/0.6),50)</f>
        <v>2350</v>
      </c>
      <c r="P127" t="s">
        <v>8693</v>
      </c>
      <c r="Q127">
        <v>2</v>
      </c>
      <c r="R127" s="3">
        <f>ARTICULOS_LADIAR[[#This Row],[Bulto]]+ARTICULOS_LADIAR[[#This Row],[Minimo]]</f>
        <v>38</v>
      </c>
      <c r="S127" t="s">
        <v>32</v>
      </c>
      <c r="T127" t="s">
        <v>4</v>
      </c>
      <c r="U127" t="s">
        <v>60</v>
      </c>
      <c r="V127" t="s">
        <v>9299</v>
      </c>
      <c r="W127" t="s">
        <v>8692</v>
      </c>
      <c r="X127">
        <v>1</v>
      </c>
      <c r="Y127">
        <v>5</v>
      </c>
      <c r="Z127"/>
      <c r="AB127" s="80">
        <f>ARTICULOS_LADIAR[[#This Row],[Costo]]*ARTICULOS_LADIAR[[#This Row],[Pedido]]</f>
        <v>0</v>
      </c>
      <c r="AD127"/>
      <c r="AH127" s="2" t="str">
        <f>IF(AND(ARTICULOS_LADIAR[[#This Row],[FechaVenc]]=0,ARTICULOS_LADIAR[[#This Row],[DiasVenc]]=0),"",ARTICULOS_LADIAR[[#This Row],[FechaVenc]]-ARTICULOS_LADIAR[[#This Row],[DiasVenc]])</f>
        <v/>
      </c>
      <c r="AK127"/>
      <c r="AM127"/>
      <c r="AO127" s="30" t="s">
        <v>8689</v>
      </c>
    </row>
    <row r="128" spans="1:41" x14ac:dyDescent="0.25">
      <c r="A128" s="24" t="s">
        <v>12207</v>
      </c>
      <c r="C128" t="str">
        <f t="shared" ref="C128" si="6">CONCATENATE(LEFT(T128,3),RIGHT(A128,8))</f>
        <v>ALM40143548</v>
      </c>
      <c r="D128" t="s">
        <v>8689</v>
      </c>
      <c r="E128" s="24" t="s">
        <v>12208</v>
      </c>
      <c r="F128" s="61">
        <f>F105</f>
        <v>640.97</v>
      </c>
      <c r="G128" s="3">
        <v>10.5</v>
      </c>
      <c r="H128" s="4" t="s">
        <v>8690</v>
      </c>
      <c r="I128">
        <v>40</v>
      </c>
      <c r="J128" s="37">
        <v>1</v>
      </c>
      <c r="K128" s="4"/>
      <c r="L128" s="66">
        <f>((ARTICULOS_LADIAR[[#This Row],[P. Compra]]*(1+ARTICULOS_LADIAR[[#This Row],[IVA]]%))/ARTICULOS_LADIAR[[#This Row],[UnidFact]])+ARTICULOS_LADIAR[[#This Row],[CostoFlete]]</f>
        <v>708.27184999999997</v>
      </c>
      <c r="M128">
        <v>35</v>
      </c>
      <c r="N128" s="68">
        <f>IF(L128&gt;=20,MROUND((L128*(1+(ARTICULOS_LADIAR[[#This Row],[IVA]]/100)))/(1-M128/100),50),20)</f>
        <v>1200</v>
      </c>
      <c r="O128" s="3">
        <f>MROUND((ARTICULOS_LADIAR[[#This Row],[Precio]]/0.6),50)</f>
        <v>2000</v>
      </c>
      <c r="P128" t="s">
        <v>8693</v>
      </c>
      <c r="Q128">
        <v>2</v>
      </c>
      <c r="R128" s="3">
        <f>ARTICULOS_LADIAR[[#This Row],[Bulto]]+ARTICULOS_LADIAR[[#This Row],[Minimo]]</f>
        <v>42</v>
      </c>
      <c r="S128" t="s">
        <v>70</v>
      </c>
      <c r="T128" t="s">
        <v>4</v>
      </c>
      <c r="U128" t="s">
        <v>60</v>
      </c>
      <c r="V128" t="s">
        <v>9073</v>
      </c>
      <c r="W128" t="s">
        <v>8692</v>
      </c>
      <c r="X128">
        <v>1</v>
      </c>
      <c r="Y128">
        <v>4</v>
      </c>
      <c r="Z128"/>
      <c r="AB128" s="80">
        <f>ARTICULOS_LADIAR[[#This Row],[Costo]]*ARTICULOS_LADIAR[[#This Row],[Pedido]]</f>
        <v>0</v>
      </c>
      <c r="AD128"/>
      <c r="AH128" s="2" t="str">
        <f>IF(AND(ARTICULOS_LADIAR[[#This Row],[FechaVenc]]=0,ARTICULOS_LADIAR[[#This Row],[DiasVenc]]=0),"",ARTICULOS_LADIAR[[#This Row],[FechaVenc]]-ARTICULOS_LADIAR[[#This Row],[DiasVenc]])</f>
        <v/>
      </c>
      <c r="AK128"/>
      <c r="AM128"/>
      <c r="AO128" s="30" t="s">
        <v>8689</v>
      </c>
    </row>
    <row r="129" spans="1:41" x14ac:dyDescent="0.25">
      <c r="A129" s="1" t="s">
        <v>9314</v>
      </c>
      <c r="C129" t="str">
        <f t="shared" si="4"/>
        <v>ALM40139657</v>
      </c>
      <c r="D129" t="s">
        <v>8689</v>
      </c>
      <c r="E129" s="1" t="s">
        <v>9315</v>
      </c>
      <c r="F129" s="61">
        <f>F128</f>
        <v>640.97</v>
      </c>
      <c r="G129" s="3">
        <v>10.5</v>
      </c>
      <c r="H129" s="4" t="s">
        <v>8690</v>
      </c>
      <c r="I129">
        <v>36</v>
      </c>
      <c r="J129" s="37">
        <v>1</v>
      </c>
      <c r="K129" s="4"/>
      <c r="L129" s="66">
        <f>((ARTICULOS_LADIAR[[#This Row],[P. Compra]]*(1+ARTICULOS_LADIAR[[#This Row],[IVA]]%))/ARTICULOS_LADIAR[[#This Row],[UnidFact]])+ARTICULOS_LADIAR[[#This Row],[CostoFlete]]</f>
        <v>708.27184999999997</v>
      </c>
      <c r="M129">
        <v>35</v>
      </c>
      <c r="N129" s="68">
        <f>IF(L129&gt;=20,MROUND((L129*(1+(ARTICULOS_LADIAR[[#This Row],[IVA]]/100)))/(1-M129/100),50),20)</f>
        <v>1200</v>
      </c>
      <c r="O129" s="3">
        <f>MROUND((ARTICULOS_LADIAR[[#This Row],[Precio]]/0.6),50)</f>
        <v>2000</v>
      </c>
      <c r="P129" t="s">
        <v>8693</v>
      </c>
      <c r="Q129">
        <v>2</v>
      </c>
      <c r="R129" s="3">
        <f>ARTICULOS_LADIAR[[#This Row],[Bulto]]+ARTICULOS_LADIAR[[#This Row],[Minimo]]</f>
        <v>38</v>
      </c>
      <c r="S129" t="s">
        <v>32</v>
      </c>
      <c r="T129" t="s">
        <v>4</v>
      </c>
      <c r="U129" t="s">
        <v>60</v>
      </c>
      <c r="V129" t="s">
        <v>9073</v>
      </c>
      <c r="W129" t="s">
        <v>8692</v>
      </c>
      <c r="X129">
        <v>1</v>
      </c>
      <c r="Y129">
        <v>5</v>
      </c>
      <c r="Z129"/>
      <c r="AB129" s="80">
        <f>ARTICULOS_LADIAR[[#This Row],[Costo]]*ARTICULOS_LADIAR[[#This Row],[Pedido]]</f>
        <v>0</v>
      </c>
      <c r="AD129"/>
      <c r="AH129" s="2" t="str">
        <f>IF(AND(ARTICULOS_LADIAR[[#This Row],[FechaVenc]]=0,ARTICULOS_LADIAR[[#This Row],[DiasVenc]]=0),"",ARTICULOS_LADIAR[[#This Row],[FechaVenc]]-ARTICULOS_LADIAR[[#This Row],[DiasVenc]])</f>
        <v/>
      </c>
      <c r="AK129"/>
      <c r="AM129"/>
      <c r="AO129" s="30" t="s">
        <v>8689</v>
      </c>
    </row>
    <row r="130" spans="1:41" x14ac:dyDescent="0.25">
      <c r="A130" s="1" t="s">
        <v>9316</v>
      </c>
      <c r="C130" t="str">
        <f t="shared" si="4"/>
        <v>ALM40139268</v>
      </c>
      <c r="D130" t="s">
        <v>8689</v>
      </c>
      <c r="E130" s="24" t="s">
        <v>9317</v>
      </c>
      <c r="F130" s="61">
        <f>F129</f>
        <v>640.97</v>
      </c>
      <c r="G130" s="3">
        <v>10.5</v>
      </c>
      <c r="H130" s="4" t="s">
        <v>8690</v>
      </c>
      <c r="I130">
        <v>36</v>
      </c>
      <c r="J130" s="37">
        <v>1</v>
      </c>
      <c r="K130" s="4"/>
      <c r="L130" s="66">
        <f>((ARTICULOS_LADIAR[[#This Row],[P. Compra]]*(1+ARTICULOS_LADIAR[[#This Row],[IVA]]%))/ARTICULOS_LADIAR[[#This Row],[UnidFact]])+ARTICULOS_LADIAR[[#This Row],[CostoFlete]]</f>
        <v>708.27184999999997</v>
      </c>
      <c r="M130">
        <v>35</v>
      </c>
      <c r="N130" s="68">
        <f>IF(L130&gt;=20,MROUND((L130*(1+(ARTICULOS_LADIAR[[#This Row],[IVA]]/100)))/(1-M130/100),50),20)</f>
        <v>1200</v>
      </c>
      <c r="O130" s="3">
        <f>MROUND((ARTICULOS_LADIAR[[#This Row],[Precio]]/0.6),50)</f>
        <v>2000</v>
      </c>
      <c r="P130" t="s">
        <v>8693</v>
      </c>
      <c r="Q130">
        <v>2</v>
      </c>
      <c r="R130" s="3">
        <f>ARTICULOS_LADIAR[[#This Row],[Bulto]]+ARTICULOS_LADIAR[[#This Row],[Minimo]]</f>
        <v>38</v>
      </c>
      <c r="S130" t="s">
        <v>32</v>
      </c>
      <c r="T130" t="s">
        <v>4</v>
      </c>
      <c r="U130" t="s">
        <v>60</v>
      </c>
      <c r="V130" t="s">
        <v>9073</v>
      </c>
      <c r="W130" t="s">
        <v>8692</v>
      </c>
      <c r="X130">
        <v>1</v>
      </c>
      <c r="Y130">
        <v>2</v>
      </c>
      <c r="Z130"/>
      <c r="AB130" s="80">
        <f>ARTICULOS_LADIAR[[#This Row],[Costo]]*ARTICULOS_LADIAR[[#This Row],[Pedido]]</f>
        <v>0</v>
      </c>
      <c r="AD130"/>
      <c r="AH130" s="2" t="str">
        <f>IF(AND(ARTICULOS_LADIAR[[#This Row],[FechaVenc]]=0,ARTICULOS_LADIAR[[#This Row],[DiasVenc]]=0),"",ARTICULOS_LADIAR[[#This Row],[FechaVenc]]-ARTICULOS_LADIAR[[#This Row],[DiasVenc]])</f>
        <v/>
      </c>
      <c r="AK130"/>
      <c r="AM130"/>
      <c r="AO130" s="30" t="s">
        <v>8689</v>
      </c>
    </row>
    <row r="131" spans="1:41" x14ac:dyDescent="0.25">
      <c r="A131" s="1" t="s">
        <v>9318</v>
      </c>
      <c r="C131" t="str">
        <f t="shared" si="4"/>
        <v>ALM40133488</v>
      </c>
      <c r="D131" t="s">
        <v>8689</v>
      </c>
      <c r="E131" s="1" t="s">
        <v>9319</v>
      </c>
      <c r="F131" s="61">
        <f>F130</f>
        <v>640.97</v>
      </c>
      <c r="G131" s="3">
        <v>10.5</v>
      </c>
      <c r="H131" s="4" t="s">
        <v>8690</v>
      </c>
      <c r="I131">
        <v>36</v>
      </c>
      <c r="J131" s="37">
        <v>1</v>
      </c>
      <c r="K131" s="4"/>
      <c r="L131" s="66">
        <f>((ARTICULOS_LADIAR[[#This Row],[P. Compra]]*(1+ARTICULOS_LADIAR[[#This Row],[IVA]]%))/ARTICULOS_LADIAR[[#This Row],[UnidFact]])+ARTICULOS_LADIAR[[#This Row],[CostoFlete]]</f>
        <v>708.27184999999997</v>
      </c>
      <c r="M131">
        <v>35</v>
      </c>
      <c r="N131" s="68">
        <f>IF(L131&gt;=20,MROUND((L131*(1+(ARTICULOS_LADIAR[[#This Row],[IVA]]/100)))/(1-M131/100),50),20)</f>
        <v>1200</v>
      </c>
      <c r="O131" s="3">
        <f>MROUND((ARTICULOS_LADIAR[[#This Row],[Precio]]/0.6),50)</f>
        <v>2000</v>
      </c>
      <c r="P131" t="s">
        <v>8693</v>
      </c>
      <c r="Q131">
        <v>2</v>
      </c>
      <c r="R131" s="3">
        <f>ARTICULOS_LADIAR[[#This Row],[Bulto]]+ARTICULOS_LADIAR[[#This Row],[Minimo]]</f>
        <v>38</v>
      </c>
      <c r="S131" t="s">
        <v>32</v>
      </c>
      <c r="T131" t="s">
        <v>4</v>
      </c>
      <c r="U131" t="s">
        <v>60</v>
      </c>
      <c r="V131" t="s">
        <v>9073</v>
      </c>
      <c r="W131" t="s">
        <v>8692</v>
      </c>
      <c r="X131">
        <v>1</v>
      </c>
      <c r="Y131">
        <v>5</v>
      </c>
      <c r="Z131"/>
      <c r="AB131" s="80">
        <f>ARTICULOS_LADIAR[[#This Row],[Costo]]*ARTICULOS_LADIAR[[#This Row],[Pedido]]</f>
        <v>0</v>
      </c>
      <c r="AD131"/>
      <c r="AH131" s="2" t="str">
        <f>IF(AND(ARTICULOS_LADIAR[[#This Row],[FechaVenc]]=0,ARTICULOS_LADIAR[[#This Row],[DiasVenc]]=0),"",ARTICULOS_LADIAR[[#This Row],[FechaVenc]]-ARTICULOS_LADIAR[[#This Row],[DiasVenc]])</f>
        <v/>
      </c>
      <c r="AK131"/>
      <c r="AM131"/>
      <c r="AO131" s="30" t="s">
        <v>8689</v>
      </c>
    </row>
    <row r="132" spans="1:41" x14ac:dyDescent="0.25">
      <c r="A132" s="1" t="s">
        <v>9320</v>
      </c>
      <c r="C132" t="str">
        <f t="shared" ref="C132:C195" si="7">CONCATENATE(LEFT(T132,3),RIGHT(A132,8))</f>
        <v>ALM40138896</v>
      </c>
      <c r="D132" t="s">
        <v>8689</v>
      </c>
      <c r="E132" s="1" t="s">
        <v>9321</v>
      </c>
      <c r="F132" s="61">
        <v>1461.92</v>
      </c>
      <c r="G132" s="3">
        <v>10.5</v>
      </c>
      <c r="H132" s="4" t="s">
        <v>8690</v>
      </c>
      <c r="I132">
        <v>21</v>
      </c>
      <c r="J132" s="37">
        <v>1</v>
      </c>
      <c r="K132" s="4"/>
      <c r="L132" s="66">
        <f>((ARTICULOS_LADIAR[[#This Row],[P. Compra]]*(1+ARTICULOS_LADIAR[[#This Row],[IVA]]%))/ARTICULOS_LADIAR[[#This Row],[UnidFact]])+ARTICULOS_LADIAR[[#This Row],[CostoFlete]]</f>
        <v>1615.4216000000001</v>
      </c>
      <c r="M132">
        <v>35</v>
      </c>
      <c r="N132" s="68">
        <f>IF(L132&gt;=20,MROUND((L132*(1+(ARTICULOS_LADIAR[[#This Row],[IVA]]/100)))/(1-M132/100),50),20)</f>
        <v>2750</v>
      </c>
      <c r="O132" s="3">
        <f>MROUND((ARTICULOS_LADIAR[[#This Row],[Precio]]/0.6),50)</f>
        <v>4600</v>
      </c>
      <c r="P132" t="s">
        <v>8693</v>
      </c>
      <c r="Q132">
        <v>2</v>
      </c>
      <c r="R132" s="3">
        <f>ARTICULOS_LADIAR[[#This Row],[Bulto]]+ARTICULOS_LADIAR[[#This Row],[Minimo]]</f>
        <v>23</v>
      </c>
      <c r="S132" t="s">
        <v>32</v>
      </c>
      <c r="T132" t="s">
        <v>4</v>
      </c>
      <c r="U132" t="s">
        <v>60</v>
      </c>
      <c r="V132" t="s">
        <v>9073</v>
      </c>
      <c r="W132" t="s">
        <v>8692</v>
      </c>
      <c r="X132">
        <v>1</v>
      </c>
      <c r="Y132">
        <v>0</v>
      </c>
      <c r="AB132" s="80">
        <f>ARTICULOS_LADIAR[[#This Row],[Costo]]*ARTICULOS_LADIAR[[#This Row],[Pedido]]</f>
        <v>0</v>
      </c>
      <c r="AD132"/>
      <c r="AH132" s="2" t="str">
        <f>IF(AND(ARTICULOS_LADIAR[[#This Row],[FechaVenc]]=0,ARTICULOS_LADIAR[[#This Row],[DiasVenc]]=0),"",ARTICULOS_LADIAR[[#This Row],[FechaVenc]]-ARTICULOS_LADIAR[[#This Row],[DiasVenc]])</f>
        <v/>
      </c>
      <c r="AK132"/>
      <c r="AM132"/>
      <c r="AO132" s="30" t="s">
        <v>8689</v>
      </c>
    </row>
    <row r="133" spans="1:41" x14ac:dyDescent="0.25">
      <c r="A133" s="1" t="s">
        <v>9322</v>
      </c>
      <c r="C133" t="str">
        <f t="shared" si="7"/>
        <v>ALM40138902</v>
      </c>
      <c r="D133" t="s">
        <v>8689</v>
      </c>
      <c r="E133" s="1" t="s">
        <v>9323</v>
      </c>
      <c r="F133" s="61">
        <v>1198</v>
      </c>
      <c r="G133" s="3">
        <v>10.5</v>
      </c>
      <c r="H133" s="4" t="s">
        <v>8690</v>
      </c>
      <c r="I133">
        <v>21</v>
      </c>
      <c r="J133" s="37">
        <v>1</v>
      </c>
      <c r="K133" s="4"/>
      <c r="L133" s="66">
        <f>((ARTICULOS_LADIAR[[#This Row],[P. Compra]]*(1+ARTICULOS_LADIAR[[#This Row],[IVA]]%))/ARTICULOS_LADIAR[[#This Row],[UnidFact]])+ARTICULOS_LADIAR[[#This Row],[CostoFlete]]</f>
        <v>1323.79</v>
      </c>
      <c r="M133">
        <v>35</v>
      </c>
      <c r="N133" s="68">
        <f>IF(L133&gt;=20,MROUND((L133*(1+(ARTICULOS_LADIAR[[#This Row],[IVA]]/100)))/(1-M133/100),50),20)</f>
        <v>2250</v>
      </c>
      <c r="O133" s="3">
        <f>MROUND((ARTICULOS_LADIAR[[#This Row],[Precio]]/0.6),50)</f>
        <v>3750</v>
      </c>
      <c r="P133" t="s">
        <v>8693</v>
      </c>
      <c r="Q133">
        <v>2</v>
      </c>
      <c r="R133" s="3">
        <f>ARTICULOS_LADIAR[[#This Row],[Bulto]]+ARTICULOS_LADIAR[[#This Row],[Minimo]]</f>
        <v>23</v>
      </c>
      <c r="S133" t="s">
        <v>70</v>
      </c>
      <c r="T133" t="s">
        <v>4</v>
      </c>
      <c r="U133" t="s">
        <v>60</v>
      </c>
      <c r="V133" t="s">
        <v>9105</v>
      </c>
      <c r="W133" t="s">
        <v>8692</v>
      </c>
      <c r="X133">
        <v>1</v>
      </c>
      <c r="Y133">
        <v>6</v>
      </c>
      <c r="Z133"/>
      <c r="AB133" s="80">
        <f>ARTICULOS_LADIAR[[#This Row],[Costo]]*ARTICULOS_LADIAR[[#This Row],[Pedido]]</f>
        <v>0</v>
      </c>
      <c r="AD133"/>
      <c r="AH133" s="2" t="str">
        <f>IF(AND(ARTICULOS_LADIAR[[#This Row],[FechaVenc]]=0,ARTICULOS_LADIAR[[#This Row],[DiasVenc]]=0),"",ARTICULOS_LADIAR[[#This Row],[FechaVenc]]-ARTICULOS_LADIAR[[#This Row],[DiasVenc]])</f>
        <v/>
      </c>
      <c r="AK133"/>
      <c r="AM133"/>
      <c r="AO133" s="30" t="s">
        <v>8689</v>
      </c>
    </row>
    <row r="134" spans="1:41" x14ac:dyDescent="0.25">
      <c r="A134" s="1" t="s">
        <v>9324</v>
      </c>
      <c r="C134" t="str">
        <f t="shared" si="7"/>
        <v>ALM40872103</v>
      </c>
      <c r="D134" t="s">
        <v>8689</v>
      </c>
      <c r="E134" s="1" t="s">
        <v>9325</v>
      </c>
      <c r="F134" s="61">
        <v>348.72</v>
      </c>
      <c r="G134" s="3">
        <v>10.5</v>
      </c>
      <c r="H134" s="4" t="s">
        <v>8690</v>
      </c>
      <c r="I134">
        <v>48</v>
      </c>
      <c r="J134" s="37">
        <v>1</v>
      </c>
      <c r="K134" s="4"/>
      <c r="L134" s="66">
        <f>((ARTICULOS_LADIAR[[#This Row],[P. Compra]]*(1+ARTICULOS_LADIAR[[#This Row],[IVA]]%))/ARTICULOS_LADIAR[[#This Row],[UnidFact]])+ARTICULOS_LADIAR[[#This Row],[CostoFlete]]</f>
        <v>385.3356</v>
      </c>
      <c r="M134">
        <v>35</v>
      </c>
      <c r="N134" s="68">
        <f>IF(L134&gt;=20,MROUND((L134*(1+(ARTICULOS_LADIAR[[#This Row],[IVA]]/100)))/(1-M134/100),50),20)</f>
        <v>650</v>
      </c>
      <c r="O134" s="3">
        <f>MROUND((ARTICULOS_LADIAR[[#This Row],[Precio]]/0.6),50)</f>
        <v>1100</v>
      </c>
      <c r="P134" t="s">
        <v>8693</v>
      </c>
      <c r="Q134">
        <v>2</v>
      </c>
      <c r="R134" s="3">
        <f>ARTICULOS_LADIAR[[#This Row],[Bulto]]+ARTICULOS_LADIAR[[#This Row],[Minimo]]</f>
        <v>50</v>
      </c>
      <c r="S134" t="s">
        <v>70</v>
      </c>
      <c r="T134" t="s">
        <v>4</v>
      </c>
      <c r="U134" t="s">
        <v>60</v>
      </c>
      <c r="V134" t="s">
        <v>9073</v>
      </c>
      <c r="W134" t="s">
        <v>8692</v>
      </c>
      <c r="X134">
        <v>1</v>
      </c>
      <c r="Y134">
        <v>0</v>
      </c>
      <c r="Z134"/>
      <c r="AB134" s="80">
        <f>ARTICULOS_LADIAR[[#This Row],[Costo]]*ARTICULOS_LADIAR[[#This Row],[Pedido]]</f>
        <v>0</v>
      </c>
      <c r="AD134"/>
      <c r="AH134" s="2" t="str">
        <f>IF(AND(ARTICULOS_LADIAR[[#This Row],[FechaVenc]]=0,ARTICULOS_LADIAR[[#This Row],[DiasVenc]]=0),"",ARTICULOS_LADIAR[[#This Row],[FechaVenc]]-ARTICULOS_LADIAR[[#This Row],[DiasVenc]])</f>
        <v/>
      </c>
      <c r="AK134"/>
      <c r="AM134"/>
      <c r="AO134" s="30" t="s">
        <v>8689</v>
      </c>
    </row>
    <row r="135" spans="1:41" x14ac:dyDescent="0.25">
      <c r="A135" s="1" t="s">
        <v>9326</v>
      </c>
      <c r="C135" t="str">
        <f t="shared" si="7"/>
        <v>ALM40872202</v>
      </c>
      <c r="D135" t="s">
        <v>8689</v>
      </c>
      <c r="E135" s="1" t="s">
        <v>9327</v>
      </c>
      <c r="F135" s="61">
        <v>961.76</v>
      </c>
      <c r="G135" s="3">
        <v>10.5</v>
      </c>
      <c r="H135" s="4" t="s">
        <v>8690</v>
      </c>
      <c r="I135">
        <v>16</v>
      </c>
      <c r="J135" s="37">
        <v>1</v>
      </c>
      <c r="K135" s="4"/>
      <c r="L135" s="66">
        <f>((ARTICULOS_LADIAR[[#This Row],[P. Compra]]*(1+ARTICULOS_LADIAR[[#This Row],[IVA]]%))/ARTICULOS_LADIAR[[#This Row],[UnidFact]])+ARTICULOS_LADIAR[[#This Row],[CostoFlete]]</f>
        <v>1062.7447999999999</v>
      </c>
      <c r="M135">
        <v>35</v>
      </c>
      <c r="N135" s="68">
        <f>IF(L135&gt;=20,MROUND((L135*(1+(ARTICULOS_LADIAR[[#This Row],[IVA]]/100)))/(1-M135/100),50),20)</f>
        <v>1800</v>
      </c>
      <c r="O135" s="3">
        <f>MROUND((ARTICULOS_LADIAR[[#This Row],[Precio]]/0.6),50)</f>
        <v>3000</v>
      </c>
      <c r="P135" t="s">
        <v>8693</v>
      </c>
      <c r="Q135">
        <v>2</v>
      </c>
      <c r="R135" s="3">
        <f>ARTICULOS_LADIAR[[#This Row],[Bulto]]+ARTICULOS_LADIAR[[#This Row],[Minimo]]</f>
        <v>18</v>
      </c>
      <c r="S135" t="s">
        <v>70</v>
      </c>
      <c r="T135" t="s">
        <v>4</v>
      </c>
      <c r="U135" t="s">
        <v>60</v>
      </c>
      <c r="V135" t="s">
        <v>9073</v>
      </c>
      <c r="W135" t="s">
        <v>8692</v>
      </c>
      <c r="X135">
        <v>1</v>
      </c>
      <c r="Y135">
        <v>0</v>
      </c>
      <c r="Z135"/>
      <c r="AB135" s="80">
        <f>ARTICULOS_LADIAR[[#This Row],[Costo]]*ARTICULOS_LADIAR[[#This Row],[Pedido]]</f>
        <v>0</v>
      </c>
      <c r="AD135"/>
      <c r="AH135" s="2" t="str">
        <f>IF(AND(ARTICULOS_LADIAR[[#This Row],[FechaVenc]]=0,ARTICULOS_LADIAR[[#This Row],[DiasVenc]]=0),"",ARTICULOS_LADIAR[[#This Row],[FechaVenc]]-ARTICULOS_LADIAR[[#This Row],[DiasVenc]])</f>
        <v/>
      </c>
      <c r="AK135"/>
      <c r="AM135"/>
      <c r="AO135" s="30" t="s">
        <v>8689</v>
      </c>
    </row>
    <row r="136" spans="1:41" x14ac:dyDescent="0.25">
      <c r="A136" s="1" t="s">
        <v>11805</v>
      </c>
      <c r="C136" t="str">
        <f t="shared" si="7"/>
        <v>KIO80259600</v>
      </c>
      <c r="D136" t="s">
        <v>8689</v>
      </c>
      <c r="E136" s="1" t="s">
        <v>9328</v>
      </c>
      <c r="F136" s="61">
        <v>1200</v>
      </c>
      <c r="G136" s="3">
        <v>10.5</v>
      </c>
      <c r="H136" s="4" t="s">
        <v>8690</v>
      </c>
      <c r="I136">
        <v>1</v>
      </c>
      <c r="J136" s="37">
        <f>ARTICULOS_LADIAR[[#This Row],[Bulto]]</f>
        <v>1</v>
      </c>
      <c r="K136" s="4"/>
      <c r="L136" s="66">
        <f>((ARTICULOS_LADIAR[[#This Row],[P. Compra]]*(1+ARTICULOS_LADIAR[[#This Row],[IVA]]%))/ARTICULOS_LADIAR[[#This Row],[UnidFact]])+ARTICULOS_LADIAR[[#This Row],[CostoFlete]]</f>
        <v>1326</v>
      </c>
      <c r="M136">
        <v>35</v>
      </c>
      <c r="N136" s="68">
        <f>IF(L136&gt;=20,MROUND((L136*(1+(ARTICULOS_LADIAR[[#This Row],[IVA]]/100)))/(1-M136/100),50),20)</f>
        <v>2250</v>
      </c>
      <c r="O136" s="3">
        <f>MROUND((ARTICULOS_LADIAR[[#This Row],[Precio]]/0.6),50)</f>
        <v>3750</v>
      </c>
      <c r="P136" t="s">
        <v>8693</v>
      </c>
      <c r="Q136">
        <v>3</v>
      </c>
      <c r="R136" s="3">
        <f>ARTICULOS_LADIAR[[#This Row],[Bulto]]+ARTICULOS_LADIAR[[#This Row],[Minimo]]</f>
        <v>4</v>
      </c>
      <c r="S136" t="s">
        <v>32</v>
      </c>
      <c r="T136" t="s">
        <v>27</v>
      </c>
      <c r="U136" t="s">
        <v>64</v>
      </c>
      <c r="V136" t="s">
        <v>9329</v>
      </c>
      <c r="W136" t="s">
        <v>8692</v>
      </c>
      <c r="X136">
        <v>1</v>
      </c>
      <c r="Y136">
        <v>0</v>
      </c>
      <c r="Z136"/>
      <c r="AB136" s="80">
        <f>ARTICULOS_LADIAR[[#This Row],[Costo]]*ARTICULOS_LADIAR[[#This Row],[Pedido]]</f>
        <v>0</v>
      </c>
      <c r="AD136"/>
      <c r="AH136" s="2" t="str">
        <f>IF(AND(ARTICULOS_LADIAR[[#This Row],[FechaVenc]]=0,ARTICULOS_LADIAR[[#This Row],[DiasVenc]]=0),"",ARTICULOS_LADIAR[[#This Row],[FechaVenc]]-ARTICULOS_LADIAR[[#This Row],[DiasVenc]])</f>
        <v/>
      </c>
      <c r="AK136"/>
      <c r="AM136"/>
      <c r="AO136" s="30" t="s">
        <v>8689</v>
      </c>
    </row>
    <row r="137" spans="1:41" x14ac:dyDescent="0.25">
      <c r="A137" s="1" t="s">
        <v>11803</v>
      </c>
      <c r="C137" t="str">
        <f t="shared" si="7"/>
        <v>KIO80128425</v>
      </c>
      <c r="D137" t="s">
        <v>8689</v>
      </c>
      <c r="E137" s="1" t="s">
        <v>9330</v>
      </c>
      <c r="F137" s="61">
        <f>F136</f>
        <v>1200</v>
      </c>
      <c r="G137" s="3">
        <v>10.5</v>
      </c>
      <c r="H137" s="4" t="s">
        <v>8690</v>
      </c>
      <c r="I137">
        <v>1</v>
      </c>
      <c r="J137" s="37">
        <f>ARTICULOS_LADIAR[[#This Row],[Bulto]]</f>
        <v>1</v>
      </c>
      <c r="K137" s="4"/>
      <c r="L137" s="66">
        <f>((ARTICULOS_LADIAR[[#This Row],[P. Compra]]*(1+ARTICULOS_LADIAR[[#This Row],[IVA]]%))/ARTICULOS_LADIAR[[#This Row],[UnidFact]])+ARTICULOS_LADIAR[[#This Row],[CostoFlete]]</f>
        <v>1326</v>
      </c>
      <c r="M137">
        <v>35</v>
      </c>
      <c r="N137" s="68">
        <f>IF(L137&gt;=20,MROUND((L137*(1+(ARTICULOS_LADIAR[[#This Row],[IVA]]/100)))/(1-M137/100),50),20)</f>
        <v>2250</v>
      </c>
      <c r="O137" s="3">
        <f>MROUND((ARTICULOS_LADIAR[[#This Row],[Precio]]/0.6),50)</f>
        <v>3750</v>
      </c>
      <c r="P137" t="s">
        <v>8693</v>
      </c>
      <c r="Q137">
        <v>3</v>
      </c>
      <c r="R137" s="3">
        <f>ARTICULOS_LADIAR[[#This Row],[Bulto]]+ARTICULOS_LADIAR[[#This Row],[Minimo]]</f>
        <v>4</v>
      </c>
      <c r="S137" t="s">
        <v>32</v>
      </c>
      <c r="T137" t="s">
        <v>27</v>
      </c>
      <c r="U137" t="s">
        <v>64</v>
      </c>
      <c r="V137" t="s">
        <v>9329</v>
      </c>
      <c r="W137" t="s">
        <v>8692</v>
      </c>
      <c r="X137">
        <v>1</v>
      </c>
      <c r="Y137">
        <v>5</v>
      </c>
      <c r="Z137"/>
      <c r="AB137" s="80">
        <f>ARTICULOS_LADIAR[[#This Row],[Costo]]*ARTICULOS_LADIAR[[#This Row],[Pedido]]</f>
        <v>0</v>
      </c>
      <c r="AD137"/>
      <c r="AH137" s="2" t="str">
        <f>IF(AND(ARTICULOS_LADIAR[[#This Row],[FechaVenc]]=0,ARTICULOS_LADIAR[[#This Row],[DiasVenc]]=0),"",ARTICULOS_LADIAR[[#This Row],[FechaVenc]]-ARTICULOS_LADIAR[[#This Row],[DiasVenc]])</f>
        <v/>
      </c>
      <c r="AK137"/>
      <c r="AM137"/>
      <c r="AO137" s="30" t="s">
        <v>8689</v>
      </c>
    </row>
    <row r="138" spans="1:41" x14ac:dyDescent="0.25">
      <c r="A138" s="24" t="s">
        <v>9331</v>
      </c>
      <c r="C138" t="str">
        <f t="shared" si="7"/>
        <v>KIO80141653</v>
      </c>
      <c r="D138" t="s">
        <v>8689</v>
      </c>
      <c r="E138" s="24" t="s">
        <v>9332</v>
      </c>
      <c r="F138" s="61">
        <f>F137</f>
        <v>1200</v>
      </c>
      <c r="G138" s="3">
        <v>10.5</v>
      </c>
      <c r="H138" s="31" t="s">
        <v>8690</v>
      </c>
      <c r="I138">
        <v>1</v>
      </c>
      <c r="J138" s="37">
        <f>ARTICULOS_LADIAR[[#This Row],[Bulto]]</f>
        <v>1</v>
      </c>
      <c r="K138" s="31"/>
      <c r="L138" s="66">
        <f>((ARTICULOS_LADIAR[[#This Row],[P. Compra]]*(1+ARTICULOS_LADIAR[[#This Row],[IVA]]%))/ARTICULOS_LADIAR[[#This Row],[UnidFact]])+ARTICULOS_LADIAR[[#This Row],[CostoFlete]]</f>
        <v>1326</v>
      </c>
      <c r="M138">
        <v>35</v>
      </c>
      <c r="N138" s="68">
        <f>IF(L138&gt;=20,MROUND((L138*(1+(ARTICULOS_LADIAR[[#This Row],[IVA]]/100)))/(1-M138/100),50),20)</f>
        <v>2250</v>
      </c>
      <c r="O138" s="3">
        <f>MROUND((ARTICULOS_LADIAR[[#This Row],[Precio]]/0.6),50)</f>
        <v>3750</v>
      </c>
      <c r="P138" t="s">
        <v>8693</v>
      </c>
      <c r="Q138">
        <v>3</v>
      </c>
      <c r="R138" s="23">
        <f>ARTICULOS_LADIAR[[#This Row],[Bulto]]+ARTICULOS_LADIAR[[#This Row],[Minimo]]</f>
        <v>4</v>
      </c>
      <c r="S138" t="s">
        <v>32</v>
      </c>
      <c r="T138" t="s">
        <v>27</v>
      </c>
      <c r="U138" t="s">
        <v>64</v>
      </c>
      <c r="V138" t="s">
        <v>9329</v>
      </c>
      <c r="W138" t="s">
        <v>8692</v>
      </c>
      <c r="X138">
        <v>1</v>
      </c>
      <c r="Y138">
        <v>2</v>
      </c>
      <c r="Z138"/>
      <c r="AB138" s="80">
        <f>ARTICULOS_LADIAR[[#This Row],[Costo]]*ARTICULOS_LADIAR[[#This Row],[Pedido]]</f>
        <v>0</v>
      </c>
      <c r="AD138"/>
      <c r="AH138" s="2" t="str">
        <f>IF(AND(ARTICULOS_LADIAR[[#This Row],[FechaVenc]]=0,ARTICULOS_LADIAR[[#This Row],[DiasVenc]]=0),"",ARTICULOS_LADIAR[[#This Row],[FechaVenc]]-ARTICULOS_LADIAR[[#This Row],[DiasVenc]])</f>
        <v/>
      </c>
      <c r="AK138"/>
      <c r="AM138"/>
      <c r="AO138" s="30" t="s">
        <v>8689</v>
      </c>
    </row>
    <row r="139" spans="1:41" x14ac:dyDescent="0.25">
      <c r="A139" s="1" t="s">
        <v>11806</v>
      </c>
      <c r="C139" t="str">
        <f t="shared" si="7"/>
        <v>KIO80259402</v>
      </c>
      <c r="D139" t="s">
        <v>8689</v>
      </c>
      <c r="E139" s="1" t="s">
        <v>9333</v>
      </c>
      <c r="F139" s="61">
        <f>F138</f>
        <v>1200</v>
      </c>
      <c r="G139" s="3">
        <v>10.5</v>
      </c>
      <c r="H139" s="4" t="s">
        <v>8690</v>
      </c>
      <c r="I139">
        <v>1</v>
      </c>
      <c r="J139" s="37">
        <f>ARTICULOS_LADIAR[[#This Row],[Bulto]]</f>
        <v>1</v>
      </c>
      <c r="K139" s="4"/>
      <c r="L139" s="66">
        <f>((ARTICULOS_LADIAR[[#This Row],[P. Compra]]*(1+ARTICULOS_LADIAR[[#This Row],[IVA]]%))/ARTICULOS_LADIAR[[#This Row],[UnidFact]])+ARTICULOS_LADIAR[[#This Row],[CostoFlete]]</f>
        <v>1326</v>
      </c>
      <c r="M139">
        <v>35</v>
      </c>
      <c r="N139" s="68">
        <f>IF(L139&gt;=20,MROUND((L139*(1+(ARTICULOS_LADIAR[[#This Row],[IVA]]/100)))/(1-M139/100),50),20)</f>
        <v>2250</v>
      </c>
      <c r="O139" s="3">
        <f>MROUND((ARTICULOS_LADIAR[[#This Row],[Precio]]/0.6),50)</f>
        <v>3750</v>
      </c>
      <c r="P139" t="s">
        <v>8693</v>
      </c>
      <c r="Q139">
        <v>3</v>
      </c>
      <c r="R139" s="3">
        <f>ARTICULOS_LADIAR[[#This Row],[Bulto]]+ARTICULOS_LADIAR[[#This Row],[Minimo]]</f>
        <v>4</v>
      </c>
      <c r="S139" t="s">
        <v>32</v>
      </c>
      <c r="T139" t="s">
        <v>27</v>
      </c>
      <c r="U139" t="s">
        <v>64</v>
      </c>
      <c r="V139" t="s">
        <v>9329</v>
      </c>
      <c r="W139" t="s">
        <v>8692</v>
      </c>
      <c r="X139">
        <v>1</v>
      </c>
      <c r="Y139">
        <v>0</v>
      </c>
      <c r="Z139"/>
      <c r="AB139" s="80">
        <f>ARTICULOS_LADIAR[[#This Row],[Costo]]*ARTICULOS_LADIAR[[#This Row],[Pedido]]</f>
        <v>0</v>
      </c>
      <c r="AD139"/>
      <c r="AH139" s="2" t="str">
        <f>IF(AND(ARTICULOS_LADIAR[[#This Row],[FechaVenc]]=0,ARTICULOS_LADIAR[[#This Row],[DiasVenc]]=0),"",ARTICULOS_LADIAR[[#This Row],[FechaVenc]]-ARTICULOS_LADIAR[[#This Row],[DiasVenc]])</f>
        <v/>
      </c>
      <c r="AK139"/>
      <c r="AM139"/>
      <c r="AO139" s="30" t="s">
        <v>8689</v>
      </c>
    </row>
    <row r="140" spans="1:41" x14ac:dyDescent="0.25">
      <c r="A140" s="1" t="s">
        <v>11804</v>
      </c>
      <c r="C140" t="str">
        <f t="shared" si="7"/>
        <v>KIO80132873</v>
      </c>
      <c r="D140" t="s">
        <v>8689</v>
      </c>
      <c r="E140" s="1" t="s">
        <v>9334</v>
      </c>
      <c r="F140" s="61">
        <f>F139</f>
        <v>1200</v>
      </c>
      <c r="G140" s="3">
        <v>10.5</v>
      </c>
      <c r="H140" s="4" t="s">
        <v>8690</v>
      </c>
      <c r="I140">
        <v>1</v>
      </c>
      <c r="J140" s="37">
        <f>ARTICULOS_LADIAR[[#This Row],[Bulto]]</f>
        <v>1</v>
      </c>
      <c r="K140" s="4"/>
      <c r="L140" s="66">
        <f>((ARTICULOS_LADIAR[[#This Row],[P. Compra]]*(1+ARTICULOS_LADIAR[[#This Row],[IVA]]%))/ARTICULOS_LADIAR[[#This Row],[UnidFact]])+ARTICULOS_LADIAR[[#This Row],[CostoFlete]]</f>
        <v>1326</v>
      </c>
      <c r="M140">
        <v>35</v>
      </c>
      <c r="N140" s="68">
        <f>IF(L140&gt;=20,MROUND((L140*(1+(ARTICULOS_LADIAR[[#This Row],[IVA]]/100)))/(1-M140/100),50),20)</f>
        <v>2250</v>
      </c>
      <c r="O140" s="3">
        <f>MROUND((ARTICULOS_LADIAR[[#This Row],[Precio]]/0.6),50)</f>
        <v>3750</v>
      </c>
      <c r="P140" t="s">
        <v>8693</v>
      </c>
      <c r="Q140">
        <v>3</v>
      </c>
      <c r="R140" s="3">
        <f>ARTICULOS_LADIAR[[#This Row],[Bulto]]+ARTICULOS_LADIAR[[#This Row],[Minimo]]</f>
        <v>4</v>
      </c>
      <c r="S140" t="s">
        <v>32</v>
      </c>
      <c r="T140" t="s">
        <v>27</v>
      </c>
      <c r="U140" t="s">
        <v>64</v>
      </c>
      <c r="V140" t="s">
        <v>9329</v>
      </c>
      <c r="W140" t="s">
        <v>8692</v>
      </c>
      <c r="X140">
        <v>1</v>
      </c>
      <c r="Y140">
        <v>1</v>
      </c>
      <c r="Z140"/>
      <c r="AB140" s="80">
        <f>ARTICULOS_LADIAR[[#This Row],[Costo]]*ARTICULOS_LADIAR[[#This Row],[Pedido]]</f>
        <v>0</v>
      </c>
      <c r="AD140"/>
      <c r="AH140" s="2" t="str">
        <f>IF(AND(ARTICULOS_LADIAR[[#This Row],[FechaVenc]]=0,ARTICULOS_LADIAR[[#This Row],[DiasVenc]]=0),"",ARTICULOS_LADIAR[[#This Row],[FechaVenc]]-ARTICULOS_LADIAR[[#This Row],[DiasVenc]])</f>
        <v/>
      </c>
      <c r="AK140"/>
      <c r="AM140"/>
      <c r="AO140" s="30" t="s">
        <v>8689</v>
      </c>
    </row>
    <row r="141" spans="1:41" x14ac:dyDescent="0.25">
      <c r="A141" s="24" t="s">
        <v>9335</v>
      </c>
      <c r="C141" t="str">
        <f t="shared" si="7"/>
        <v>KIO80169312</v>
      </c>
      <c r="D141" t="s">
        <v>8689</v>
      </c>
      <c r="E141" s="24" t="s">
        <v>9336</v>
      </c>
      <c r="F141" s="61">
        <v>3212.23</v>
      </c>
      <c r="G141" s="3">
        <v>10.5</v>
      </c>
      <c r="H141" s="4" t="s">
        <v>8690</v>
      </c>
      <c r="I141">
        <v>12</v>
      </c>
      <c r="J141" s="37">
        <f>ARTICULOS_LADIAR[[#This Row],[Bulto]]</f>
        <v>12</v>
      </c>
      <c r="K141" s="4"/>
      <c r="L141" s="66">
        <f>((ARTICULOS_LADIAR[[#This Row],[P. Compra]]*(1+ARTICULOS_LADIAR[[#This Row],[IVA]]%))/ARTICULOS_LADIAR[[#This Row],[UnidFact]])+ARTICULOS_LADIAR[[#This Row],[CostoFlete]]</f>
        <v>295.79284583333333</v>
      </c>
      <c r="M141">
        <v>35</v>
      </c>
      <c r="N141" s="68">
        <f>IF(L141&gt;=20,MROUND((L141*(1+(ARTICULOS_LADIAR[[#This Row],[IVA]]/100)))/(1-M141/100),50),20)</f>
        <v>500</v>
      </c>
      <c r="O141" s="3">
        <f>MROUND((ARTICULOS_LADIAR[[#This Row],[Precio]]/0.6),50)</f>
        <v>850</v>
      </c>
      <c r="P141" t="s">
        <v>8693</v>
      </c>
      <c r="Q141">
        <v>2</v>
      </c>
      <c r="R141" s="23">
        <f>ARTICULOS_LADIAR[[#This Row],[Bulto]]+ARTICULOS_LADIAR[[#This Row],[Minimo]]</f>
        <v>14</v>
      </c>
      <c r="S141" t="s">
        <v>32</v>
      </c>
      <c r="T141" t="s">
        <v>27</v>
      </c>
      <c r="U141" t="s">
        <v>64</v>
      </c>
      <c r="V141" t="s">
        <v>9329</v>
      </c>
      <c r="W141" t="s">
        <v>8692</v>
      </c>
      <c r="X141">
        <v>1</v>
      </c>
      <c r="Y141">
        <v>10</v>
      </c>
      <c r="Z141"/>
      <c r="AB141" s="80">
        <f>ARTICULOS_LADIAR[[#This Row],[Costo]]*ARTICULOS_LADIAR[[#This Row],[Pedido]]</f>
        <v>0</v>
      </c>
      <c r="AD141"/>
      <c r="AH141" s="2" t="str">
        <f>IF(AND(ARTICULOS_LADIAR[[#This Row],[FechaVenc]]=0,ARTICULOS_LADIAR[[#This Row],[DiasVenc]]=0),"",ARTICULOS_LADIAR[[#This Row],[FechaVenc]]-ARTICULOS_LADIAR[[#This Row],[DiasVenc]])</f>
        <v/>
      </c>
      <c r="AK141"/>
      <c r="AM141"/>
      <c r="AO141" s="30" t="s">
        <v>8689</v>
      </c>
    </row>
    <row r="142" spans="1:41" x14ac:dyDescent="0.25">
      <c r="A142" s="1" t="s">
        <v>9337</v>
      </c>
      <c r="C142" t="str">
        <f t="shared" si="7"/>
        <v>KIO80116958</v>
      </c>
      <c r="D142" t="s">
        <v>8689</v>
      </c>
      <c r="E142" s="1" t="s">
        <v>9338</v>
      </c>
      <c r="F142" s="61">
        <f t="shared" ref="F142:F147" si="8">F141</f>
        <v>3212.23</v>
      </c>
      <c r="G142" s="3">
        <v>10.5</v>
      </c>
      <c r="H142" s="4" t="s">
        <v>8690</v>
      </c>
      <c r="I142">
        <v>12</v>
      </c>
      <c r="J142" s="37">
        <f>ARTICULOS_LADIAR[[#This Row],[Bulto]]</f>
        <v>12</v>
      </c>
      <c r="K142" s="4"/>
      <c r="L142" s="66">
        <f>((ARTICULOS_LADIAR[[#This Row],[P. Compra]]*(1+ARTICULOS_LADIAR[[#This Row],[IVA]]%))/ARTICULOS_LADIAR[[#This Row],[UnidFact]])+ARTICULOS_LADIAR[[#This Row],[CostoFlete]]</f>
        <v>295.79284583333333</v>
      </c>
      <c r="M142">
        <v>35</v>
      </c>
      <c r="N142" s="68">
        <f>IF(L142&gt;=20,MROUND((L142*(1+(ARTICULOS_LADIAR[[#This Row],[IVA]]/100)))/(1-M142/100),50),20)</f>
        <v>500</v>
      </c>
      <c r="O142" s="3">
        <f>MROUND((ARTICULOS_LADIAR[[#This Row],[Precio]]/0.6),50)</f>
        <v>850</v>
      </c>
      <c r="P142" t="s">
        <v>8693</v>
      </c>
      <c r="Q142">
        <v>2</v>
      </c>
      <c r="R142" s="3">
        <f>ARTICULOS_LADIAR[[#This Row],[Bulto]]+ARTICULOS_LADIAR[[#This Row],[Minimo]]</f>
        <v>14</v>
      </c>
      <c r="S142" t="s">
        <v>32</v>
      </c>
      <c r="T142" t="s">
        <v>27</v>
      </c>
      <c r="U142" t="s">
        <v>64</v>
      </c>
      <c r="V142" t="s">
        <v>9329</v>
      </c>
      <c r="W142" t="s">
        <v>8692</v>
      </c>
      <c r="X142">
        <v>1</v>
      </c>
      <c r="Y142">
        <v>10</v>
      </c>
      <c r="Z142"/>
      <c r="AB142" s="80">
        <f>ARTICULOS_LADIAR[[#This Row],[Costo]]*ARTICULOS_LADIAR[[#This Row],[Pedido]]</f>
        <v>0</v>
      </c>
      <c r="AD142"/>
      <c r="AH142" s="2" t="str">
        <f>IF(AND(ARTICULOS_LADIAR[[#This Row],[FechaVenc]]=0,ARTICULOS_LADIAR[[#This Row],[DiasVenc]]=0),"",ARTICULOS_LADIAR[[#This Row],[FechaVenc]]-ARTICULOS_LADIAR[[#This Row],[DiasVenc]])</f>
        <v/>
      </c>
      <c r="AK142"/>
      <c r="AM142"/>
      <c r="AO142" s="30" t="s">
        <v>8689</v>
      </c>
    </row>
    <row r="143" spans="1:41" x14ac:dyDescent="0.25">
      <c r="A143" s="24" t="s">
        <v>9339</v>
      </c>
      <c r="C143" t="str">
        <f t="shared" si="7"/>
        <v>KIO80136109</v>
      </c>
      <c r="D143" t="s">
        <v>8689</v>
      </c>
      <c r="E143" s="24" t="s">
        <v>9340</v>
      </c>
      <c r="F143" s="61">
        <f t="shared" si="8"/>
        <v>3212.23</v>
      </c>
      <c r="G143" s="3">
        <v>10.5</v>
      </c>
      <c r="H143" s="31" t="s">
        <v>8690</v>
      </c>
      <c r="I143">
        <v>12</v>
      </c>
      <c r="J143" s="37">
        <f>ARTICULOS_LADIAR[[#This Row],[Bulto]]</f>
        <v>12</v>
      </c>
      <c r="K143" s="31"/>
      <c r="L143" s="66">
        <f>((ARTICULOS_LADIAR[[#This Row],[P. Compra]]*(1+ARTICULOS_LADIAR[[#This Row],[IVA]]%))/ARTICULOS_LADIAR[[#This Row],[UnidFact]])+ARTICULOS_LADIAR[[#This Row],[CostoFlete]]</f>
        <v>295.79284583333333</v>
      </c>
      <c r="M143">
        <v>35</v>
      </c>
      <c r="N143" s="68">
        <f>IF(L143&gt;=20,MROUND((L143*(1+(ARTICULOS_LADIAR[[#This Row],[IVA]]/100)))/(1-M143/100),50),20)</f>
        <v>500</v>
      </c>
      <c r="O143" s="3">
        <f>MROUND((ARTICULOS_LADIAR[[#This Row],[Precio]]/0.6),50)</f>
        <v>850</v>
      </c>
      <c r="P143" t="s">
        <v>8693</v>
      </c>
      <c r="Q143">
        <v>2</v>
      </c>
      <c r="R143" s="23">
        <f>ARTICULOS_LADIAR[[#This Row],[Bulto]]+ARTICULOS_LADIAR[[#This Row],[Minimo]]</f>
        <v>14</v>
      </c>
      <c r="S143" t="s">
        <v>32</v>
      </c>
      <c r="T143" t="s">
        <v>27</v>
      </c>
      <c r="U143" t="s">
        <v>64</v>
      </c>
      <c r="V143" t="s">
        <v>9329</v>
      </c>
      <c r="W143" t="s">
        <v>8692</v>
      </c>
      <c r="X143">
        <v>1</v>
      </c>
      <c r="Y143">
        <v>0</v>
      </c>
      <c r="Z143"/>
      <c r="AB143" s="80">
        <f>ARTICULOS_LADIAR[[#This Row],[Costo]]*ARTICULOS_LADIAR[[#This Row],[Pedido]]</f>
        <v>0</v>
      </c>
      <c r="AD143"/>
      <c r="AH143" s="2" t="str">
        <f>IF(AND(ARTICULOS_LADIAR[[#This Row],[FechaVenc]]=0,ARTICULOS_LADIAR[[#This Row],[DiasVenc]]=0),"",ARTICULOS_LADIAR[[#This Row],[FechaVenc]]-ARTICULOS_LADIAR[[#This Row],[DiasVenc]])</f>
        <v/>
      </c>
      <c r="AK143"/>
      <c r="AM143"/>
      <c r="AO143" s="30" t="s">
        <v>8689</v>
      </c>
    </row>
    <row r="144" spans="1:41" x14ac:dyDescent="0.25">
      <c r="A144" s="24" t="s">
        <v>11769</v>
      </c>
      <c r="C144" t="str">
        <f t="shared" si="7"/>
        <v>KIO80135911</v>
      </c>
      <c r="D144" t="s">
        <v>8689</v>
      </c>
      <c r="E144" s="24" t="s">
        <v>11768</v>
      </c>
      <c r="F144" s="61">
        <f t="shared" si="8"/>
        <v>3212.23</v>
      </c>
      <c r="G144" s="3">
        <v>10.5</v>
      </c>
      <c r="H144" s="4" t="s">
        <v>8690</v>
      </c>
      <c r="I144">
        <v>12</v>
      </c>
      <c r="J144" s="37">
        <f>ARTICULOS_LADIAR[[#This Row],[Bulto]]</f>
        <v>12</v>
      </c>
      <c r="K144" s="4"/>
      <c r="L144" s="66">
        <f>((ARTICULOS_LADIAR[[#This Row],[P. Compra]]*(1+ARTICULOS_LADIAR[[#This Row],[IVA]]%))/ARTICULOS_LADIAR[[#This Row],[UnidFact]])+ARTICULOS_LADIAR[[#This Row],[CostoFlete]]</f>
        <v>295.79284583333333</v>
      </c>
      <c r="M144">
        <v>35</v>
      </c>
      <c r="N144" s="68">
        <f>IF(L144&gt;=20,MROUND((L144*(1+(ARTICULOS_LADIAR[[#This Row],[IVA]]/100)))/(1-M144/100),50),20)</f>
        <v>500</v>
      </c>
      <c r="O144" s="3">
        <f>MROUND((ARTICULOS_LADIAR[[#This Row],[Precio]]/0.6),50)</f>
        <v>850</v>
      </c>
      <c r="P144" t="s">
        <v>8693</v>
      </c>
      <c r="Q144">
        <v>2</v>
      </c>
      <c r="R144" s="3">
        <f>ARTICULOS_LADIAR[[#This Row],[Bulto]]+ARTICULOS_LADIAR[[#This Row],[Minimo]]</f>
        <v>14</v>
      </c>
      <c r="S144" t="s">
        <v>32</v>
      </c>
      <c r="T144" t="s">
        <v>27</v>
      </c>
      <c r="U144" t="s">
        <v>64</v>
      </c>
      <c r="V144" t="s">
        <v>9329</v>
      </c>
      <c r="W144" t="s">
        <v>8692</v>
      </c>
      <c r="X144">
        <v>1</v>
      </c>
      <c r="Y144">
        <v>95</v>
      </c>
      <c r="Z144"/>
      <c r="AB144" s="80">
        <f>ARTICULOS_LADIAR[[#This Row],[Costo]]*ARTICULOS_LADIAR[[#This Row],[Pedido]]</f>
        <v>0</v>
      </c>
      <c r="AD144"/>
      <c r="AH144" s="2" t="str">
        <f>IF(AND(ARTICULOS_LADIAR[[#This Row],[FechaVenc]]=0,ARTICULOS_LADIAR[[#This Row],[DiasVenc]]=0),"",ARTICULOS_LADIAR[[#This Row],[FechaVenc]]-ARTICULOS_LADIAR[[#This Row],[DiasVenc]])</f>
        <v/>
      </c>
      <c r="AK144"/>
      <c r="AM144"/>
      <c r="AO144" s="30" t="s">
        <v>8689</v>
      </c>
    </row>
    <row r="145" spans="1:41" x14ac:dyDescent="0.25">
      <c r="A145" s="1" t="s">
        <v>9341</v>
      </c>
      <c r="C145" t="str">
        <f t="shared" si="7"/>
        <v>KIO80199913</v>
      </c>
      <c r="D145" t="s">
        <v>8689</v>
      </c>
      <c r="E145" s="1" t="s">
        <v>9342</v>
      </c>
      <c r="F145" s="61">
        <f t="shared" si="8"/>
        <v>3212.23</v>
      </c>
      <c r="G145" s="3">
        <v>10.5</v>
      </c>
      <c r="H145" s="4" t="s">
        <v>8690</v>
      </c>
      <c r="I145">
        <v>12</v>
      </c>
      <c r="J145" s="37">
        <f>ARTICULOS_LADIAR[[#This Row],[Bulto]]</f>
        <v>12</v>
      </c>
      <c r="K145" s="4"/>
      <c r="L145" s="66">
        <f>((ARTICULOS_LADIAR[[#This Row],[P. Compra]]*(1+ARTICULOS_LADIAR[[#This Row],[IVA]]%))/ARTICULOS_LADIAR[[#This Row],[UnidFact]])+ARTICULOS_LADIAR[[#This Row],[CostoFlete]]</f>
        <v>295.79284583333333</v>
      </c>
      <c r="M145">
        <v>35</v>
      </c>
      <c r="N145" s="68">
        <f>IF(L145&gt;=20,MROUND((L145*(1+(ARTICULOS_LADIAR[[#This Row],[IVA]]/100)))/(1-M145/100),50),20)</f>
        <v>500</v>
      </c>
      <c r="O145" s="3">
        <f>MROUND((ARTICULOS_LADIAR[[#This Row],[Precio]]/0.6),50)</f>
        <v>850</v>
      </c>
      <c r="P145" t="s">
        <v>8693</v>
      </c>
      <c r="Q145">
        <v>2</v>
      </c>
      <c r="R145" s="3">
        <f>ARTICULOS_LADIAR[[#This Row],[Bulto]]+ARTICULOS_LADIAR[[#This Row],[Minimo]]</f>
        <v>14</v>
      </c>
      <c r="S145" t="s">
        <v>32</v>
      </c>
      <c r="T145" t="s">
        <v>27</v>
      </c>
      <c r="U145" t="s">
        <v>64</v>
      </c>
      <c r="V145" t="s">
        <v>9329</v>
      </c>
      <c r="W145" t="s">
        <v>8692</v>
      </c>
      <c r="X145">
        <v>1</v>
      </c>
      <c r="Y145">
        <v>5</v>
      </c>
      <c r="Z145"/>
      <c r="AB145" s="80">
        <f>ARTICULOS_LADIAR[[#This Row],[Costo]]*ARTICULOS_LADIAR[[#This Row],[Pedido]]</f>
        <v>0</v>
      </c>
      <c r="AD145"/>
      <c r="AH145" s="2" t="str">
        <f>IF(AND(ARTICULOS_LADIAR[[#This Row],[FechaVenc]]=0,ARTICULOS_LADIAR[[#This Row],[DiasVenc]]=0),"",ARTICULOS_LADIAR[[#This Row],[FechaVenc]]-ARTICULOS_LADIAR[[#This Row],[DiasVenc]])</f>
        <v/>
      </c>
      <c r="AK145"/>
      <c r="AM145"/>
      <c r="AO145" s="30" t="s">
        <v>8689</v>
      </c>
    </row>
    <row r="146" spans="1:41" x14ac:dyDescent="0.25">
      <c r="A146" s="1" t="s">
        <v>9343</v>
      </c>
      <c r="C146" t="str">
        <f t="shared" si="7"/>
        <v>KIO80617813</v>
      </c>
      <c r="D146" t="s">
        <v>8689</v>
      </c>
      <c r="E146" s="1" t="s">
        <v>9344</v>
      </c>
      <c r="F146" s="61">
        <f t="shared" si="8"/>
        <v>3212.23</v>
      </c>
      <c r="G146" s="3">
        <v>10.5</v>
      </c>
      <c r="H146" s="4" t="s">
        <v>8690</v>
      </c>
      <c r="I146">
        <v>12</v>
      </c>
      <c r="J146" s="37">
        <f>ARTICULOS_LADIAR[[#This Row],[Bulto]]</f>
        <v>12</v>
      </c>
      <c r="K146" s="4"/>
      <c r="L146" s="66">
        <f>((ARTICULOS_LADIAR[[#This Row],[P. Compra]]*(1+ARTICULOS_LADIAR[[#This Row],[IVA]]%))/ARTICULOS_LADIAR[[#This Row],[UnidFact]])+ARTICULOS_LADIAR[[#This Row],[CostoFlete]]</f>
        <v>295.79284583333333</v>
      </c>
      <c r="M146">
        <v>35</v>
      </c>
      <c r="N146" s="68">
        <f>IF(L146&gt;=20,MROUND((L146*(1+(ARTICULOS_LADIAR[[#This Row],[IVA]]/100)))/(1-M146/100),50),20)</f>
        <v>500</v>
      </c>
      <c r="O146" s="3">
        <f>MROUND((ARTICULOS_LADIAR[[#This Row],[Precio]]/0.6),50)</f>
        <v>850</v>
      </c>
      <c r="P146" t="s">
        <v>8693</v>
      </c>
      <c r="Q146">
        <v>2</v>
      </c>
      <c r="R146" s="3">
        <f>ARTICULOS_LADIAR[[#This Row],[Bulto]]+ARTICULOS_LADIAR[[#This Row],[Minimo]]</f>
        <v>14</v>
      </c>
      <c r="S146" t="s">
        <v>32</v>
      </c>
      <c r="T146" t="s">
        <v>27</v>
      </c>
      <c r="U146" t="s">
        <v>64</v>
      </c>
      <c r="V146" t="s">
        <v>9329</v>
      </c>
      <c r="W146" t="s">
        <v>8692</v>
      </c>
      <c r="X146">
        <v>1</v>
      </c>
      <c r="Y146">
        <v>0</v>
      </c>
      <c r="Z146"/>
      <c r="AB146" s="80">
        <f>ARTICULOS_LADIAR[[#This Row],[Costo]]*ARTICULOS_LADIAR[[#This Row],[Pedido]]</f>
        <v>0</v>
      </c>
      <c r="AD146"/>
      <c r="AH146" s="2" t="str">
        <f>IF(AND(ARTICULOS_LADIAR[[#This Row],[FechaVenc]]=0,ARTICULOS_LADIAR[[#This Row],[DiasVenc]]=0),"",ARTICULOS_LADIAR[[#This Row],[FechaVenc]]-ARTICULOS_LADIAR[[#This Row],[DiasVenc]])</f>
        <v/>
      </c>
      <c r="AK146"/>
      <c r="AM146"/>
      <c r="AO146" s="30" t="s">
        <v>8689</v>
      </c>
    </row>
    <row r="147" spans="1:41" x14ac:dyDescent="0.25">
      <c r="A147" s="1" t="s">
        <v>9345</v>
      </c>
      <c r="C147" t="str">
        <f t="shared" si="7"/>
        <v>KIO80200114</v>
      </c>
      <c r="D147" t="s">
        <v>8689</v>
      </c>
      <c r="E147" s="1" t="s">
        <v>9346</v>
      </c>
      <c r="F147" s="61">
        <f t="shared" si="8"/>
        <v>3212.23</v>
      </c>
      <c r="G147" s="3">
        <v>10.5</v>
      </c>
      <c r="H147" s="4" t="s">
        <v>8690</v>
      </c>
      <c r="I147">
        <v>12</v>
      </c>
      <c r="J147" s="37">
        <f>ARTICULOS_LADIAR[[#This Row],[Bulto]]</f>
        <v>12</v>
      </c>
      <c r="K147" s="4"/>
      <c r="L147" s="66">
        <f>((ARTICULOS_LADIAR[[#This Row],[P. Compra]]*(1+ARTICULOS_LADIAR[[#This Row],[IVA]]%))/ARTICULOS_LADIAR[[#This Row],[UnidFact]])+ARTICULOS_LADIAR[[#This Row],[CostoFlete]]</f>
        <v>295.79284583333333</v>
      </c>
      <c r="M147">
        <v>35</v>
      </c>
      <c r="N147" s="68">
        <f>IF(L147&gt;=20,MROUND((L147*(1+(ARTICULOS_LADIAR[[#This Row],[IVA]]/100)))/(1-M147/100),50),20)</f>
        <v>500</v>
      </c>
      <c r="O147" s="3">
        <f>MROUND((ARTICULOS_LADIAR[[#This Row],[Precio]]/0.6),50)</f>
        <v>850</v>
      </c>
      <c r="P147" t="s">
        <v>8693</v>
      </c>
      <c r="Q147">
        <v>2</v>
      </c>
      <c r="R147" s="3">
        <f>ARTICULOS_LADIAR[[#This Row],[Bulto]]+ARTICULOS_LADIAR[[#This Row],[Minimo]]</f>
        <v>14</v>
      </c>
      <c r="S147" t="s">
        <v>32</v>
      </c>
      <c r="T147" t="s">
        <v>27</v>
      </c>
      <c r="U147" t="s">
        <v>64</v>
      </c>
      <c r="V147" t="s">
        <v>9329</v>
      </c>
      <c r="W147" t="s">
        <v>8692</v>
      </c>
      <c r="X147">
        <v>1</v>
      </c>
      <c r="Y147">
        <v>4</v>
      </c>
      <c r="Z147"/>
      <c r="AB147" s="80">
        <f>ARTICULOS_LADIAR[[#This Row],[Costo]]*ARTICULOS_LADIAR[[#This Row],[Pedido]]</f>
        <v>0</v>
      </c>
      <c r="AD147"/>
      <c r="AH147" s="2" t="str">
        <f>IF(AND(ARTICULOS_LADIAR[[#This Row],[FechaVenc]]=0,ARTICULOS_LADIAR[[#This Row],[DiasVenc]]=0),"",ARTICULOS_LADIAR[[#This Row],[FechaVenc]]-ARTICULOS_LADIAR[[#This Row],[DiasVenc]])</f>
        <v/>
      </c>
      <c r="AK147"/>
      <c r="AM147"/>
      <c r="AO147" s="30" t="s">
        <v>8689</v>
      </c>
    </row>
    <row r="148" spans="1:41" x14ac:dyDescent="0.25">
      <c r="A148" s="1" t="s">
        <v>9347</v>
      </c>
      <c r="C148" t="str">
        <f t="shared" si="7"/>
        <v>KIO80602000</v>
      </c>
      <c r="D148" t="s">
        <v>8689</v>
      </c>
      <c r="E148" s="1" t="s">
        <v>9348</v>
      </c>
      <c r="F148" s="61">
        <f>F146</f>
        <v>3212.23</v>
      </c>
      <c r="G148" s="3">
        <v>10.5</v>
      </c>
      <c r="H148" s="4" t="s">
        <v>8690</v>
      </c>
      <c r="I148">
        <v>12</v>
      </c>
      <c r="J148" s="37">
        <f>ARTICULOS_LADIAR[[#This Row],[Bulto]]</f>
        <v>12</v>
      </c>
      <c r="K148" s="4"/>
      <c r="L148" s="66">
        <f>((ARTICULOS_LADIAR[[#This Row],[P. Compra]]*(1+ARTICULOS_LADIAR[[#This Row],[IVA]]%))/ARTICULOS_LADIAR[[#This Row],[UnidFact]])+ARTICULOS_LADIAR[[#This Row],[CostoFlete]]</f>
        <v>295.79284583333333</v>
      </c>
      <c r="M148">
        <v>35</v>
      </c>
      <c r="N148" s="68">
        <f>IF(L148&gt;=20,MROUND((L148*(1+(ARTICULOS_LADIAR[[#This Row],[IVA]]/100)))/(1-M148/100),50),20)</f>
        <v>500</v>
      </c>
      <c r="O148" s="3">
        <f>MROUND((ARTICULOS_LADIAR[[#This Row],[Precio]]/0.6),50)</f>
        <v>850</v>
      </c>
      <c r="P148" t="s">
        <v>8693</v>
      </c>
      <c r="Q148">
        <v>2</v>
      </c>
      <c r="R148" s="3">
        <f>ARTICULOS_LADIAR[[#This Row],[Bulto]]+ARTICULOS_LADIAR[[#This Row],[Minimo]]</f>
        <v>14</v>
      </c>
      <c r="S148" t="s">
        <v>32</v>
      </c>
      <c r="T148" t="s">
        <v>27</v>
      </c>
      <c r="U148" t="s">
        <v>64</v>
      </c>
      <c r="V148" t="s">
        <v>9329</v>
      </c>
      <c r="W148" t="s">
        <v>8692</v>
      </c>
      <c r="X148">
        <v>1</v>
      </c>
      <c r="Y148">
        <v>11</v>
      </c>
      <c r="Z148"/>
      <c r="AB148" s="80">
        <f>ARTICULOS_LADIAR[[#This Row],[Costo]]*ARTICULOS_LADIAR[[#This Row],[Pedido]]</f>
        <v>0</v>
      </c>
      <c r="AD148"/>
      <c r="AH148" s="2" t="str">
        <f>IF(AND(ARTICULOS_LADIAR[[#This Row],[FechaVenc]]=0,ARTICULOS_LADIAR[[#This Row],[DiasVenc]]=0),"",ARTICULOS_LADIAR[[#This Row],[FechaVenc]]-ARTICULOS_LADIAR[[#This Row],[DiasVenc]])</f>
        <v/>
      </c>
      <c r="AK148"/>
      <c r="AM148"/>
      <c r="AO148" s="30" t="s">
        <v>8689</v>
      </c>
    </row>
    <row r="149" spans="1:41" x14ac:dyDescent="0.25">
      <c r="A149" s="1" t="s">
        <v>9349</v>
      </c>
      <c r="C149" t="str">
        <f t="shared" si="7"/>
        <v>KIO80116965</v>
      </c>
      <c r="D149" t="s">
        <v>8689</v>
      </c>
      <c r="E149" s="1" t="s">
        <v>9350</v>
      </c>
      <c r="F149" s="61">
        <f>F148</f>
        <v>3212.23</v>
      </c>
      <c r="G149" s="3">
        <v>10.5</v>
      </c>
      <c r="H149" s="4" t="s">
        <v>8690</v>
      </c>
      <c r="I149">
        <v>12</v>
      </c>
      <c r="J149" s="37">
        <f>ARTICULOS_LADIAR[[#This Row],[Bulto]]</f>
        <v>12</v>
      </c>
      <c r="K149" s="4"/>
      <c r="L149" s="66">
        <f>((ARTICULOS_LADIAR[[#This Row],[P. Compra]]*(1+ARTICULOS_LADIAR[[#This Row],[IVA]]%))/ARTICULOS_LADIAR[[#This Row],[UnidFact]])+ARTICULOS_LADIAR[[#This Row],[CostoFlete]]</f>
        <v>295.79284583333333</v>
      </c>
      <c r="M149">
        <v>35</v>
      </c>
      <c r="N149" s="68">
        <f>IF(L149&gt;=20,MROUND((L149*(1+(ARTICULOS_LADIAR[[#This Row],[IVA]]/100)))/(1-M149/100),50),20)</f>
        <v>500</v>
      </c>
      <c r="O149" s="3">
        <f>MROUND((ARTICULOS_LADIAR[[#This Row],[Precio]]/0.6),50)</f>
        <v>850</v>
      </c>
      <c r="P149" t="s">
        <v>8693</v>
      </c>
      <c r="Q149">
        <v>2</v>
      </c>
      <c r="R149" s="3">
        <f>ARTICULOS_LADIAR[[#This Row],[Bulto]]+ARTICULOS_LADIAR[[#This Row],[Minimo]]</f>
        <v>14</v>
      </c>
      <c r="S149" t="s">
        <v>32</v>
      </c>
      <c r="T149" t="s">
        <v>27</v>
      </c>
      <c r="U149" t="s">
        <v>64</v>
      </c>
      <c r="V149" t="s">
        <v>9329</v>
      </c>
      <c r="W149" t="s">
        <v>8692</v>
      </c>
      <c r="X149">
        <v>1</v>
      </c>
      <c r="Y149">
        <v>14</v>
      </c>
      <c r="Z149"/>
      <c r="AB149" s="80">
        <f>ARTICULOS_LADIAR[[#This Row],[Costo]]*ARTICULOS_LADIAR[[#This Row],[Pedido]]</f>
        <v>0</v>
      </c>
      <c r="AD149"/>
      <c r="AH149" s="2" t="str">
        <f>IF(AND(ARTICULOS_LADIAR[[#This Row],[FechaVenc]]=0,ARTICULOS_LADIAR[[#This Row],[DiasVenc]]=0),"",ARTICULOS_LADIAR[[#This Row],[FechaVenc]]-ARTICULOS_LADIAR[[#This Row],[DiasVenc]])</f>
        <v/>
      </c>
      <c r="AK149"/>
      <c r="AM149"/>
      <c r="AO149" s="30" t="s">
        <v>8689</v>
      </c>
    </row>
    <row r="150" spans="1:41" x14ac:dyDescent="0.25">
      <c r="A150" s="1" t="s">
        <v>9351</v>
      </c>
      <c r="C150" t="str">
        <f t="shared" si="7"/>
        <v>KIO80137618</v>
      </c>
      <c r="D150" t="s">
        <v>8689</v>
      </c>
      <c r="E150" s="1" t="s">
        <v>9352</v>
      </c>
      <c r="F150" s="61">
        <v>4313.54</v>
      </c>
      <c r="G150" s="3">
        <v>10.5</v>
      </c>
      <c r="H150" s="4" t="s">
        <v>8690</v>
      </c>
      <c r="I150">
        <v>10</v>
      </c>
      <c r="J150" s="37">
        <f>ARTICULOS_LADIAR[[#This Row],[Bulto]]</f>
        <v>10</v>
      </c>
      <c r="K150" s="4"/>
      <c r="L150" s="66">
        <f>((ARTICULOS_LADIAR[[#This Row],[P. Compra]]*(1+ARTICULOS_LADIAR[[#This Row],[IVA]]%))/ARTICULOS_LADIAR[[#This Row],[UnidFact]])+ARTICULOS_LADIAR[[#This Row],[CostoFlete]]</f>
        <v>476.64616999999998</v>
      </c>
      <c r="M150">
        <v>35</v>
      </c>
      <c r="N150" s="68">
        <f>IF(L150&gt;=20,MROUND((L150*(1+(ARTICULOS_LADIAR[[#This Row],[IVA]]/100)))/(1-M150/100),50),20)</f>
        <v>800</v>
      </c>
      <c r="O150" s="3">
        <f>MROUND((ARTICULOS_LADIAR[[#This Row],[Precio]]/0.6),50)</f>
        <v>1350</v>
      </c>
      <c r="P150" t="s">
        <v>8693</v>
      </c>
      <c r="Q150">
        <v>2</v>
      </c>
      <c r="R150" s="3">
        <f>ARTICULOS_LADIAR[[#This Row],[Bulto]]+ARTICULOS_LADIAR[[#This Row],[Minimo]]</f>
        <v>12</v>
      </c>
      <c r="S150" t="s">
        <v>32</v>
      </c>
      <c r="T150" t="s">
        <v>27</v>
      </c>
      <c r="U150" t="s">
        <v>64</v>
      </c>
      <c r="V150" t="s">
        <v>9329</v>
      </c>
      <c r="W150" t="s">
        <v>8692</v>
      </c>
      <c r="X150">
        <v>1</v>
      </c>
      <c r="Y150">
        <v>0</v>
      </c>
      <c r="Z150"/>
      <c r="AB150" s="80">
        <f>ARTICULOS_LADIAR[[#This Row],[Costo]]*ARTICULOS_LADIAR[[#This Row],[Pedido]]</f>
        <v>0</v>
      </c>
      <c r="AD150"/>
      <c r="AH150" s="2" t="str">
        <f>IF(AND(ARTICULOS_LADIAR[[#This Row],[FechaVenc]]=0,ARTICULOS_LADIAR[[#This Row],[DiasVenc]]=0),"",ARTICULOS_LADIAR[[#This Row],[FechaVenc]]-ARTICULOS_LADIAR[[#This Row],[DiasVenc]])</f>
        <v/>
      </c>
      <c r="AK150"/>
      <c r="AM150"/>
      <c r="AO150" s="30" t="s">
        <v>8689</v>
      </c>
    </row>
    <row r="151" spans="1:41" x14ac:dyDescent="0.25">
      <c r="A151" s="24" t="s">
        <v>9353</v>
      </c>
      <c r="C151" t="str">
        <f t="shared" si="7"/>
        <v>KIO80129415</v>
      </c>
      <c r="D151" t="s">
        <v>8689</v>
      </c>
      <c r="E151" s="1" t="s">
        <v>9354</v>
      </c>
      <c r="F151" s="61">
        <f t="shared" ref="F151:F156" si="9">F150</f>
        <v>4313.54</v>
      </c>
      <c r="G151" s="3">
        <v>10.5</v>
      </c>
      <c r="H151" s="4" t="s">
        <v>8690</v>
      </c>
      <c r="I151">
        <v>10</v>
      </c>
      <c r="J151" s="37">
        <f>ARTICULOS_LADIAR[[#This Row],[Bulto]]</f>
        <v>10</v>
      </c>
      <c r="K151" s="4"/>
      <c r="L151" s="66">
        <f>((ARTICULOS_LADIAR[[#This Row],[P. Compra]]*(1+ARTICULOS_LADIAR[[#This Row],[IVA]]%))/ARTICULOS_LADIAR[[#This Row],[UnidFact]])+ARTICULOS_LADIAR[[#This Row],[CostoFlete]]</f>
        <v>476.64616999999998</v>
      </c>
      <c r="M151">
        <v>35</v>
      </c>
      <c r="N151" s="68">
        <f>IF(L151&gt;=20,MROUND((L151*(1+(ARTICULOS_LADIAR[[#This Row],[IVA]]/100)))/(1-M151/100),50),20)</f>
        <v>800</v>
      </c>
      <c r="O151" s="3">
        <f>MROUND((ARTICULOS_LADIAR[[#This Row],[Precio]]/0.6),50)</f>
        <v>1350</v>
      </c>
      <c r="P151" t="s">
        <v>8693</v>
      </c>
      <c r="Q151">
        <v>2</v>
      </c>
      <c r="R151" s="3">
        <f>ARTICULOS_LADIAR[[#This Row],[Bulto]]+ARTICULOS_LADIAR[[#This Row],[Minimo]]</f>
        <v>12</v>
      </c>
      <c r="S151" t="s">
        <v>32</v>
      </c>
      <c r="T151" t="s">
        <v>27</v>
      </c>
      <c r="U151" t="s">
        <v>64</v>
      </c>
      <c r="V151" t="s">
        <v>9329</v>
      </c>
      <c r="W151" t="s">
        <v>8692</v>
      </c>
      <c r="X151">
        <v>1</v>
      </c>
      <c r="Y151">
        <v>8</v>
      </c>
      <c r="Z151"/>
      <c r="AB151" s="80">
        <f>ARTICULOS_LADIAR[[#This Row],[Costo]]*ARTICULOS_LADIAR[[#This Row],[Pedido]]</f>
        <v>0</v>
      </c>
      <c r="AD151"/>
      <c r="AH151" s="2" t="str">
        <f>IF(AND(ARTICULOS_LADIAR[[#This Row],[FechaVenc]]=0,ARTICULOS_LADIAR[[#This Row],[DiasVenc]]=0),"",ARTICULOS_LADIAR[[#This Row],[FechaVenc]]-ARTICULOS_LADIAR[[#This Row],[DiasVenc]])</f>
        <v/>
      </c>
      <c r="AK151"/>
      <c r="AM151"/>
      <c r="AO151" s="30" t="s">
        <v>8689</v>
      </c>
    </row>
    <row r="152" spans="1:41" x14ac:dyDescent="0.25">
      <c r="A152" s="1" t="s">
        <v>9355</v>
      </c>
      <c r="C152" t="str">
        <f t="shared" si="7"/>
        <v>KIO80129330</v>
      </c>
      <c r="D152" t="s">
        <v>8689</v>
      </c>
      <c r="E152" s="1" t="s">
        <v>9356</v>
      </c>
      <c r="F152" s="61">
        <f t="shared" si="9"/>
        <v>4313.54</v>
      </c>
      <c r="G152" s="3">
        <v>10.5</v>
      </c>
      <c r="H152" s="4" t="s">
        <v>8690</v>
      </c>
      <c r="I152">
        <v>10</v>
      </c>
      <c r="J152" s="37">
        <f>ARTICULOS_LADIAR[[#This Row],[Bulto]]</f>
        <v>10</v>
      </c>
      <c r="K152" s="4"/>
      <c r="L152" s="66">
        <f>((ARTICULOS_LADIAR[[#This Row],[P. Compra]]*(1+ARTICULOS_LADIAR[[#This Row],[IVA]]%))/ARTICULOS_LADIAR[[#This Row],[UnidFact]])+ARTICULOS_LADIAR[[#This Row],[CostoFlete]]</f>
        <v>476.64616999999998</v>
      </c>
      <c r="M152">
        <v>35</v>
      </c>
      <c r="N152" s="68">
        <f>IF(L152&gt;=20,MROUND((L152*(1+(ARTICULOS_LADIAR[[#This Row],[IVA]]/100)))/(1-M152/100),50),20)</f>
        <v>800</v>
      </c>
      <c r="O152" s="3">
        <f>MROUND((ARTICULOS_LADIAR[[#This Row],[Precio]]/0.6),50)</f>
        <v>1350</v>
      </c>
      <c r="P152" t="s">
        <v>8693</v>
      </c>
      <c r="Q152">
        <v>2</v>
      </c>
      <c r="R152" s="3">
        <f>ARTICULOS_LADIAR[[#This Row],[Bulto]]+ARTICULOS_LADIAR[[#This Row],[Minimo]]</f>
        <v>12</v>
      </c>
      <c r="S152" t="s">
        <v>32</v>
      </c>
      <c r="T152" t="s">
        <v>27</v>
      </c>
      <c r="U152" t="s">
        <v>64</v>
      </c>
      <c r="V152" t="s">
        <v>9329</v>
      </c>
      <c r="W152" t="s">
        <v>8692</v>
      </c>
      <c r="X152">
        <v>1</v>
      </c>
      <c r="Y152">
        <v>11</v>
      </c>
      <c r="Z152"/>
      <c r="AB152" s="80">
        <f>ARTICULOS_LADIAR[[#This Row],[Costo]]*ARTICULOS_LADIAR[[#This Row],[Pedido]]</f>
        <v>0</v>
      </c>
      <c r="AD152"/>
      <c r="AH152" s="2" t="str">
        <f>IF(AND(ARTICULOS_LADIAR[[#This Row],[FechaVenc]]=0,ARTICULOS_LADIAR[[#This Row],[DiasVenc]]=0),"",ARTICULOS_LADIAR[[#This Row],[FechaVenc]]-ARTICULOS_LADIAR[[#This Row],[DiasVenc]])</f>
        <v/>
      </c>
      <c r="AK152"/>
      <c r="AM152"/>
      <c r="AO152" s="30" t="s">
        <v>8689</v>
      </c>
    </row>
    <row r="153" spans="1:41" x14ac:dyDescent="0.25">
      <c r="A153" s="1" t="s">
        <v>9357</v>
      </c>
      <c r="C153" t="str">
        <f t="shared" si="7"/>
        <v>KIO80129347</v>
      </c>
      <c r="D153" t="s">
        <v>8689</v>
      </c>
      <c r="E153" s="1" t="s">
        <v>9358</v>
      </c>
      <c r="F153" s="61">
        <f t="shared" si="9"/>
        <v>4313.54</v>
      </c>
      <c r="G153" s="3">
        <v>10.5</v>
      </c>
      <c r="H153" s="4" t="s">
        <v>8690</v>
      </c>
      <c r="I153">
        <v>10</v>
      </c>
      <c r="J153" s="37">
        <f>ARTICULOS_LADIAR[[#This Row],[Bulto]]</f>
        <v>10</v>
      </c>
      <c r="K153" s="4"/>
      <c r="L153" s="66">
        <f>((ARTICULOS_LADIAR[[#This Row],[P. Compra]]*(1+ARTICULOS_LADIAR[[#This Row],[IVA]]%))/ARTICULOS_LADIAR[[#This Row],[UnidFact]])+ARTICULOS_LADIAR[[#This Row],[CostoFlete]]</f>
        <v>476.64616999999998</v>
      </c>
      <c r="M153">
        <v>35</v>
      </c>
      <c r="N153" s="68">
        <f>IF(L153&gt;=20,MROUND((L153*(1+(ARTICULOS_LADIAR[[#This Row],[IVA]]/100)))/(1-M153/100),50),20)</f>
        <v>800</v>
      </c>
      <c r="O153" s="3">
        <f>MROUND((ARTICULOS_LADIAR[[#This Row],[Precio]]/0.6),50)</f>
        <v>1350</v>
      </c>
      <c r="P153" t="s">
        <v>8693</v>
      </c>
      <c r="Q153">
        <v>2</v>
      </c>
      <c r="R153" s="3">
        <f>ARTICULOS_LADIAR[[#This Row],[Bulto]]+ARTICULOS_LADIAR[[#This Row],[Minimo]]</f>
        <v>12</v>
      </c>
      <c r="S153" t="s">
        <v>32</v>
      </c>
      <c r="T153" t="s">
        <v>27</v>
      </c>
      <c r="U153" t="s">
        <v>64</v>
      </c>
      <c r="V153" t="s">
        <v>9329</v>
      </c>
      <c r="W153" t="s">
        <v>8692</v>
      </c>
      <c r="X153">
        <v>1</v>
      </c>
      <c r="Y153">
        <v>0</v>
      </c>
      <c r="Z153"/>
      <c r="AB153" s="80">
        <f>ARTICULOS_LADIAR[[#This Row],[Costo]]*ARTICULOS_LADIAR[[#This Row],[Pedido]]</f>
        <v>0</v>
      </c>
      <c r="AD153"/>
      <c r="AH153" s="2" t="str">
        <f>IF(AND(ARTICULOS_LADIAR[[#This Row],[FechaVenc]]=0,ARTICULOS_LADIAR[[#This Row],[DiasVenc]]=0),"",ARTICULOS_LADIAR[[#This Row],[FechaVenc]]-ARTICULOS_LADIAR[[#This Row],[DiasVenc]])</f>
        <v/>
      </c>
      <c r="AK153"/>
      <c r="AM153"/>
      <c r="AO153" s="30" t="s">
        <v>8689</v>
      </c>
    </row>
    <row r="154" spans="1:41" x14ac:dyDescent="0.25">
      <c r="A154" s="24" t="s">
        <v>9359</v>
      </c>
      <c r="C154" t="str">
        <f t="shared" si="7"/>
        <v>KIO80129422</v>
      </c>
      <c r="D154" t="s">
        <v>8689</v>
      </c>
      <c r="E154" s="1" t="s">
        <v>9360</v>
      </c>
      <c r="F154" s="61">
        <f t="shared" si="9"/>
        <v>4313.54</v>
      </c>
      <c r="G154" s="3">
        <v>10.5</v>
      </c>
      <c r="H154" s="4" t="s">
        <v>8690</v>
      </c>
      <c r="I154">
        <v>10</v>
      </c>
      <c r="J154" s="37">
        <f>ARTICULOS_LADIAR[[#This Row],[Bulto]]</f>
        <v>10</v>
      </c>
      <c r="K154" s="4"/>
      <c r="L154" s="66">
        <f>((ARTICULOS_LADIAR[[#This Row],[P. Compra]]*(1+ARTICULOS_LADIAR[[#This Row],[IVA]]%))/ARTICULOS_LADIAR[[#This Row],[UnidFact]])+ARTICULOS_LADIAR[[#This Row],[CostoFlete]]</f>
        <v>476.64616999999998</v>
      </c>
      <c r="M154">
        <v>35</v>
      </c>
      <c r="N154" s="68">
        <f>IF(L154&gt;=20,MROUND((L154*(1+(ARTICULOS_LADIAR[[#This Row],[IVA]]/100)))/(1-M154/100),50),20)</f>
        <v>800</v>
      </c>
      <c r="O154" s="3">
        <f>MROUND((ARTICULOS_LADIAR[[#This Row],[Precio]]/0.6),50)</f>
        <v>1350</v>
      </c>
      <c r="P154" t="s">
        <v>8693</v>
      </c>
      <c r="Q154">
        <v>2</v>
      </c>
      <c r="R154" s="3">
        <f>ARTICULOS_LADIAR[[#This Row],[Bulto]]+ARTICULOS_LADIAR[[#This Row],[Minimo]]</f>
        <v>12</v>
      </c>
      <c r="S154" t="s">
        <v>32</v>
      </c>
      <c r="T154" t="s">
        <v>27</v>
      </c>
      <c r="U154" t="s">
        <v>64</v>
      </c>
      <c r="V154" t="s">
        <v>9329</v>
      </c>
      <c r="W154" t="s">
        <v>8692</v>
      </c>
      <c r="X154">
        <v>1</v>
      </c>
      <c r="Y154">
        <v>11</v>
      </c>
      <c r="Z154"/>
      <c r="AB154" s="80">
        <f>ARTICULOS_LADIAR[[#This Row],[Costo]]*ARTICULOS_LADIAR[[#This Row],[Pedido]]</f>
        <v>0</v>
      </c>
      <c r="AD154"/>
      <c r="AH154" s="2" t="str">
        <f>IF(AND(ARTICULOS_LADIAR[[#This Row],[FechaVenc]]=0,ARTICULOS_LADIAR[[#This Row],[DiasVenc]]=0),"",ARTICULOS_LADIAR[[#This Row],[FechaVenc]]-ARTICULOS_LADIAR[[#This Row],[DiasVenc]])</f>
        <v/>
      </c>
      <c r="AK154"/>
      <c r="AM154"/>
      <c r="AO154" s="30" t="s">
        <v>8689</v>
      </c>
    </row>
    <row r="155" spans="1:41" x14ac:dyDescent="0.25">
      <c r="A155" s="24" t="s">
        <v>9361</v>
      </c>
      <c r="C155" t="str">
        <f t="shared" si="7"/>
        <v>KIO80129507</v>
      </c>
      <c r="D155" t="s">
        <v>8689</v>
      </c>
      <c r="E155" s="1" t="s">
        <v>9362</v>
      </c>
      <c r="F155" s="61">
        <f t="shared" si="9"/>
        <v>4313.54</v>
      </c>
      <c r="G155" s="3">
        <v>10.5</v>
      </c>
      <c r="H155" s="4" t="s">
        <v>8690</v>
      </c>
      <c r="I155">
        <v>10</v>
      </c>
      <c r="J155" s="37">
        <f>ARTICULOS_LADIAR[[#This Row],[Bulto]]</f>
        <v>10</v>
      </c>
      <c r="K155" s="4"/>
      <c r="L155" s="66">
        <f>((ARTICULOS_LADIAR[[#This Row],[P. Compra]]*(1+ARTICULOS_LADIAR[[#This Row],[IVA]]%))/ARTICULOS_LADIAR[[#This Row],[UnidFact]])+ARTICULOS_LADIAR[[#This Row],[CostoFlete]]</f>
        <v>476.64616999999998</v>
      </c>
      <c r="M155">
        <v>35</v>
      </c>
      <c r="N155" s="68">
        <f>IF(L155&gt;=20,MROUND((L155*(1+(ARTICULOS_LADIAR[[#This Row],[IVA]]/100)))/(1-M155/100),50),20)</f>
        <v>800</v>
      </c>
      <c r="O155" s="3">
        <f>MROUND((ARTICULOS_LADIAR[[#This Row],[Precio]]/0.6),50)</f>
        <v>1350</v>
      </c>
      <c r="P155" t="s">
        <v>8693</v>
      </c>
      <c r="Q155">
        <v>2</v>
      </c>
      <c r="R155" s="3">
        <f>ARTICULOS_LADIAR[[#This Row],[Bulto]]+ARTICULOS_LADIAR[[#This Row],[Minimo]]</f>
        <v>12</v>
      </c>
      <c r="S155" t="s">
        <v>32</v>
      </c>
      <c r="T155" t="s">
        <v>27</v>
      </c>
      <c r="U155" t="s">
        <v>64</v>
      </c>
      <c r="V155" t="s">
        <v>9329</v>
      </c>
      <c r="W155" t="s">
        <v>8692</v>
      </c>
      <c r="X155">
        <v>1</v>
      </c>
      <c r="Y155">
        <v>2</v>
      </c>
      <c r="Z155"/>
      <c r="AB155" s="80">
        <f>ARTICULOS_LADIAR[[#This Row],[Costo]]*ARTICULOS_LADIAR[[#This Row],[Pedido]]</f>
        <v>0</v>
      </c>
      <c r="AD155"/>
      <c r="AH155" s="2" t="str">
        <f>IF(AND(ARTICULOS_LADIAR[[#This Row],[FechaVenc]]=0,ARTICULOS_LADIAR[[#This Row],[DiasVenc]]=0),"",ARTICULOS_LADIAR[[#This Row],[FechaVenc]]-ARTICULOS_LADIAR[[#This Row],[DiasVenc]])</f>
        <v/>
      </c>
      <c r="AK155"/>
      <c r="AM155"/>
      <c r="AO155" s="30" t="s">
        <v>8689</v>
      </c>
    </row>
    <row r="156" spans="1:41" x14ac:dyDescent="0.25">
      <c r="A156" s="24" t="s">
        <v>9363</v>
      </c>
      <c r="C156" t="str">
        <f t="shared" si="7"/>
        <v>KIO80129354</v>
      </c>
      <c r="D156" t="s">
        <v>8689</v>
      </c>
      <c r="E156" s="1" t="s">
        <v>9364</v>
      </c>
      <c r="F156" s="61">
        <f t="shared" si="9"/>
        <v>4313.54</v>
      </c>
      <c r="G156" s="3">
        <v>10.5</v>
      </c>
      <c r="H156" s="4" t="s">
        <v>8690</v>
      </c>
      <c r="I156">
        <v>10</v>
      </c>
      <c r="J156" s="37">
        <f>ARTICULOS_LADIAR[[#This Row],[Bulto]]</f>
        <v>10</v>
      </c>
      <c r="K156" s="4"/>
      <c r="L156" s="66">
        <f>((ARTICULOS_LADIAR[[#This Row],[P. Compra]]*(1+ARTICULOS_LADIAR[[#This Row],[IVA]]%))/ARTICULOS_LADIAR[[#This Row],[UnidFact]])+ARTICULOS_LADIAR[[#This Row],[CostoFlete]]</f>
        <v>476.64616999999998</v>
      </c>
      <c r="M156">
        <v>35</v>
      </c>
      <c r="N156" s="68">
        <f>IF(L156&gt;=20,MROUND((L156*(1+(ARTICULOS_LADIAR[[#This Row],[IVA]]/100)))/(1-M156/100),50),20)</f>
        <v>800</v>
      </c>
      <c r="O156" s="3">
        <f>MROUND((ARTICULOS_LADIAR[[#This Row],[Precio]]/0.6),50)</f>
        <v>1350</v>
      </c>
      <c r="P156" t="s">
        <v>8693</v>
      </c>
      <c r="Q156">
        <v>2</v>
      </c>
      <c r="R156" s="3">
        <f>ARTICULOS_LADIAR[[#This Row],[Bulto]]+ARTICULOS_LADIAR[[#This Row],[Minimo]]</f>
        <v>12</v>
      </c>
      <c r="S156" t="s">
        <v>32</v>
      </c>
      <c r="T156" t="s">
        <v>27</v>
      </c>
      <c r="U156" t="s">
        <v>64</v>
      </c>
      <c r="V156" t="s">
        <v>9329</v>
      </c>
      <c r="W156" t="s">
        <v>8692</v>
      </c>
      <c r="X156">
        <v>1</v>
      </c>
      <c r="Y156">
        <v>1</v>
      </c>
      <c r="Z156"/>
      <c r="AB156" s="80">
        <f>ARTICULOS_LADIAR[[#This Row],[Costo]]*ARTICULOS_LADIAR[[#This Row],[Pedido]]</f>
        <v>0</v>
      </c>
      <c r="AD156"/>
      <c r="AH156" s="2" t="str">
        <f>IF(AND(ARTICULOS_LADIAR[[#This Row],[FechaVenc]]=0,ARTICULOS_LADIAR[[#This Row],[DiasVenc]]=0),"",ARTICULOS_LADIAR[[#This Row],[FechaVenc]]-ARTICULOS_LADIAR[[#This Row],[DiasVenc]])</f>
        <v/>
      </c>
      <c r="AK156"/>
      <c r="AM156"/>
      <c r="AO156" s="30" t="s">
        <v>8689</v>
      </c>
    </row>
    <row r="157" spans="1:41" x14ac:dyDescent="0.25">
      <c r="A157" s="1" t="s">
        <v>11402</v>
      </c>
      <c r="C157" t="str">
        <f t="shared" si="7"/>
        <v>KIO80140427</v>
      </c>
      <c r="D157" t="s">
        <v>8689</v>
      </c>
      <c r="E157" s="24" t="s">
        <v>9365</v>
      </c>
      <c r="F157" s="61">
        <v>3862.97</v>
      </c>
      <c r="G157" s="3">
        <v>10.5</v>
      </c>
      <c r="H157" s="4" t="s">
        <v>8690</v>
      </c>
      <c r="I157">
        <v>12</v>
      </c>
      <c r="J157" s="37">
        <f>ARTICULOS_LADIAR[[#This Row],[Bulto]]</f>
        <v>12</v>
      </c>
      <c r="K157" s="4"/>
      <c r="L157" s="66">
        <f>((ARTICULOS_LADIAR[[#This Row],[P. Compra]]*(1+ARTICULOS_LADIAR[[#This Row],[IVA]]%))/ARTICULOS_LADIAR[[#This Row],[UnidFact]])+ARTICULOS_LADIAR[[#This Row],[CostoFlete]]</f>
        <v>355.71515416666665</v>
      </c>
      <c r="M157">
        <v>35</v>
      </c>
      <c r="N157" s="68">
        <f>IF(L157&gt;=20,MROUND((L157*(1+(ARTICULOS_LADIAR[[#This Row],[IVA]]/100)))/(1-M157/100),50),20)</f>
        <v>600</v>
      </c>
      <c r="O157" s="3">
        <f>MROUND((ARTICULOS_LADIAR[[#This Row],[Precio]]/0.6),50)</f>
        <v>1000</v>
      </c>
      <c r="P157" t="s">
        <v>8693</v>
      </c>
      <c r="Q157">
        <v>6</v>
      </c>
      <c r="R157" s="3">
        <f>ARTICULOS_LADIAR[[#This Row],[Bulto]]+ARTICULOS_LADIAR[[#This Row],[Minimo]]</f>
        <v>18</v>
      </c>
      <c r="S157" t="s">
        <v>32</v>
      </c>
      <c r="T157" t="s">
        <v>27</v>
      </c>
      <c r="U157" t="s">
        <v>64</v>
      </c>
      <c r="V157" t="s">
        <v>9329</v>
      </c>
      <c r="W157" t="s">
        <v>8692</v>
      </c>
      <c r="X157">
        <v>1</v>
      </c>
      <c r="Y157">
        <v>14</v>
      </c>
      <c r="Z157"/>
      <c r="AB157" s="80">
        <f>ARTICULOS_LADIAR[[#This Row],[Costo]]*ARTICULOS_LADIAR[[#This Row],[Pedido]]</f>
        <v>0</v>
      </c>
      <c r="AD157"/>
      <c r="AH157" s="2" t="str">
        <f>IF(AND(ARTICULOS_LADIAR[[#This Row],[FechaVenc]]=0,ARTICULOS_LADIAR[[#This Row],[DiasVenc]]=0),"",ARTICULOS_LADIAR[[#This Row],[FechaVenc]]-ARTICULOS_LADIAR[[#This Row],[DiasVenc]])</f>
        <v/>
      </c>
      <c r="AK157"/>
      <c r="AM157"/>
      <c r="AO157" s="30" t="s">
        <v>8689</v>
      </c>
    </row>
    <row r="158" spans="1:41" x14ac:dyDescent="0.25">
      <c r="A158" s="24" t="s">
        <v>9366</v>
      </c>
      <c r="C158" t="str">
        <f t="shared" si="7"/>
        <v>KIO80140380</v>
      </c>
      <c r="D158" t="s">
        <v>8689</v>
      </c>
      <c r="E158" s="24" t="s">
        <v>9367</v>
      </c>
      <c r="F158" s="61">
        <f>F157</f>
        <v>3862.97</v>
      </c>
      <c r="G158" s="3">
        <v>10.5</v>
      </c>
      <c r="H158" s="31" t="s">
        <v>8690</v>
      </c>
      <c r="I158">
        <v>12</v>
      </c>
      <c r="J158" s="37">
        <f>ARTICULOS_LADIAR[[#This Row],[Bulto]]</f>
        <v>12</v>
      </c>
      <c r="K158" s="31"/>
      <c r="L158" s="66">
        <f>((ARTICULOS_LADIAR[[#This Row],[P. Compra]]*(1+ARTICULOS_LADIAR[[#This Row],[IVA]]%))/ARTICULOS_LADIAR[[#This Row],[UnidFact]])+ARTICULOS_LADIAR[[#This Row],[CostoFlete]]</f>
        <v>355.71515416666665</v>
      </c>
      <c r="M158">
        <v>35</v>
      </c>
      <c r="N158" s="68">
        <f>IF(L158&gt;=20,MROUND((L158*(1+(ARTICULOS_LADIAR[[#This Row],[IVA]]/100)))/(1-M158/100),50),20)</f>
        <v>600</v>
      </c>
      <c r="O158" s="3">
        <f>MROUND((ARTICULOS_LADIAR[[#This Row],[Precio]]/0.6),50)</f>
        <v>1000</v>
      </c>
      <c r="P158" t="s">
        <v>8693</v>
      </c>
      <c r="Q158">
        <v>6</v>
      </c>
      <c r="R158" s="23">
        <f>ARTICULOS_LADIAR[[#This Row],[Bulto]]+ARTICULOS_LADIAR[[#This Row],[Minimo]]</f>
        <v>18</v>
      </c>
      <c r="S158" t="s">
        <v>32</v>
      </c>
      <c r="T158" t="s">
        <v>27</v>
      </c>
      <c r="U158" t="s">
        <v>64</v>
      </c>
      <c r="V158" t="s">
        <v>9329</v>
      </c>
      <c r="W158" t="s">
        <v>8692</v>
      </c>
      <c r="X158">
        <v>1</v>
      </c>
      <c r="Y158">
        <v>8</v>
      </c>
      <c r="Z158"/>
      <c r="AB158" s="80">
        <f>ARTICULOS_LADIAR[[#This Row],[Costo]]*ARTICULOS_LADIAR[[#This Row],[Pedido]]</f>
        <v>0</v>
      </c>
      <c r="AD158"/>
      <c r="AH158" s="2" t="str">
        <f>IF(AND(ARTICULOS_LADIAR[[#This Row],[FechaVenc]]=0,ARTICULOS_LADIAR[[#This Row],[DiasVenc]]=0),"",ARTICULOS_LADIAR[[#This Row],[FechaVenc]]-ARTICULOS_LADIAR[[#This Row],[DiasVenc]])</f>
        <v/>
      </c>
      <c r="AK158"/>
      <c r="AM158"/>
      <c r="AO158" s="30" t="s">
        <v>8689</v>
      </c>
    </row>
    <row r="159" spans="1:41" x14ac:dyDescent="0.25">
      <c r="A159" s="1" t="s">
        <v>11807</v>
      </c>
      <c r="C159" t="str">
        <f t="shared" si="7"/>
        <v>KIO80140434</v>
      </c>
      <c r="D159" t="s">
        <v>8689</v>
      </c>
      <c r="E159" s="1" t="s">
        <v>9368</v>
      </c>
      <c r="F159" s="61">
        <v>776.38</v>
      </c>
      <c r="G159" s="3">
        <v>10.5</v>
      </c>
      <c r="H159" s="4" t="s">
        <v>8690</v>
      </c>
      <c r="I159">
        <v>1</v>
      </c>
      <c r="J159" s="37">
        <f>ARTICULOS_LADIAR[[#This Row],[Bulto]]</f>
        <v>1</v>
      </c>
      <c r="K159" s="4"/>
      <c r="L159" s="66">
        <f>((ARTICULOS_LADIAR[[#This Row],[P. Compra]]*(1+ARTICULOS_LADIAR[[#This Row],[IVA]]%))/ARTICULOS_LADIAR[[#This Row],[UnidFact]])+ARTICULOS_LADIAR[[#This Row],[CostoFlete]]</f>
        <v>857.8999</v>
      </c>
      <c r="M159">
        <v>35</v>
      </c>
      <c r="N159" s="68">
        <f>IF(L159&gt;=20,MROUND((L159*(1+(ARTICULOS_LADIAR[[#This Row],[IVA]]/100)))/(1-M159/100),50),20)</f>
        <v>1450</v>
      </c>
      <c r="O159" s="3">
        <f>MROUND((ARTICULOS_LADIAR[[#This Row],[Precio]]/0.6),50)</f>
        <v>2400</v>
      </c>
      <c r="P159" t="s">
        <v>8693</v>
      </c>
      <c r="Q159">
        <v>3</v>
      </c>
      <c r="R159" s="3">
        <f>ARTICULOS_LADIAR[[#This Row],[Bulto]]+ARTICULOS_LADIAR[[#This Row],[Minimo]]</f>
        <v>4</v>
      </c>
      <c r="S159" t="s">
        <v>32</v>
      </c>
      <c r="T159" t="s">
        <v>27</v>
      </c>
      <c r="U159" t="s">
        <v>64</v>
      </c>
      <c r="V159" t="s">
        <v>9329</v>
      </c>
      <c r="W159" t="s">
        <v>8692</v>
      </c>
      <c r="X159">
        <v>1</v>
      </c>
      <c r="Y159">
        <v>1</v>
      </c>
      <c r="Z159"/>
      <c r="AB159" s="80">
        <f>ARTICULOS_LADIAR[[#This Row],[Costo]]*ARTICULOS_LADIAR[[#This Row],[Pedido]]</f>
        <v>0</v>
      </c>
      <c r="AD159"/>
      <c r="AH159" s="2" t="str">
        <f>IF(AND(ARTICULOS_LADIAR[[#This Row],[FechaVenc]]=0,ARTICULOS_LADIAR[[#This Row],[DiasVenc]]=0),"",ARTICULOS_LADIAR[[#This Row],[FechaVenc]]-ARTICULOS_LADIAR[[#This Row],[DiasVenc]])</f>
        <v/>
      </c>
      <c r="AK159"/>
      <c r="AM159"/>
      <c r="AO159" s="30" t="s">
        <v>8689</v>
      </c>
    </row>
    <row r="160" spans="1:41" x14ac:dyDescent="0.25">
      <c r="A160" s="24" t="s">
        <v>9369</v>
      </c>
      <c r="C160" t="str">
        <f t="shared" si="7"/>
        <v>KIO80141660</v>
      </c>
      <c r="D160" t="s">
        <v>8689</v>
      </c>
      <c r="E160" s="24" t="s">
        <v>9370</v>
      </c>
      <c r="F160" s="61">
        <f>F159</f>
        <v>776.38</v>
      </c>
      <c r="G160" s="3">
        <v>10.5</v>
      </c>
      <c r="H160" s="31" t="s">
        <v>8690</v>
      </c>
      <c r="I160">
        <v>1</v>
      </c>
      <c r="J160" s="37">
        <f>ARTICULOS_LADIAR[[#This Row],[Bulto]]</f>
        <v>1</v>
      </c>
      <c r="K160" s="31"/>
      <c r="L160" s="66">
        <f>((ARTICULOS_LADIAR[[#This Row],[P. Compra]]*(1+ARTICULOS_LADIAR[[#This Row],[IVA]]%))/ARTICULOS_LADIAR[[#This Row],[UnidFact]])+ARTICULOS_LADIAR[[#This Row],[CostoFlete]]</f>
        <v>857.8999</v>
      </c>
      <c r="M160">
        <v>35</v>
      </c>
      <c r="N160" s="68">
        <f>IF(L160&gt;=20,MROUND((L160*(1+(ARTICULOS_LADIAR[[#This Row],[IVA]]/100)))/(1-M160/100),50),20)</f>
        <v>1450</v>
      </c>
      <c r="O160" s="3">
        <f>MROUND((ARTICULOS_LADIAR[[#This Row],[Precio]]/0.6),50)</f>
        <v>2400</v>
      </c>
      <c r="P160" t="s">
        <v>8693</v>
      </c>
      <c r="Q160">
        <v>3</v>
      </c>
      <c r="R160" s="23">
        <f>ARTICULOS_LADIAR[[#This Row],[Bulto]]+ARTICULOS_LADIAR[[#This Row],[Minimo]]</f>
        <v>4</v>
      </c>
      <c r="S160" t="s">
        <v>32</v>
      </c>
      <c r="T160" t="s">
        <v>27</v>
      </c>
      <c r="U160" t="s">
        <v>64</v>
      </c>
      <c r="V160" t="s">
        <v>9329</v>
      </c>
      <c r="W160" t="s">
        <v>8692</v>
      </c>
      <c r="X160">
        <v>1</v>
      </c>
      <c r="Y160">
        <v>3</v>
      </c>
      <c r="Z160"/>
      <c r="AB160" s="80">
        <f>ARTICULOS_LADIAR[[#This Row],[Costo]]*ARTICULOS_LADIAR[[#This Row],[Pedido]]</f>
        <v>0</v>
      </c>
      <c r="AD160"/>
      <c r="AH160" s="2" t="str">
        <f>IF(AND(ARTICULOS_LADIAR[[#This Row],[FechaVenc]]=0,ARTICULOS_LADIAR[[#This Row],[DiasVenc]]=0),"",ARTICULOS_LADIAR[[#This Row],[FechaVenc]]-ARTICULOS_LADIAR[[#This Row],[DiasVenc]])</f>
        <v/>
      </c>
      <c r="AK160"/>
      <c r="AM160"/>
      <c r="AO160" s="30" t="s">
        <v>8689</v>
      </c>
    </row>
    <row r="161" spans="1:41" x14ac:dyDescent="0.25">
      <c r="A161" s="1" t="s">
        <v>9371</v>
      </c>
      <c r="C161" t="str">
        <f t="shared" si="7"/>
        <v>KIO80230111</v>
      </c>
      <c r="D161" t="s">
        <v>8689</v>
      </c>
      <c r="E161" s="1" t="s">
        <v>9372</v>
      </c>
      <c r="F161" s="61">
        <v>3994.33</v>
      </c>
      <c r="G161" s="3">
        <v>10.5</v>
      </c>
      <c r="H161" s="4" t="s">
        <v>8690</v>
      </c>
      <c r="I161">
        <v>12</v>
      </c>
      <c r="J161" s="37">
        <f>ARTICULOS_LADIAR[[#This Row],[Bulto]]</f>
        <v>12</v>
      </c>
      <c r="K161" s="4"/>
      <c r="L161" s="66">
        <f>((ARTICULOS_LADIAR[[#This Row],[P. Compra]]*(1+ARTICULOS_LADIAR[[#This Row],[IVA]]%))/ARTICULOS_LADIAR[[#This Row],[UnidFact]])+ARTICULOS_LADIAR[[#This Row],[CostoFlete]]</f>
        <v>367.81122083333327</v>
      </c>
      <c r="M161">
        <v>35</v>
      </c>
      <c r="N161" s="68">
        <f>IF(L161&gt;=20,MROUND((L161*(1+(ARTICULOS_LADIAR[[#This Row],[IVA]]/100)))/(1-M161/100),50),20)</f>
        <v>650</v>
      </c>
      <c r="O161" s="3">
        <f>MROUND((ARTICULOS_LADIAR[[#This Row],[Precio]]/0.6),50)</f>
        <v>1100</v>
      </c>
      <c r="P161" t="s">
        <v>8693</v>
      </c>
      <c r="Q161">
        <v>2</v>
      </c>
      <c r="R161" s="3">
        <f>ARTICULOS_LADIAR[[#This Row],[Bulto]]+ARTICULOS_LADIAR[[#This Row],[Minimo]]</f>
        <v>14</v>
      </c>
      <c r="S161" t="s">
        <v>32</v>
      </c>
      <c r="T161" t="s">
        <v>27</v>
      </c>
      <c r="U161" t="s">
        <v>64</v>
      </c>
      <c r="V161" t="s">
        <v>9329</v>
      </c>
      <c r="W161" t="s">
        <v>8692</v>
      </c>
      <c r="X161">
        <v>1</v>
      </c>
      <c r="Y161">
        <v>0</v>
      </c>
      <c r="Z161"/>
      <c r="AB161" s="80">
        <f>ARTICULOS_LADIAR[[#This Row],[Costo]]*ARTICULOS_LADIAR[[#This Row],[Pedido]]</f>
        <v>0</v>
      </c>
      <c r="AD161"/>
      <c r="AH161" s="2" t="str">
        <f>IF(AND(ARTICULOS_LADIAR[[#This Row],[FechaVenc]]=0,ARTICULOS_LADIAR[[#This Row],[DiasVenc]]=0),"",ARTICULOS_LADIAR[[#This Row],[FechaVenc]]-ARTICULOS_LADIAR[[#This Row],[DiasVenc]])</f>
        <v/>
      </c>
      <c r="AK161"/>
      <c r="AM161"/>
      <c r="AO161" s="30" t="s">
        <v>8689</v>
      </c>
    </row>
    <row r="162" spans="1:41" x14ac:dyDescent="0.25">
      <c r="A162" s="1" t="s">
        <v>9244</v>
      </c>
      <c r="C162" t="str">
        <f t="shared" si="7"/>
        <v>KIO80141707</v>
      </c>
      <c r="D162" t="s">
        <v>8689</v>
      </c>
      <c r="E162" s="1" t="s">
        <v>9245</v>
      </c>
      <c r="F162" s="61">
        <v>1200</v>
      </c>
      <c r="G162" s="3">
        <v>10.5</v>
      </c>
      <c r="H162" s="4" t="s">
        <v>8690</v>
      </c>
      <c r="I162">
        <v>1</v>
      </c>
      <c r="J162" s="37">
        <f>ARTICULOS_LADIAR[[#This Row],[Bulto]]</f>
        <v>1</v>
      </c>
      <c r="K162" s="4"/>
      <c r="L162" s="66">
        <f>((ARTICULOS_LADIAR[[#This Row],[P. Compra]]*(1+ARTICULOS_LADIAR[[#This Row],[IVA]]%))/ARTICULOS_LADIAR[[#This Row],[UnidFact]])+ARTICULOS_LADIAR[[#This Row],[CostoFlete]]</f>
        <v>1326</v>
      </c>
      <c r="M162">
        <v>35</v>
      </c>
      <c r="N162" s="68">
        <f>IF(L162&gt;=20,MROUND((L162*(1+(ARTICULOS_LADIAR[[#This Row],[IVA]]/100)))/(1-M162/100),50),20)</f>
        <v>2250</v>
      </c>
      <c r="O162" s="3">
        <f>MROUND((ARTICULOS_LADIAR[[#This Row],[Precio]]/0.6),50)</f>
        <v>3750</v>
      </c>
      <c r="P162" t="s">
        <v>8693</v>
      </c>
      <c r="Q162">
        <v>2</v>
      </c>
      <c r="R162" s="23">
        <f>ARTICULOS_LADIAR[[#This Row],[Bulto]]+ARTICULOS_LADIAR[[#This Row],[Minimo]]</f>
        <v>3</v>
      </c>
      <c r="S162" t="s">
        <v>70</v>
      </c>
      <c r="T162" t="s">
        <v>27</v>
      </c>
      <c r="U162" t="s">
        <v>86</v>
      </c>
      <c r="V162" t="s">
        <v>9173</v>
      </c>
      <c r="W162" t="s">
        <v>8692</v>
      </c>
      <c r="X162">
        <v>1</v>
      </c>
      <c r="Y162">
        <v>3</v>
      </c>
      <c r="Z162"/>
      <c r="AB162" s="80">
        <f>ARTICULOS_LADIAR[[#This Row],[Costo]]*ARTICULOS_LADIAR[[#This Row],[Pedido]]</f>
        <v>0</v>
      </c>
      <c r="AD162"/>
      <c r="AH162" s="2" t="str">
        <f>IF(AND(ARTICULOS_LADIAR[[#This Row],[FechaVenc]]=0,ARTICULOS_LADIAR[[#This Row],[DiasVenc]]=0),"",ARTICULOS_LADIAR[[#This Row],[FechaVenc]]-ARTICULOS_LADIAR[[#This Row],[DiasVenc]])</f>
        <v/>
      </c>
      <c r="AK162"/>
      <c r="AM162"/>
      <c r="AO162" s="30" t="s">
        <v>8689</v>
      </c>
    </row>
    <row r="163" spans="1:41" x14ac:dyDescent="0.25">
      <c r="A163" s="1" t="s">
        <v>9249</v>
      </c>
      <c r="B163" s="1" t="s">
        <v>9250</v>
      </c>
      <c r="C163" t="str">
        <f t="shared" si="7"/>
        <v>KIO80415808</v>
      </c>
      <c r="D163" t="s">
        <v>8689</v>
      </c>
      <c r="E163" s="1" t="s">
        <v>9251</v>
      </c>
      <c r="F163" s="61">
        <v>1200</v>
      </c>
      <c r="G163" s="3">
        <v>10.5</v>
      </c>
      <c r="H163" s="4" t="s">
        <v>8690</v>
      </c>
      <c r="I163">
        <v>1</v>
      </c>
      <c r="J163" s="37">
        <f>ARTICULOS_LADIAR[[#This Row],[Bulto]]</f>
        <v>1</v>
      </c>
      <c r="K163" s="4"/>
      <c r="L163" s="66">
        <f>((ARTICULOS_LADIAR[[#This Row],[P. Compra]]*(1+ARTICULOS_LADIAR[[#This Row],[IVA]]%))/ARTICULOS_LADIAR[[#This Row],[UnidFact]])+ARTICULOS_LADIAR[[#This Row],[CostoFlete]]</f>
        <v>1326</v>
      </c>
      <c r="M163">
        <v>35</v>
      </c>
      <c r="N163" s="68">
        <f>IF(L163&gt;=20,MROUND((L163*(1+(ARTICULOS_LADIAR[[#This Row],[IVA]]/100)))/(1-M163/100),50),20)</f>
        <v>2250</v>
      </c>
      <c r="O163" s="3">
        <f>MROUND((ARTICULOS_LADIAR[[#This Row],[Precio]]/0.6),50)</f>
        <v>3750</v>
      </c>
      <c r="P163" t="s">
        <v>8693</v>
      </c>
      <c r="Q163">
        <v>2</v>
      </c>
      <c r="R163" s="23">
        <f>ARTICULOS_LADIAR[[#This Row],[Bulto]]+ARTICULOS_LADIAR[[#This Row],[Minimo]]</f>
        <v>3</v>
      </c>
      <c r="S163" t="s">
        <v>70</v>
      </c>
      <c r="T163" t="s">
        <v>27</v>
      </c>
      <c r="U163" t="s">
        <v>86</v>
      </c>
      <c r="V163" t="s">
        <v>9248</v>
      </c>
      <c r="W163" t="s">
        <v>8692</v>
      </c>
      <c r="X163">
        <v>1</v>
      </c>
      <c r="Y163">
        <v>1</v>
      </c>
      <c r="Z163"/>
      <c r="AB163" s="80">
        <f>ARTICULOS_LADIAR[[#This Row],[Costo]]*ARTICULOS_LADIAR[[#This Row],[Pedido]]</f>
        <v>0</v>
      </c>
      <c r="AD163"/>
      <c r="AH163" s="2" t="str">
        <f>IF(AND(ARTICULOS_LADIAR[[#This Row],[FechaVenc]]=0,ARTICULOS_LADIAR[[#This Row],[DiasVenc]]=0),"",ARTICULOS_LADIAR[[#This Row],[FechaVenc]]-ARTICULOS_LADIAR[[#This Row],[DiasVenc]])</f>
        <v/>
      </c>
      <c r="AK163"/>
      <c r="AM163"/>
      <c r="AO163" s="30" t="s">
        <v>8689</v>
      </c>
    </row>
    <row r="164" spans="1:41" x14ac:dyDescent="0.25">
      <c r="A164" s="1" t="s">
        <v>9252</v>
      </c>
      <c r="C164" t="str">
        <f t="shared" si="7"/>
        <v>KIO80118235</v>
      </c>
      <c r="D164" t="s">
        <v>8689</v>
      </c>
      <c r="E164" s="1" t="s">
        <v>9253</v>
      </c>
      <c r="F164" s="61">
        <v>1200</v>
      </c>
      <c r="G164" s="3">
        <v>10.5</v>
      </c>
      <c r="H164" s="4" t="s">
        <v>8690</v>
      </c>
      <c r="I164">
        <v>1</v>
      </c>
      <c r="J164" s="37">
        <f>ARTICULOS_LADIAR[[#This Row],[Bulto]]</f>
        <v>1</v>
      </c>
      <c r="K164" s="4"/>
      <c r="L164" s="66">
        <f>((ARTICULOS_LADIAR[[#This Row],[P. Compra]]*(1+ARTICULOS_LADIAR[[#This Row],[IVA]]%))/ARTICULOS_LADIAR[[#This Row],[UnidFact]])+ARTICULOS_LADIAR[[#This Row],[CostoFlete]]</f>
        <v>1326</v>
      </c>
      <c r="M164">
        <v>35</v>
      </c>
      <c r="N164" s="68">
        <f>IF(L164&gt;=20,MROUND((L164*(1+(ARTICULOS_LADIAR[[#This Row],[IVA]]/100)))/(1-M164/100),50),20)</f>
        <v>2250</v>
      </c>
      <c r="O164" s="3">
        <f>MROUND((ARTICULOS_LADIAR[[#This Row],[Precio]]/0.6),50)</f>
        <v>3750</v>
      </c>
      <c r="P164" t="s">
        <v>8693</v>
      </c>
      <c r="Q164">
        <v>2</v>
      </c>
      <c r="R164" s="23">
        <f>ARTICULOS_LADIAR[[#This Row],[Bulto]]+ARTICULOS_LADIAR[[#This Row],[Minimo]]</f>
        <v>3</v>
      </c>
      <c r="S164" t="s">
        <v>70</v>
      </c>
      <c r="T164" t="s">
        <v>27</v>
      </c>
      <c r="U164" t="s">
        <v>86</v>
      </c>
      <c r="V164" t="s">
        <v>9248</v>
      </c>
      <c r="W164" t="s">
        <v>8692</v>
      </c>
      <c r="X164">
        <v>1</v>
      </c>
      <c r="Y164">
        <v>2</v>
      </c>
      <c r="Z164"/>
      <c r="AB164" s="80">
        <f>ARTICULOS_LADIAR[[#This Row],[Costo]]*ARTICULOS_LADIAR[[#This Row],[Pedido]]</f>
        <v>0</v>
      </c>
      <c r="AD164"/>
      <c r="AH164" s="2" t="str">
        <f>IF(AND(ARTICULOS_LADIAR[[#This Row],[FechaVenc]]=0,ARTICULOS_LADIAR[[#This Row],[DiasVenc]]=0),"",ARTICULOS_LADIAR[[#This Row],[FechaVenc]]-ARTICULOS_LADIAR[[#This Row],[DiasVenc]])</f>
        <v/>
      </c>
      <c r="AK164"/>
      <c r="AM164"/>
      <c r="AO164" s="30" t="s">
        <v>8689</v>
      </c>
    </row>
    <row r="165" spans="1:41" x14ac:dyDescent="0.25">
      <c r="A165" s="1" t="s">
        <v>9264</v>
      </c>
      <c r="C165" t="str">
        <f t="shared" si="7"/>
        <v>KIO80423001</v>
      </c>
      <c r="D165" t="s">
        <v>8689</v>
      </c>
      <c r="E165" s="1" t="s">
        <v>9265</v>
      </c>
      <c r="F165" s="61">
        <v>1200</v>
      </c>
      <c r="G165" s="3">
        <v>10.5</v>
      </c>
      <c r="H165" s="4" t="s">
        <v>8690</v>
      </c>
      <c r="I165">
        <v>1</v>
      </c>
      <c r="J165" s="37">
        <f>ARTICULOS_LADIAR[[#This Row],[Bulto]]</f>
        <v>1</v>
      </c>
      <c r="K165" s="4"/>
      <c r="L165" s="66">
        <f>((ARTICULOS_LADIAR[[#This Row],[P. Compra]]*(1+ARTICULOS_LADIAR[[#This Row],[IVA]]%))/ARTICULOS_LADIAR[[#This Row],[UnidFact]])+ARTICULOS_LADIAR[[#This Row],[CostoFlete]]</f>
        <v>1326</v>
      </c>
      <c r="M165">
        <v>35</v>
      </c>
      <c r="N165" s="68">
        <f>IF(L165&gt;=20,MROUND((L165*(1+(ARTICULOS_LADIAR[[#This Row],[IVA]]/100)))/(1-M165/100),50),20)</f>
        <v>2250</v>
      </c>
      <c r="O165" s="3">
        <f>MROUND((ARTICULOS_LADIAR[[#This Row],[Precio]]/0.6),50)</f>
        <v>3750</v>
      </c>
      <c r="P165" t="s">
        <v>8693</v>
      </c>
      <c r="Q165">
        <v>2</v>
      </c>
      <c r="R165" s="23">
        <f>ARTICULOS_LADIAR[[#This Row],[Bulto]]+ARTICULOS_LADIAR[[#This Row],[Minimo]]</f>
        <v>3</v>
      </c>
      <c r="S165" t="s">
        <v>70</v>
      </c>
      <c r="T165" t="s">
        <v>27</v>
      </c>
      <c r="U165" t="s">
        <v>86</v>
      </c>
      <c r="V165" t="s">
        <v>9248</v>
      </c>
      <c r="W165" t="s">
        <v>8692</v>
      </c>
      <c r="X165">
        <v>1</v>
      </c>
      <c r="Y165">
        <v>1</v>
      </c>
      <c r="Z165"/>
      <c r="AB165" s="80">
        <f>ARTICULOS_LADIAR[[#This Row],[Costo]]*ARTICULOS_LADIAR[[#This Row],[Pedido]]</f>
        <v>0</v>
      </c>
      <c r="AD165"/>
      <c r="AH165" s="2" t="str">
        <f>IF(AND(ARTICULOS_LADIAR[[#This Row],[FechaVenc]]=0,ARTICULOS_LADIAR[[#This Row],[DiasVenc]]=0),"",ARTICULOS_LADIAR[[#This Row],[FechaVenc]]-ARTICULOS_LADIAR[[#This Row],[DiasVenc]])</f>
        <v/>
      </c>
      <c r="AK165"/>
      <c r="AM165"/>
      <c r="AO165" s="30" t="s">
        <v>8689</v>
      </c>
    </row>
    <row r="166" spans="1:41" x14ac:dyDescent="0.25">
      <c r="A166" s="1" t="s">
        <v>9266</v>
      </c>
      <c r="B166" s="1" t="s">
        <v>9267</v>
      </c>
      <c r="C166" t="str">
        <f t="shared" si="7"/>
        <v>KIO80418106</v>
      </c>
      <c r="D166" t="s">
        <v>8689</v>
      </c>
      <c r="E166" s="1" t="s">
        <v>9268</v>
      </c>
      <c r="F166" s="61">
        <v>1200</v>
      </c>
      <c r="G166" s="3">
        <v>10.5</v>
      </c>
      <c r="H166" s="4" t="s">
        <v>8690</v>
      </c>
      <c r="I166">
        <v>1</v>
      </c>
      <c r="J166" s="37">
        <f>ARTICULOS_LADIAR[[#This Row],[Bulto]]</f>
        <v>1</v>
      </c>
      <c r="K166" s="4"/>
      <c r="L166" s="66">
        <f>((ARTICULOS_LADIAR[[#This Row],[P. Compra]]*(1+ARTICULOS_LADIAR[[#This Row],[IVA]]%))/ARTICULOS_LADIAR[[#This Row],[UnidFact]])+ARTICULOS_LADIAR[[#This Row],[CostoFlete]]</f>
        <v>1326</v>
      </c>
      <c r="M166">
        <v>35</v>
      </c>
      <c r="N166" s="68">
        <f>IF(L166&gt;=20,MROUND((L166*(1+(ARTICULOS_LADIAR[[#This Row],[IVA]]/100)))/(1-M166/100),50),20)</f>
        <v>2250</v>
      </c>
      <c r="O166" s="3">
        <f>MROUND((ARTICULOS_LADIAR[[#This Row],[Precio]]/0.6),50)</f>
        <v>3750</v>
      </c>
      <c r="P166" t="s">
        <v>8693</v>
      </c>
      <c r="Q166">
        <v>2</v>
      </c>
      <c r="R166" s="23">
        <f>ARTICULOS_LADIAR[[#This Row],[Bulto]]+ARTICULOS_LADIAR[[#This Row],[Minimo]]</f>
        <v>3</v>
      </c>
      <c r="S166" t="s">
        <v>70</v>
      </c>
      <c r="T166" t="s">
        <v>27</v>
      </c>
      <c r="U166" t="s">
        <v>86</v>
      </c>
      <c r="V166" t="s">
        <v>9248</v>
      </c>
      <c r="W166" t="s">
        <v>8692</v>
      </c>
      <c r="X166">
        <v>1</v>
      </c>
      <c r="Y166">
        <v>2</v>
      </c>
      <c r="Z166"/>
      <c r="AB166" s="80">
        <f>ARTICULOS_LADIAR[[#This Row],[Costo]]*ARTICULOS_LADIAR[[#This Row],[Pedido]]</f>
        <v>0</v>
      </c>
      <c r="AD166"/>
      <c r="AH166" s="2" t="str">
        <f>IF(AND(ARTICULOS_LADIAR[[#This Row],[FechaVenc]]=0,ARTICULOS_LADIAR[[#This Row],[DiasVenc]]=0),"",ARTICULOS_LADIAR[[#This Row],[FechaVenc]]-ARTICULOS_LADIAR[[#This Row],[DiasVenc]])</f>
        <v/>
      </c>
      <c r="AK166"/>
      <c r="AM166"/>
      <c r="AO166" s="30" t="s">
        <v>8689</v>
      </c>
    </row>
    <row r="167" spans="1:41" x14ac:dyDescent="0.25">
      <c r="A167" s="1" t="s">
        <v>9373</v>
      </c>
      <c r="C167" t="str">
        <f t="shared" si="7"/>
        <v>KIO77916525</v>
      </c>
      <c r="D167" t="s">
        <v>8689</v>
      </c>
      <c r="E167" s="1" t="s">
        <v>11398</v>
      </c>
      <c r="F167" s="61">
        <v>391.05</v>
      </c>
      <c r="G167" s="3">
        <v>10.5</v>
      </c>
      <c r="H167" s="4" t="s">
        <v>8690</v>
      </c>
      <c r="I167">
        <v>10</v>
      </c>
      <c r="J167" s="37">
        <v>1</v>
      </c>
      <c r="K167" s="4"/>
      <c r="L167" s="66">
        <f>((ARTICULOS_LADIAR[[#This Row],[P. Compra]]*(1+ARTICULOS_LADIAR[[#This Row],[IVA]]%))/ARTICULOS_LADIAR[[#This Row],[UnidFact]])+ARTICULOS_LADIAR[[#This Row],[CostoFlete]]</f>
        <v>432.11025000000001</v>
      </c>
      <c r="M167">
        <v>40</v>
      </c>
      <c r="N167" s="68">
        <f>IF(L167&gt;=20,MROUND((L167*(1+(ARTICULOS_LADIAR[[#This Row],[IVA]]/100)))/(1-M167/100),50),20)</f>
        <v>800</v>
      </c>
      <c r="O167" s="3">
        <f>MROUND((ARTICULOS_LADIAR[[#This Row],[Precio]]/0.6),50)</f>
        <v>1350</v>
      </c>
      <c r="P167" t="s">
        <v>8693</v>
      </c>
      <c r="Q167">
        <v>2</v>
      </c>
      <c r="R167" s="3">
        <f>ARTICULOS_LADIAR[[#This Row],[Bulto]]+ARTICULOS_LADIAR[[#This Row],[Minimo]]</f>
        <v>12</v>
      </c>
      <c r="S167" t="s">
        <v>32</v>
      </c>
      <c r="T167" t="s">
        <v>27</v>
      </c>
      <c r="U167" t="s">
        <v>88</v>
      </c>
      <c r="V167" t="s">
        <v>9374</v>
      </c>
      <c r="W167" t="s">
        <v>8692</v>
      </c>
      <c r="X167">
        <v>1</v>
      </c>
      <c r="Y167">
        <v>0</v>
      </c>
      <c r="Z167"/>
      <c r="AB167" s="80">
        <f>ARTICULOS_LADIAR[[#This Row],[Costo]]*ARTICULOS_LADIAR[[#This Row],[Pedido]]</f>
        <v>0</v>
      </c>
      <c r="AD167"/>
      <c r="AH167" s="2" t="str">
        <f>IF(AND(ARTICULOS_LADIAR[[#This Row],[FechaVenc]]=0,ARTICULOS_LADIAR[[#This Row],[DiasVenc]]=0),"",ARTICULOS_LADIAR[[#This Row],[FechaVenc]]-ARTICULOS_LADIAR[[#This Row],[DiasVenc]])</f>
        <v/>
      </c>
      <c r="AK167"/>
      <c r="AM167"/>
      <c r="AO167" s="30" t="s">
        <v>8689</v>
      </c>
    </row>
    <row r="168" spans="1:41" x14ac:dyDescent="0.25">
      <c r="A168" s="1" t="s">
        <v>9376</v>
      </c>
      <c r="C168" t="str">
        <f t="shared" si="7"/>
        <v>KIO77915818</v>
      </c>
      <c r="D168" t="s">
        <v>8689</v>
      </c>
      <c r="E168" s="1" t="s">
        <v>9377</v>
      </c>
      <c r="F168" s="61">
        <f t="shared" ref="F168:F174" si="10">F167</f>
        <v>391.05</v>
      </c>
      <c r="G168" s="3">
        <v>10.5</v>
      </c>
      <c r="H168" s="4" t="s">
        <v>8690</v>
      </c>
      <c r="I168">
        <v>10</v>
      </c>
      <c r="J168" s="37">
        <v>1</v>
      </c>
      <c r="K168" s="4"/>
      <c r="L168" s="66">
        <f>((ARTICULOS_LADIAR[[#This Row],[P. Compra]]*(1+ARTICULOS_LADIAR[[#This Row],[IVA]]%))/ARTICULOS_LADIAR[[#This Row],[UnidFact]])+ARTICULOS_LADIAR[[#This Row],[CostoFlete]]</f>
        <v>432.11025000000001</v>
      </c>
      <c r="M168">
        <v>40</v>
      </c>
      <c r="N168" s="68">
        <f>IF(L168&gt;=20,MROUND((L168*(1+(ARTICULOS_LADIAR[[#This Row],[IVA]]/100)))/(1-M168/100),50),20)</f>
        <v>800</v>
      </c>
      <c r="O168" s="3">
        <f>MROUND((ARTICULOS_LADIAR[[#This Row],[Precio]]/0.6),50)</f>
        <v>1350</v>
      </c>
      <c r="P168" t="s">
        <v>8693</v>
      </c>
      <c r="Q168">
        <v>4</v>
      </c>
      <c r="R168" s="3">
        <f>ARTICULOS_LADIAR[[#This Row],[Bulto]]+ARTICULOS_LADIAR[[#This Row],[Minimo]]</f>
        <v>14</v>
      </c>
      <c r="S168" t="s">
        <v>32</v>
      </c>
      <c r="T168" t="s">
        <v>27</v>
      </c>
      <c r="U168" t="s">
        <v>88</v>
      </c>
      <c r="V168" t="s">
        <v>9374</v>
      </c>
      <c r="W168" t="s">
        <v>8692</v>
      </c>
      <c r="X168">
        <v>1</v>
      </c>
      <c r="Y168">
        <v>0</v>
      </c>
      <c r="Z168"/>
      <c r="AB168" s="80">
        <f>ARTICULOS_LADIAR[[#This Row],[Costo]]*ARTICULOS_LADIAR[[#This Row],[Pedido]]</f>
        <v>0</v>
      </c>
      <c r="AD168"/>
      <c r="AH168" s="2" t="str">
        <f>IF(AND(ARTICULOS_LADIAR[[#This Row],[FechaVenc]]=0,ARTICULOS_LADIAR[[#This Row],[DiasVenc]]=0),"",ARTICULOS_LADIAR[[#This Row],[FechaVenc]]-ARTICULOS_LADIAR[[#This Row],[DiasVenc]])</f>
        <v/>
      </c>
      <c r="AK168"/>
      <c r="AM168"/>
      <c r="AO168" s="30" t="s">
        <v>8689</v>
      </c>
    </row>
    <row r="169" spans="1:41" x14ac:dyDescent="0.25">
      <c r="A169" s="1" t="s">
        <v>9378</v>
      </c>
      <c r="C169" t="str">
        <f t="shared" si="7"/>
        <v>KIO40258211</v>
      </c>
      <c r="D169" t="s">
        <v>8689</v>
      </c>
      <c r="E169" s="24" t="s">
        <v>9379</v>
      </c>
      <c r="F169" s="61">
        <f t="shared" si="10"/>
        <v>391.05</v>
      </c>
      <c r="G169" s="3">
        <v>10.5</v>
      </c>
      <c r="H169" s="4" t="s">
        <v>8690</v>
      </c>
      <c r="I169">
        <v>10</v>
      </c>
      <c r="J169" s="37">
        <v>1</v>
      </c>
      <c r="K169" s="4"/>
      <c r="L169" s="66">
        <f>((ARTICULOS_LADIAR[[#This Row],[P. Compra]]*(1+ARTICULOS_LADIAR[[#This Row],[IVA]]%))/ARTICULOS_LADIAR[[#This Row],[UnidFact]])+ARTICULOS_LADIAR[[#This Row],[CostoFlete]]</f>
        <v>432.11025000000001</v>
      </c>
      <c r="M169">
        <v>40</v>
      </c>
      <c r="N169" s="68">
        <f>IF(L169&gt;=20,MROUND((L169*(1+(ARTICULOS_LADIAR[[#This Row],[IVA]]/100)))/(1-M169/100),50),20)</f>
        <v>800</v>
      </c>
      <c r="O169" s="3">
        <f>MROUND((ARTICULOS_LADIAR[[#This Row],[Precio]]/0.6),50)</f>
        <v>1350</v>
      </c>
      <c r="P169" t="s">
        <v>8693</v>
      </c>
      <c r="Q169">
        <v>1</v>
      </c>
      <c r="R169" s="3">
        <f>ARTICULOS_LADIAR[[#This Row],[Bulto]]+ARTICULOS_LADIAR[[#This Row],[Minimo]]</f>
        <v>11</v>
      </c>
      <c r="S169" t="s">
        <v>32</v>
      </c>
      <c r="T169" t="s">
        <v>27</v>
      </c>
      <c r="U169" t="s">
        <v>88</v>
      </c>
      <c r="V169" t="s">
        <v>9374</v>
      </c>
      <c r="W169" t="s">
        <v>8692</v>
      </c>
      <c r="X169">
        <v>1</v>
      </c>
      <c r="Y169">
        <v>2</v>
      </c>
      <c r="Z169"/>
      <c r="AB169" s="80">
        <f>ARTICULOS_LADIAR[[#This Row],[Costo]]*ARTICULOS_LADIAR[[#This Row],[Pedido]]</f>
        <v>0</v>
      </c>
      <c r="AD169"/>
      <c r="AH169" s="2" t="str">
        <f>IF(AND(ARTICULOS_LADIAR[[#This Row],[FechaVenc]]=0,ARTICULOS_LADIAR[[#This Row],[DiasVenc]]=0),"",ARTICULOS_LADIAR[[#This Row],[FechaVenc]]-ARTICULOS_LADIAR[[#This Row],[DiasVenc]])</f>
        <v/>
      </c>
      <c r="AK169"/>
      <c r="AM169"/>
      <c r="AO169" s="30" t="s">
        <v>8689</v>
      </c>
    </row>
    <row r="170" spans="1:41" x14ac:dyDescent="0.25">
      <c r="A170" s="1" t="s">
        <v>9380</v>
      </c>
      <c r="C170" t="str">
        <f t="shared" si="7"/>
        <v>KIO40258013</v>
      </c>
      <c r="D170" t="s">
        <v>8689</v>
      </c>
      <c r="E170" s="24" t="s">
        <v>9381</v>
      </c>
      <c r="F170" s="61">
        <f t="shared" si="10"/>
        <v>391.05</v>
      </c>
      <c r="G170" s="3">
        <v>10.5</v>
      </c>
      <c r="H170" s="4" t="s">
        <v>8690</v>
      </c>
      <c r="I170">
        <v>10</v>
      </c>
      <c r="J170" s="37">
        <v>1</v>
      </c>
      <c r="K170" s="4"/>
      <c r="L170" s="66">
        <f>((ARTICULOS_LADIAR[[#This Row],[P. Compra]]*(1+ARTICULOS_LADIAR[[#This Row],[IVA]]%))/ARTICULOS_LADIAR[[#This Row],[UnidFact]])+ARTICULOS_LADIAR[[#This Row],[CostoFlete]]</f>
        <v>432.11025000000001</v>
      </c>
      <c r="M170">
        <v>40</v>
      </c>
      <c r="N170" s="68">
        <f>IF(L170&gt;=20,MROUND((L170*(1+(ARTICULOS_LADIAR[[#This Row],[IVA]]/100)))/(1-M170/100),50),20)</f>
        <v>800</v>
      </c>
      <c r="O170" s="3">
        <f>MROUND((ARTICULOS_LADIAR[[#This Row],[Precio]]/0.6),50)</f>
        <v>1350</v>
      </c>
      <c r="P170" t="s">
        <v>8693</v>
      </c>
      <c r="Q170">
        <v>2</v>
      </c>
      <c r="R170" s="3">
        <f>ARTICULOS_LADIAR[[#This Row],[Bulto]]+ARTICULOS_LADIAR[[#This Row],[Minimo]]</f>
        <v>12</v>
      </c>
      <c r="S170" t="s">
        <v>32</v>
      </c>
      <c r="T170" t="s">
        <v>27</v>
      </c>
      <c r="U170" t="s">
        <v>88</v>
      </c>
      <c r="V170" t="s">
        <v>9374</v>
      </c>
      <c r="W170" t="s">
        <v>8692</v>
      </c>
      <c r="X170">
        <v>1</v>
      </c>
      <c r="Y170">
        <v>0</v>
      </c>
      <c r="Z170"/>
      <c r="AB170" s="80">
        <f>ARTICULOS_LADIAR[[#This Row],[Costo]]*ARTICULOS_LADIAR[[#This Row],[Pedido]]</f>
        <v>0</v>
      </c>
      <c r="AD170"/>
      <c r="AH170" s="2" t="str">
        <f>IF(AND(ARTICULOS_LADIAR[[#This Row],[FechaVenc]]=0,ARTICULOS_LADIAR[[#This Row],[DiasVenc]]=0),"",ARTICULOS_LADIAR[[#This Row],[FechaVenc]]-ARTICULOS_LADIAR[[#This Row],[DiasVenc]])</f>
        <v/>
      </c>
      <c r="AK170"/>
      <c r="AM170"/>
      <c r="AO170" s="30" t="s">
        <v>8689</v>
      </c>
    </row>
    <row r="171" spans="1:41" x14ac:dyDescent="0.25">
      <c r="A171" s="1" t="s">
        <v>9386</v>
      </c>
      <c r="C171" t="str">
        <f t="shared" si="7"/>
        <v>KIO77965387</v>
      </c>
      <c r="D171" t="s">
        <v>8689</v>
      </c>
      <c r="E171" s="1" t="s">
        <v>9387</v>
      </c>
      <c r="F171" s="61">
        <f t="shared" si="10"/>
        <v>391.05</v>
      </c>
      <c r="G171" s="3">
        <v>10.5</v>
      </c>
      <c r="H171" s="4" t="s">
        <v>8690</v>
      </c>
      <c r="I171">
        <v>10</v>
      </c>
      <c r="J171" s="37">
        <v>1</v>
      </c>
      <c r="K171" s="4"/>
      <c r="L171" s="66">
        <f>((ARTICULOS_LADIAR[[#This Row],[P. Compra]]*(1+ARTICULOS_LADIAR[[#This Row],[IVA]]%))/ARTICULOS_LADIAR[[#This Row],[UnidFact]])+ARTICULOS_LADIAR[[#This Row],[CostoFlete]]</f>
        <v>432.11025000000001</v>
      </c>
      <c r="M171">
        <v>40</v>
      </c>
      <c r="N171" s="68">
        <f>IF(L171&gt;=20,MROUND((L171*(1+(ARTICULOS_LADIAR[[#This Row],[IVA]]/100)))/(1-M171/100),50),20)</f>
        <v>800</v>
      </c>
      <c r="O171" s="3">
        <f>MROUND((ARTICULOS_LADIAR[[#This Row],[Precio]]/0.6),50)</f>
        <v>1350</v>
      </c>
      <c r="P171" t="s">
        <v>8693</v>
      </c>
      <c r="Q171">
        <v>3</v>
      </c>
      <c r="R171" s="3">
        <f>ARTICULOS_LADIAR[[#This Row],[Bulto]]+ARTICULOS_LADIAR[[#This Row],[Minimo]]</f>
        <v>13</v>
      </c>
      <c r="S171" t="s">
        <v>32</v>
      </c>
      <c r="T171" t="s">
        <v>27</v>
      </c>
      <c r="U171" t="s">
        <v>88</v>
      </c>
      <c r="V171" t="s">
        <v>9374</v>
      </c>
      <c r="W171" t="s">
        <v>8692</v>
      </c>
      <c r="X171">
        <v>1</v>
      </c>
      <c r="Y171">
        <v>0</v>
      </c>
      <c r="Z171"/>
      <c r="AB171" s="80">
        <f>ARTICULOS_LADIAR[[#This Row],[Costo]]*ARTICULOS_LADIAR[[#This Row],[Pedido]]</f>
        <v>0</v>
      </c>
      <c r="AD171"/>
      <c r="AH171" s="2" t="str">
        <f>IF(AND(ARTICULOS_LADIAR[[#This Row],[FechaVenc]]=0,ARTICULOS_LADIAR[[#This Row],[DiasVenc]]=0),"",ARTICULOS_LADIAR[[#This Row],[FechaVenc]]-ARTICULOS_LADIAR[[#This Row],[DiasVenc]])</f>
        <v/>
      </c>
      <c r="AK171"/>
      <c r="AM171"/>
      <c r="AO171" s="30" t="s">
        <v>8689</v>
      </c>
    </row>
    <row r="172" spans="1:41" x14ac:dyDescent="0.25">
      <c r="A172" s="1" t="s">
        <v>9375</v>
      </c>
      <c r="C172" t="str">
        <f t="shared" si="7"/>
        <v>KIO77965370</v>
      </c>
      <c r="D172" t="s">
        <v>8689</v>
      </c>
      <c r="E172" s="1" t="s">
        <v>11397</v>
      </c>
      <c r="F172" s="61">
        <f t="shared" si="10"/>
        <v>391.05</v>
      </c>
      <c r="G172" s="3">
        <v>10.5</v>
      </c>
      <c r="H172" s="4" t="s">
        <v>8690</v>
      </c>
      <c r="I172">
        <v>10</v>
      </c>
      <c r="J172" s="37">
        <v>1</v>
      </c>
      <c r="K172" s="4"/>
      <c r="L172" s="66">
        <f>((ARTICULOS_LADIAR[[#This Row],[P. Compra]]*(1+ARTICULOS_LADIAR[[#This Row],[IVA]]%))/ARTICULOS_LADIAR[[#This Row],[UnidFact]])+ARTICULOS_LADIAR[[#This Row],[CostoFlete]]</f>
        <v>432.11025000000001</v>
      </c>
      <c r="M172">
        <v>40</v>
      </c>
      <c r="N172" s="68">
        <f>IF(L172&gt;=20,MROUND((L172*(1+(ARTICULOS_LADIAR[[#This Row],[IVA]]/100)))/(1-M172/100),50),20)</f>
        <v>800</v>
      </c>
      <c r="O172" s="3">
        <f>MROUND((ARTICULOS_LADIAR[[#This Row],[Precio]]/0.6),50)</f>
        <v>1350</v>
      </c>
      <c r="P172" t="s">
        <v>8693</v>
      </c>
      <c r="Q172">
        <v>2</v>
      </c>
      <c r="R172" s="3">
        <f>ARTICULOS_LADIAR[[#This Row],[Bulto]]+ARTICULOS_LADIAR[[#This Row],[Minimo]]</f>
        <v>12</v>
      </c>
      <c r="S172" t="s">
        <v>32</v>
      </c>
      <c r="T172" t="s">
        <v>27</v>
      </c>
      <c r="U172" t="s">
        <v>88</v>
      </c>
      <c r="V172" t="s">
        <v>9374</v>
      </c>
      <c r="W172" t="s">
        <v>8692</v>
      </c>
      <c r="X172">
        <v>1</v>
      </c>
      <c r="Y172">
        <v>14</v>
      </c>
      <c r="Z172"/>
      <c r="AB172" s="80">
        <f>ARTICULOS_LADIAR[[#This Row],[Costo]]*ARTICULOS_LADIAR[[#This Row],[Pedido]]</f>
        <v>0</v>
      </c>
      <c r="AD172"/>
      <c r="AH172" s="2" t="str">
        <f>IF(AND(ARTICULOS_LADIAR[[#This Row],[FechaVenc]]=0,ARTICULOS_LADIAR[[#This Row],[DiasVenc]]=0),"",ARTICULOS_LADIAR[[#This Row],[FechaVenc]]-ARTICULOS_LADIAR[[#This Row],[DiasVenc]])</f>
        <v/>
      </c>
      <c r="AK172"/>
      <c r="AM172"/>
      <c r="AO172" s="30" t="s">
        <v>8689</v>
      </c>
    </row>
    <row r="173" spans="1:41" x14ac:dyDescent="0.25">
      <c r="A173" s="1" t="s">
        <v>9392</v>
      </c>
      <c r="C173" t="str">
        <f t="shared" si="7"/>
        <v>KIO80135126</v>
      </c>
      <c r="D173" t="s">
        <v>8689</v>
      </c>
      <c r="E173" s="24" t="s">
        <v>9393</v>
      </c>
      <c r="F173" s="61">
        <f t="shared" si="10"/>
        <v>391.05</v>
      </c>
      <c r="G173" s="3">
        <v>10.5</v>
      </c>
      <c r="H173" s="4" t="s">
        <v>8690</v>
      </c>
      <c r="I173">
        <v>10</v>
      </c>
      <c r="J173" s="37">
        <v>1</v>
      </c>
      <c r="K173" s="4"/>
      <c r="L173" s="66">
        <f>((ARTICULOS_LADIAR[[#This Row],[P. Compra]]*(1+ARTICULOS_LADIAR[[#This Row],[IVA]]%))/ARTICULOS_LADIAR[[#This Row],[UnidFact]])+ARTICULOS_LADIAR[[#This Row],[CostoFlete]]</f>
        <v>432.11025000000001</v>
      </c>
      <c r="M173">
        <v>40</v>
      </c>
      <c r="N173" s="68">
        <f>IF(L173&gt;=20,MROUND((L173*(1+(ARTICULOS_LADIAR[[#This Row],[IVA]]/100)))/(1-M173/100),50),20)</f>
        <v>800</v>
      </c>
      <c r="O173" s="3">
        <f>MROUND((ARTICULOS_LADIAR[[#This Row],[Precio]]/0.6),50)</f>
        <v>1350</v>
      </c>
      <c r="P173" t="s">
        <v>8693</v>
      </c>
      <c r="Q173">
        <v>2</v>
      </c>
      <c r="R173" s="3">
        <f>ARTICULOS_LADIAR[[#This Row],[Bulto]]+ARTICULOS_LADIAR[[#This Row],[Minimo]]</f>
        <v>12</v>
      </c>
      <c r="S173" t="s">
        <v>32</v>
      </c>
      <c r="T173" t="s">
        <v>27</v>
      </c>
      <c r="U173" t="s">
        <v>88</v>
      </c>
      <c r="V173" t="s">
        <v>9394</v>
      </c>
      <c r="W173" t="s">
        <v>8692</v>
      </c>
      <c r="X173">
        <v>1</v>
      </c>
      <c r="Y173">
        <v>15</v>
      </c>
      <c r="Z173"/>
      <c r="AB173" s="80">
        <f>ARTICULOS_LADIAR[[#This Row],[Costo]]*ARTICULOS_LADIAR[[#This Row],[Pedido]]</f>
        <v>0</v>
      </c>
      <c r="AD173"/>
      <c r="AH173" s="2" t="str">
        <f>IF(AND(ARTICULOS_LADIAR[[#This Row],[FechaVenc]]=0,ARTICULOS_LADIAR[[#This Row],[DiasVenc]]=0),"",ARTICULOS_LADIAR[[#This Row],[FechaVenc]]-ARTICULOS_LADIAR[[#This Row],[DiasVenc]])</f>
        <v/>
      </c>
      <c r="AK173"/>
      <c r="AM173"/>
      <c r="AO173" s="30" t="s">
        <v>8689</v>
      </c>
    </row>
    <row r="174" spans="1:41" x14ac:dyDescent="0.25">
      <c r="A174" s="1" t="s">
        <v>9395</v>
      </c>
      <c r="C174" t="str">
        <f t="shared" si="7"/>
        <v>KIO80133474</v>
      </c>
      <c r="D174" t="s">
        <v>8689</v>
      </c>
      <c r="E174" s="24" t="s">
        <v>9396</v>
      </c>
      <c r="F174" s="61">
        <f t="shared" si="10"/>
        <v>391.05</v>
      </c>
      <c r="G174" s="3">
        <v>10.5</v>
      </c>
      <c r="H174" s="4" t="s">
        <v>8690</v>
      </c>
      <c r="I174">
        <v>10</v>
      </c>
      <c r="J174" s="37">
        <v>1</v>
      </c>
      <c r="K174" s="4"/>
      <c r="L174" s="66">
        <f>((ARTICULOS_LADIAR[[#This Row],[P. Compra]]*(1+ARTICULOS_LADIAR[[#This Row],[IVA]]%))/ARTICULOS_LADIAR[[#This Row],[UnidFact]])+ARTICULOS_LADIAR[[#This Row],[CostoFlete]]</f>
        <v>432.11025000000001</v>
      </c>
      <c r="M174">
        <v>40</v>
      </c>
      <c r="N174" s="68">
        <f>IF(L174&gt;=20,MROUND((L174*(1+(ARTICULOS_LADIAR[[#This Row],[IVA]]/100)))/(1-M174/100),50),20)</f>
        <v>800</v>
      </c>
      <c r="O174" s="3">
        <f>MROUND((ARTICULOS_LADIAR[[#This Row],[Precio]]/0.6),50)</f>
        <v>1350</v>
      </c>
      <c r="P174" t="s">
        <v>8693</v>
      </c>
      <c r="Q174">
        <v>2</v>
      </c>
      <c r="R174" s="3">
        <f>ARTICULOS_LADIAR[[#This Row],[Bulto]]+ARTICULOS_LADIAR[[#This Row],[Minimo]]</f>
        <v>12</v>
      </c>
      <c r="S174" t="s">
        <v>32</v>
      </c>
      <c r="T174" t="s">
        <v>27</v>
      </c>
      <c r="U174" t="s">
        <v>88</v>
      </c>
      <c r="V174" t="s">
        <v>9394</v>
      </c>
      <c r="W174" t="s">
        <v>8692</v>
      </c>
      <c r="X174">
        <v>1</v>
      </c>
      <c r="Y174">
        <v>17</v>
      </c>
      <c r="Z174"/>
      <c r="AB174" s="80">
        <f>ARTICULOS_LADIAR[[#This Row],[Costo]]*ARTICULOS_LADIAR[[#This Row],[Pedido]]</f>
        <v>0</v>
      </c>
      <c r="AD174"/>
      <c r="AH174" s="2" t="str">
        <f>IF(AND(ARTICULOS_LADIAR[[#This Row],[FechaVenc]]=0,ARTICULOS_LADIAR[[#This Row],[DiasVenc]]=0),"",ARTICULOS_LADIAR[[#This Row],[FechaVenc]]-ARTICULOS_LADIAR[[#This Row],[DiasVenc]])</f>
        <v/>
      </c>
      <c r="AK174"/>
      <c r="AM174"/>
      <c r="AO174" s="30" t="s">
        <v>8689</v>
      </c>
    </row>
    <row r="175" spans="1:41" x14ac:dyDescent="0.25">
      <c r="A175" s="1" t="s">
        <v>9411</v>
      </c>
      <c r="C175" t="str">
        <f t="shared" si="7"/>
        <v>KIO80124298</v>
      </c>
      <c r="D175" t="s">
        <v>8689</v>
      </c>
      <c r="E175" s="24" t="s">
        <v>9412</v>
      </c>
      <c r="F175" s="61">
        <v>1024.95</v>
      </c>
      <c r="G175" s="3">
        <v>10.5</v>
      </c>
      <c r="H175" s="4" t="s">
        <v>8690</v>
      </c>
      <c r="I175">
        <v>16</v>
      </c>
      <c r="J175" s="37">
        <v>1</v>
      </c>
      <c r="K175" s="4"/>
      <c r="L175" s="66">
        <f>((ARTICULOS_LADIAR[[#This Row],[P. Compra]]*(1+ARTICULOS_LADIAR[[#This Row],[IVA]]%))/ARTICULOS_LADIAR[[#This Row],[UnidFact]])+ARTICULOS_LADIAR[[#This Row],[CostoFlete]]</f>
        <v>1132.5697500000001</v>
      </c>
      <c r="M175">
        <v>40</v>
      </c>
      <c r="N175" s="68">
        <f>IF(L175&gt;=20,MROUND((L175*(1+(ARTICULOS_LADIAR[[#This Row],[IVA]]/100)))/(1-M175/100),50),20)</f>
        <v>2100</v>
      </c>
      <c r="O175" s="3">
        <f>MROUND((ARTICULOS_LADIAR[[#This Row],[Precio]]/0.6),50)</f>
        <v>3500</v>
      </c>
      <c r="P175" t="s">
        <v>8693</v>
      </c>
      <c r="Q175">
        <v>2</v>
      </c>
      <c r="R175" s="3">
        <f>ARTICULOS_LADIAR[[#This Row],[Bulto]]+ARTICULOS_LADIAR[[#This Row],[Minimo]]</f>
        <v>18</v>
      </c>
      <c r="S175" t="s">
        <v>32</v>
      </c>
      <c r="T175" t="s">
        <v>27</v>
      </c>
      <c r="U175" t="s">
        <v>88</v>
      </c>
      <c r="V175" t="s">
        <v>9413</v>
      </c>
      <c r="W175" t="s">
        <v>8692</v>
      </c>
      <c r="X175">
        <v>1</v>
      </c>
      <c r="Y175">
        <v>0</v>
      </c>
      <c r="Z175"/>
      <c r="AB175" s="80">
        <f>ARTICULOS_LADIAR[[#This Row],[Costo]]*ARTICULOS_LADIAR[[#This Row],[Pedido]]</f>
        <v>0</v>
      </c>
      <c r="AD175"/>
      <c r="AH175" s="2" t="str">
        <f>IF(AND(ARTICULOS_LADIAR[[#This Row],[FechaVenc]]=0,ARTICULOS_LADIAR[[#This Row],[DiasVenc]]=0),"",ARTICULOS_LADIAR[[#This Row],[FechaVenc]]-ARTICULOS_LADIAR[[#This Row],[DiasVenc]])</f>
        <v/>
      </c>
      <c r="AK175"/>
      <c r="AM175"/>
      <c r="AO175" s="30" t="s">
        <v>8693</v>
      </c>
    </row>
    <row r="176" spans="1:41" x14ac:dyDescent="0.25">
      <c r="A176" s="1" t="s">
        <v>9414</v>
      </c>
      <c r="C176" t="str">
        <f t="shared" si="7"/>
        <v>KIO80132736</v>
      </c>
      <c r="D176" t="s">
        <v>8689</v>
      </c>
      <c r="E176" s="24" t="s">
        <v>9415</v>
      </c>
      <c r="F176" s="61">
        <f>F175</f>
        <v>1024.95</v>
      </c>
      <c r="G176" s="3">
        <v>10.5</v>
      </c>
      <c r="H176" s="4" t="s">
        <v>8690</v>
      </c>
      <c r="I176">
        <v>16</v>
      </c>
      <c r="J176" s="37">
        <v>1</v>
      </c>
      <c r="K176" s="4"/>
      <c r="L176" s="66">
        <f>((ARTICULOS_LADIAR[[#This Row],[P. Compra]]*(1+ARTICULOS_LADIAR[[#This Row],[IVA]]%))/ARTICULOS_LADIAR[[#This Row],[UnidFact]])+ARTICULOS_LADIAR[[#This Row],[CostoFlete]]</f>
        <v>1132.5697500000001</v>
      </c>
      <c r="M176">
        <v>40</v>
      </c>
      <c r="N176" s="68">
        <f>IF(L176&gt;=20,MROUND((L176*(1+(ARTICULOS_LADIAR[[#This Row],[IVA]]/100)))/(1-M176/100),50),20)</f>
        <v>2100</v>
      </c>
      <c r="O176" s="3">
        <f>MROUND((ARTICULOS_LADIAR[[#This Row],[Precio]]/0.6),50)</f>
        <v>3500</v>
      </c>
      <c r="P176" t="s">
        <v>8693</v>
      </c>
      <c r="Q176">
        <v>0</v>
      </c>
      <c r="R176" s="3">
        <f>ARTICULOS_LADIAR[[#This Row],[Bulto]]+ARTICULOS_LADIAR[[#This Row],[Minimo]]</f>
        <v>16</v>
      </c>
      <c r="S176" t="s">
        <v>32</v>
      </c>
      <c r="T176" t="s">
        <v>27</v>
      </c>
      <c r="U176" t="s">
        <v>88</v>
      </c>
      <c r="V176" t="s">
        <v>9413</v>
      </c>
      <c r="W176" t="s">
        <v>8692</v>
      </c>
      <c r="X176">
        <v>1</v>
      </c>
      <c r="Y176">
        <v>0</v>
      </c>
      <c r="Z176"/>
      <c r="AB176" s="80">
        <f>ARTICULOS_LADIAR[[#This Row],[Costo]]*ARTICULOS_LADIAR[[#This Row],[Pedido]]</f>
        <v>0</v>
      </c>
      <c r="AD176"/>
      <c r="AH176" s="2" t="str">
        <f>IF(AND(ARTICULOS_LADIAR[[#This Row],[FechaVenc]]=0,ARTICULOS_LADIAR[[#This Row],[DiasVenc]]=0),"",ARTICULOS_LADIAR[[#This Row],[FechaVenc]]-ARTICULOS_LADIAR[[#This Row],[DiasVenc]])</f>
        <v/>
      </c>
      <c r="AK176"/>
      <c r="AM176"/>
      <c r="AO176" s="30" t="s">
        <v>8693</v>
      </c>
    </row>
    <row r="177" spans="1:41" x14ac:dyDescent="0.25">
      <c r="A177" s="1" t="s">
        <v>9416</v>
      </c>
      <c r="C177" t="str">
        <f t="shared" si="7"/>
        <v>KIO80132729</v>
      </c>
      <c r="D177" t="s">
        <v>8689</v>
      </c>
      <c r="E177" s="24" t="s">
        <v>9417</v>
      </c>
      <c r="F177" s="61">
        <f>F176</f>
        <v>1024.95</v>
      </c>
      <c r="G177" s="3">
        <v>10.5</v>
      </c>
      <c r="H177" s="4" t="s">
        <v>8690</v>
      </c>
      <c r="I177">
        <v>16</v>
      </c>
      <c r="J177" s="37">
        <v>1</v>
      </c>
      <c r="K177" s="4"/>
      <c r="L177" s="66">
        <f>((ARTICULOS_LADIAR[[#This Row],[P. Compra]]*(1+ARTICULOS_LADIAR[[#This Row],[IVA]]%))/ARTICULOS_LADIAR[[#This Row],[UnidFact]])+ARTICULOS_LADIAR[[#This Row],[CostoFlete]]</f>
        <v>1132.5697500000001</v>
      </c>
      <c r="M177">
        <v>40</v>
      </c>
      <c r="N177" s="68">
        <f>IF(L177&gt;=20,MROUND((L177*(1+(ARTICULOS_LADIAR[[#This Row],[IVA]]/100)))/(1-M177/100),50),20)</f>
        <v>2100</v>
      </c>
      <c r="O177" s="3">
        <f>MROUND((ARTICULOS_LADIAR[[#This Row],[Precio]]/0.6),50)</f>
        <v>3500</v>
      </c>
      <c r="P177" t="s">
        <v>8693</v>
      </c>
      <c r="Q177">
        <v>2</v>
      </c>
      <c r="R177" s="3">
        <f>ARTICULOS_LADIAR[[#This Row],[Bulto]]+ARTICULOS_LADIAR[[#This Row],[Minimo]]</f>
        <v>18</v>
      </c>
      <c r="S177" t="s">
        <v>32</v>
      </c>
      <c r="T177" t="s">
        <v>27</v>
      </c>
      <c r="U177" t="s">
        <v>88</v>
      </c>
      <c r="V177" t="s">
        <v>9413</v>
      </c>
      <c r="W177" t="s">
        <v>8692</v>
      </c>
      <c r="X177">
        <v>1</v>
      </c>
      <c r="Y177">
        <v>0</v>
      </c>
      <c r="Z177"/>
      <c r="AB177" s="80">
        <f>ARTICULOS_LADIAR[[#This Row],[Costo]]*ARTICULOS_LADIAR[[#This Row],[Pedido]]</f>
        <v>0</v>
      </c>
      <c r="AD177"/>
      <c r="AH177" s="2" t="str">
        <f>IF(AND(ARTICULOS_LADIAR[[#This Row],[FechaVenc]]=0,ARTICULOS_LADIAR[[#This Row],[DiasVenc]]=0),"",ARTICULOS_LADIAR[[#This Row],[FechaVenc]]-ARTICULOS_LADIAR[[#This Row],[DiasVenc]])</f>
        <v/>
      </c>
      <c r="AK177"/>
      <c r="AM177"/>
      <c r="AO177" s="30" t="s">
        <v>8693</v>
      </c>
    </row>
    <row r="178" spans="1:41" x14ac:dyDescent="0.25">
      <c r="A178" s="1" t="s">
        <v>9397</v>
      </c>
      <c r="C178" t="str">
        <f t="shared" si="7"/>
        <v>KIO80346614</v>
      </c>
      <c r="D178" t="s">
        <v>8689</v>
      </c>
      <c r="E178" s="1" t="s">
        <v>9398</v>
      </c>
      <c r="F178" s="61">
        <v>425.41</v>
      </c>
      <c r="G178" s="3">
        <v>10.5</v>
      </c>
      <c r="H178" s="4" t="s">
        <v>8690</v>
      </c>
      <c r="I178">
        <v>20</v>
      </c>
      <c r="J178" s="37">
        <v>1</v>
      </c>
      <c r="K178" s="4"/>
      <c r="L178" s="66">
        <f>((ARTICULOS_LADIAR[[#This Row],[P. Compra]]*(1+ARTICULOS_LADIAR[[#This Row],[IVA]]%))/ARTICULOS_LADIAR[[#This Row],[UnidFact]])+ARTICULOS_LADIAR[[#This Row],[CostoFlete]]</f>
        <v>470.07805000000002</v>
      </c>
      <c r="M178">
        <v>35</v>
      </c>
      <c r="N178" s="68">
        <f>IF(L178&gt;=20,MROUND((L178*(1+(ARTICULOS_LADIAR[[#This Row],[IVA]]/100)))/(1-M178/100),50),20)</f>
        <v>800</v>
      </c>
      <c r="O178" s="3">
        <f>MROUND((ARTICULOS_LADIAR[[#This Row],[Precio]]/0.6),50)</f>
        <v>1350</v>
      </c>
      <c r="P178" t="s">
        <v>8693</v>
      </c>
      <c r="Q178">
        <v>4</v>
      </c>
      <c r="R178" s="3">
        <f>ARTICULOS_LADIAR[[#This Row],[Bulto]]+ARTICULOS_LADIAR[[#This Row],[Minimo]]</f>
        <v>24</v>
      </c>
      <c r="S178" t="s">
        <v>70</v>
      </c>
      <c r="T178" t="s">
        <v>27</v>
      </c>
      <c r="U178" t="s">
        <v>88</v>
      </c>
      <c r="V178" t="s">
        <v>9070</v>
      </c>
      <c r="W178" t="s">
        <v>8692</v>
      </c>
      <c r="X178">
        <v>1</v>
      </c>
      <c r="Y178">
        <v>20</v>
      </c>
      <c r="Z178"/>
      <c r="AB178" s="80">
        <f>ARTICULOS_LADIAR[[#This Row],[Costo]]*ARTICULOS_LADIAR[[#This Row],[Pedido]]</f>
        <v>0</v>
      </c>
      <c r="AD178"/>
      <c r="AH178" s="2" t="str">
        <f>IF(AND(ARTICULOS_LADIAR[[#This Row],[FechaVenc]]=0,ARTICULOS_LADIAR[[#This Row],[DiasVenc]]=0),"",ARTICULOS_LADIAR[[#This Row],[FechaVenc]]-ARTICULOS_LADIAR[[#This Row],[DiasVenc]])</f>
        <v/>
      </c>
      <c r="AK178"/>
      <c r="AM178"/>
      <c r="AO178" s="30" t="s">
        <v>8689</v>
      </c>
    </row>
    <row r="179" spans="1:41" x14ac:dyDescent="0.25">
      <c r="A179" s="1" t="s">
        <v>9399</v>
      </c>
      <c r="C179" t="str">
        <f t="shared" si="7"/>
        <v>KIO80346515</v>
      </c>
      <c r="D179" t="s">
        <v>8689</v>
      </c>
      <c r="E179" s="1" t="s">
        <v>9400</v>
      </c>
      <c r="F179" s="61">
        <f>F178</f>
        <v>425.41</v>
      </c>
      <c r="G179" s="3">
        <v>10.5</v>
      </c>
      <c r="H179" s="4" t="s">
        <v>8690</v>
      </c>
      <c r="I179">
        <v>20</v>
      </c>
      <c r="J179" s="37">
        <v>1</v>
      </c>
      <c r="K179" s="4"/>
      <c r="L179" s="66">
        <f>((ARTICULOS_LADIAR[[#This Row],[P. Compra]]*(1+ARTICULOS_LADIAR[[#This Row],[IVA]]%))/ARTICULOS_LADIAR[[#This Row],[UnidFact]])+ARTICULOS_LADIAR[[#This Row],[CostoFlete]]</f>
        <v>470.07805000000002</v>
      </c>
      <c r="M179">
        <v>35</v>
      </c>
      <c r="N179" s="68">
        <f>IF(L179&gt;=20,MROUND((L179*(1+(ARTICULOS_LADIAR[[#This Row],[IVA]]/100)))/(1-M179/100),50),20)</f>
        <v>800</v>
      </c>
      <c r="O179" s="3">
        <f>MROUND((ARTICULOS_LADIAR[[#This Row],[Precio]]/0.6),50)</f>
        <v>1350</v>
      </c>
      <c r="P179" t="s">
        <v>8693</v>
      </c>
      <c r="Q179">
        <v>4</v>
      </c>
      <c r="R179" s="3">
        <f>ARTICULOS_LADIAR[[#This Row],[Bulto]]+ARTICULOS_LADIAR[[#This Row],[Minimo]]</f>
        <v>24</v>
      </c>
      <c r="S179" t="s">
        <v>70</v>
      </c>
      <c r="T179" t="s">
        <v>27</v>
      </c>
      <c r="U179" t="s">
        <v>88</v>
      </c>
      <c r="V179" t="s">
        <v>9070</v>
      </c>
      <c r="W179" t="s">
        <v>8692</v>
      </c>
      <c r="X179">
        <v>1</v>
      </c>
      <c r="Y179">
        <v>20</v>
      </c>
      <c r="Z179"/>
      <c r="AB179" s="80">
        <f>ARTICULOS_LADIAR[[#This Row],[Costo]]*ARTICULOS_LADIAR[[#This Row],[Pedido]]</f>
        <v>0</v>
      </c>
      <c r="AD179"/>
      <c r="AH179" s="2" t="str">
        <f>IF(AND(ARTICULOS_LADIAR[[#This Row],[FechaVenc]]=0,ARTICULOS_LADIAR[[#This Row],[DiasVenc]]=0),"",ARTICULOS_LADIAR[[#This Row],[FechaVenc]]-ARTICULOS_LADIAR[[#This Row],[DiasVenc]])</f>
        <v/>
      </c>
      <c r="AK179"/>
      <c r="AM179"/>
      <c r="AO179" s="30" t="s">
        <v>8689</v>
      </c>
    </row>
    <row r="180" spans="1:41" x14ac:dyDescent="0.25">
      <c r="A180" s="1" t="s">
        <v>9401</v>
      </c>
      <c r="C180" t="str">
        <f t="shared" si="7"/>
        <v>KIO80131586</v>
      </c>
      <c r="D180" t="s">
        <v>8689</v>
      </c>
      <c r="E180" s="1" t="s">
        <v>9402</v>
      </c>
      <c r="F180" s="61">
        <v>659.8</v>
      </c>
      <c r="G180" s="3">
        <v>10.5</v>
      </c>
      <c r="H180" s="4" t="s">
        <v>8690</v>
      </c>
      <c r="I180">
        <v>16</v>
      </c>
      <c r="J180" s="37">
        <v>1</v>
      </c>
      <c r="K180" s="4"/>
      <c r="L180" s="66">
        <f>((ARTICULOS_LADIAR[[#This Row],[P. Compra]]*(1+ARTICULOS_LADIAR[[#This Row],[IVA]]%))/ARTICULOS_LADIAR[[#This Row],[UnidFact]])+ARTICULOS_LADIAR[[#This Row],[CostoFlete]]</f>
        <v>729.07899999999995</v>
      </c>
      <c r="M180">
        <v>35</v>
      </c>
      <c r="N180" s="68">
        <f>IF(L180&gt;=20,MROUND((L180*(1+(ARTICULOS_LADIAR[[#This Row],[IVA]]/100)))/(1-M180/100),50),20)</f>
        <v>1250</v>
      </c>
      <c r="O180" s="3">
        <f>MROUND((ARTICULOS_LADIAR[[#This Row],[Precio]]/0.6),50)</f>
        <v>2100</v>
      </c>
      <c r="P180" t="s">
        <v>8693</v>
      </c>
      <c r="Q180">
        <v>4</v>
      </c>
      <c r="R180" s="3">
        <f>ARTICULOS_LADIAR[[#This Row],[Bulto]]+ARTICULOS_LADIAR[[#This Row],[Minimo]]</f>
        <v>20</v>
      </c>
      <c r="S180" t="s">
        <v>70</v>
      </c>
      <c r="T180" t="s">
        <v>27</v>
      </c>
      <c r="U180" t="s">
        <v>88</v>
      </c>
      <c r="V180" s="30" t="s">
        <v>9105</v>
      </c>
      <c r="W180" t="s">
        <v>8692</v>
      </c>
      <c r="X180">
        <v>1</v>
      </c>
      <c r="Y180">
        <f>10+5</f>
        <v>15</v>
      </c>
      <c r="Z180"/>
      <c r="AB180" s="80">
        <f>ARTICULOS_LADIAR[[#This Row],[Costo]]*ARTICULOS_LADIAR[[#This Row],[Pedido]]</f>
        <v>0</v>
      </c>
      <c r="AD180"/>
      <c r="AH180" s="2" t="str">
        <f>IF(AND(ARTICULOS_LADIAR[[#This Row],[FechaVenc]]=0,ARTICULOS_LADIAR[[#This Row],[DiasVenc]]=0),"",ARTICULOS_LADIAR[[#This Row],[FechaVenc]]-ARTICULOS_LADIAR[[#This Row],[DiasVenc]])</f>
        <v/>
      </c>
      <c r="AK180"/>
      <c r="AM180"/>
      <c r="AO180" s="30" t="s">
        <v>8689</v>
      </c>
    </row>
    <row r="181" spans="1:41" x14ac:dyDescent="0.25">
      <c r="A181" s="1" t="s">
        <v>9403</v>
      </c>
      <c r="C181" t="str">
        <f t="shared" si="7"/>
        <v>KIO80131562</v>
      </c>
      <c r="D181" t="s">
        <v>8689</v>
      </c>
      <c r="E181" s="1" t="s">
        <v>9404</v>
      </c>
      <c r="F181" s="61">
        <f>F180</f>
        <v>659.8</v>
      </c>
      <c r="G181" s="3">
        <v>10.5</v>
      </c>
      <c r="H181" s="4" t="s">
        <v>8690</v>
      </c>
      <c r="I181">
        <v>16</v>
      </c>
      <c r="J181" s="37">
        <v>1</v>
      </c>
      <c r="K181" s="4"/>
      <c r="L181" s="66">
        <f>((ARTICULOS_LADIAR[[#This Row],[P. Compra]]*(1+ARTICULOS_LADIAR[[#This Row],[IVA]]%))/ARTICULOS_LADIAR[[#This Row],[UnidFact]])+ARTICULOS_LADIAR[[#This Row],[CostoFlete]]</f>
        <v>729.07899999999995</v>
      </c>
      <c r="M181">
        <v>35</v>
      </c>
      <c r="N181" s="68">
        <f>IF(L181&gt;=20,MROUND((L181*(1+(ARTICULOS_LADIAR[[#This Row],[IVA]]/100)))/(1-M181/100),50),20)</f>
        <v>1250</v>
      </c>
      <c r="O181" s="3">
        <f>MROUND((ARTICULOS_LADIAR[[#This Row],[Precio]]/0.6),50)</f>
        <v>2100</v>
      </c>
      <c r="P181" t="s">
        <v>8693</v>
      </c>
      <c r="Q181">
        <v>4</v>
      </c>
      <c r="R181" s="3">
        <f>ARTICULOS_LADIAR[[#This Row],[Bulto]]+ARTICULOS_LADIAR[[#This Row],[Minimo]]</f>
        <v>20</v>
      </c>
      <c r="S181" t="s">
        <v>70</v>
      </c>
      <c r="T181" t="s">
        <v>27</v>
      </c>
      <c r="U181" t="s">
        <v>88</v>
      </c>
      <c r="V181" t="s">
        <v>9100</v>
      </c>
      <c r="W181" t="s">
        <v>8692</v>
      </c>
      <c r="X181">
        <v>1</v>
      </c>
      <c r="Y181">
        <v>14</v>
      </c>
      <c r="Z181"/>
      <c r="AB181" s="80">
        <f>ARTICULOS_LADIAR[[#This Row],[Costo]]*ARTICULOS_LADIAR[[#This Row],[Pedido]]</f>
        <v>0</v>
      </c>
      <c r="AD181"/>
      <c r="AH181" s="2" t="str">
        <f>IF(AND(ARTICULOS_LADIAR[[#This Row],[FechaVenc]]=0,ARTICULOS_LADIAR[[#This Row],[DiasVenc]]=0),"",ARTICULOS_LADIAR[[#This Row],[FechaVenc]]-ARTICULOS_LADIAR[[#This Row],[DiasVenc]])</f>
        <v/>
      </c>
      <c r="AK181"/>
      <c r="AM181"/>
      <c r="AO181" s="30" t="s">
        <v>8689</v>
      </c>
    </row>
    <row r="182" spans="1:41" x14ac:dyDescent="0.25">
      <c r="A182" s="1" t="s">
        <v>12113</v>
      </c>
      <c r="C182" t="str">
        <f t="shared" si="7"/>
        <v>KIO40143814</v>
      </c>
      <c r="D182" t="s">
        <v>8689</v>
      </c>
      <c r="E182" s="1" t="s">
        <v>12114</v>
      </c>
      <c r="F182" s="61">
        <v>759.85</v>
      </c>
      <c r="G182" s="3">
        <v>10.5</v>
      </c>
      <c r="H182" s="4" t="s">
        <v>8690</v>
      </c>
      <c r="I182">
        <v>16</v>
      </c>
      <c r="J182" s="37">
        <v>1</v>
      </c>
      <c r="K182" s="4"/>
      <c r="L182" s="66">
        <f>((ARTICULOS_LADIAR[[#This Row],[P. Compra]]*(1+ARTICULOS_LADIAR[[#This Row],[IVA]]%))/ARTICULOS_LADIAR[[#This Row],[UnidFact]])+ARTICULOS_LADIAR[[#This Row],[CostoFlete]]</f>
        <v>839.63425000000007</v>
      </c>
      <c r="M182">
        <v>35</v>
      </c>
      <c r="N182" s="68">
        <f>IF(L182&gt;=20,MROUND((L182*(1+(ARTICULOS_LADIAR[[#This Row],[IVA]]/100)))/(1-M182/100),50),20)</f>
        <v>1450</v>
      </c>
      <c r="O182" s="3">
        <f>MROUND((ARTICULOS_LADIAR[[#This Row],[Precio]]/0.6),50)</f>
        <v>2400</v>
      </c>
      <c r="P182" t="s">
        <v>8693</v>
      </c>
      <c r="Q182">
        <v>4</v>
      </c>
      <c r="R182" s="3">
        <f>ARTICULOS_LADIAR[[#This Row],[Bulto]]+ARTICULOS_LADIAR[[#This Row],[Minimo]]</f>
        <v>20</v>
      </c>
      <c r="S182" t="s">
        <v>70</v>
      </c>
      <c r="T182" t="s">
        <v>27</v>
      </c>
      <c r="U182" t="s">
        <v>88</v>
      </c>
      <c r="V182" t="s">
        <v>9173</v>
      </c>
      <c r="W182" t="s">
        <v>8692</v>
      </c>
      <c r="X182">
        <v>1</v>
      </c>
      <c r="Y182">
        <v>14</v>
      </c>
      <c r="Z182"/>
      <c r="AB182" s="80">
        <f>ARTICULOS_LADIAR[[#This Row],[Costo]]*ARTICULOS_LADIAR[[#This Row],[Pedido]]</f>
        <v>0</v>
      </c>
      <c r="AD182"/>
      <c r="AH182" s="2" t="str">
        <f>IF(AND(ARTICULOS_LADIAR[[#This Row],[FechaVenc]]=0,ARTICULOS_LADIAR[[#This Row],[DiasVenc]]=0),"",ARTICULOS_LADIAR[[#This Row],[FechaVenc]]-ARTICULOS_LADIAR[[#This Row],[DiasVenc]])</f>
        <v/>
      </c>
      <c r="AK182"/>
      <c r="AM182"/>
      <c r="AO182" s="30" t="s">
        <v>8689</v>
      </c>
    </row>
    <row r="183" spans="1:41" x14ac:dyDescent="0.25">
      <c r="A183" s="1" t="s">
        <v>12116</v>
      </c>
      <c r="C183" t="str">
        <f t="shared" si="7"/>
        <v>KIO40143821</v>
      </c>
      <c r="D183" t="s">
        <v>8689</v>
      </c>
      <c r="E183" s="1" t="s">
        <v>12115</v>
      </c>
      <c r="F183" s="61">
        <v>759.85</v>
      </c>
      <c r="G183" s="3">
        <v>10.5</v>
      </c>
      <c r="H183" s="4" t="s">
        <v>8690</v>
      </c>
      <c r="I183">
        <v>16</v>
      </c>
      <c r="J183" s="37">
        <v>1</v>
      </c>
      <c r="K183" s="4"/>
      <c r="L183" s="66">
        <f>((ARTICULOS_LADIAR[[#This Row],[P. Compra]]*(1+ARTICULOS_LADIAR[[#This Row],[IVA]]%))/ARTICULOS_LADIAR[[#This Row],[UnidFact]])+ARTICULOS_LADIAR[[#This Row],[CostoFlete]]</f>
        <v>839.63425000000007</v>
      </c>
      <c r="M183">
        <v>35</v>
      </c>
      <c r="N183" s="68">
        <f>IF(L183&gt;=20,MROUND((L183*(1+(ARTICULOS_LADIAR[[#This Row],[IVA]]/100)))/(1-M183/100),50),20)</f>
        <v>1450</v>
      </c>
      <c r="O183" s="3">
        <f>MROUND((ARTICULOS_LADIAR[[#This Row],[Precio]]/0.6),50)</f>
        <v>2400</v>
      </c>
      <c r="P183" t="s">
        <v>8693</v>
      </c>
      <c r="Q183">
        <v>4</v>
      </c>
      <c r="R183" s="3">
        <f>ARTICULOS_LADIAR[[#This Row],[Bulto]]+ARTICULOS_LADIAR[[#This Row],[Minimo]]</f>
        <v>20</v>
      </c>
      <c r="S183" t="s">
        <v>70</v>
      </c>
      <c r="T183" t="s">
        <v>27</v>
      </c>
      <c r="U183" t="s">
        <v>88</v>
      </c>
      <c r="V183" t="s">
        <v>9173</v>
      </c>
      <c r="W183" t="s">
        <v>8692</v>
      </c>
      <c r="X183">
        <v>1</v>
      </c>
      <c r="Y183">
        <v>14</v>
      </c>
      <c r="Z183"/>
      <c r="AB183" s="80">
        <f>ARTICULOS_LADIAR[[#This Row],[Costo]]*ARTICULOS_LADIAR[[#This Row],[Pedido]]</f>
        <v>0</v>
      </c>
      <c r="AD183"/>
      <c r="AH183" s="2" t="str">
        <f>IF(AND(ARTICULOS_LADIAR[[#This Row],[FechaVenc]]=0,ARTICULOS_LADIAR[[#This Row],[DiasVenc]]=0),"",ARTICULOS_LADIAR[[#This Row],[FechaVenc]]-ARTICULOS_LADIAR[[#This Row],[DiasVenc]])</f>
        <v/>
      </c>
      <c r="AK183"/>
      <c r="AM183"/>
      <c r="AO183" s="30" t="s">
        <v>8689</v>
      </c>
    </row>
    <row r="184" spans="1:41" x14ac:dyDescent="0.25">
      <c r="A184" s="1" t="s">
        <v>9388</v>
      </c>
      <c r="C184" t="str">
        <f t="shared" si="7"/>
        <v>KIO80111755</v>
      </c>
      <c r="D184" t="s">
        <v>8689</v>
      </c>
      <c r="E184" s="1" t="s">
        <v>9389</v>
      </c>
      <c r="F184" s="61">
        <v>582.99</v>
      </c>
      <c r="G184" s="3">
        <v>10.5</v>
      </c>
      <c r="H184" s="4" t="s">
        <v>8690</v>
      </c>
      <c r="I184">
        <v>12</v>
      </c>
      <c r="J184" s="37">
        <v>1</v>
      </c>
      <c r="K184" s="4"/>
      <c r="L184" s="66">
        <f>((ARTICULOS_LADIAR[[#This Row],[P. Compra]]*(1+ARTICULOS_LADIAR[[#This Row],[IVA]]%))/ARTICULOS_LADIAR[[#This Row],[UnidFact]])+ARTICULOS_LADIAR[[#This Row],[CostoFlete]]</f>
        <v>644.20394999999996</v>
      </c>
      <c r="M184">
        <v>35</v>
      </c>
      <c r="N184" s="68">
        <f>IF(L184&gt;=20,MROUND((L184*(1+(ARTICULOS_LADIAR[[#This Row],[IVA]]/100)))/(1-M184/100),50),20)</f>
        <v>1100</v>
      </c>
      <c r="O184" s="3">
        <f>MROUND((ARTICULOS_LADIAR[[#This Row],[Precio]]/0.6),50)</f>
        <v>1850</v>
      </c>
      <c r="P184" t="s">
        <v>8693</v>
      </c>
      <c r="Q184">
        <v>4</v>
      </c>
      <c r="R184" s="3">
        <f>ARTICULOS_LADIAR[[#This Row],[Bulto]]+ARTICULOS_LADIAR[[#This Row],[Minimo]]</f>
        <v>16</v>
      </c>
      <c r="S184" t="s">
        <v>70</v>
      </c>
      <c r="T184" t="s">
        <v>27</v>
      </c>
      <c r="U184" t="s">
        <v>88</v>
      </c>
      <c r="V184" t="s">
        <v>9173</v>
      </c>
      <c r="W184" t="s">
        <v>8692</v>
      </c>
      <c r="X184">
        <v>1</v>
      </c>
      <c r="Y184">
        <v>11</v>
      </c>
      <c r="Z184"/>
      <c r="AB184" s="80">
        <f>ARTICULOS_LADIAR[[#This Row],[Costo]]*ARTICULOS_LADIAR[[#This Row],[Pedido]]</f>
        <v>0</v>
      </c>
      <c r="AD184"/>
      <c r="AH184" s="2" t="str">
        <f>IF(AND(ARTICULOS_LADIAR[[#This Row],[FechaVenc]]=0,ARTICULOS_LADIAR[[#This Row],[DiasVenc]]=0),"",ARTICULOS_LADIAR[[#This Row],[FechaVenc]]-ARTICULOS_LADIAR[[#This Row],[DiasVenc]])</f>
        <v/>
      </c>
      <c r="AK184"/>
      <c r="AM184"/>
      <c r="AO184" s="30" t="s">
        <v>8689</v>
      </c>
    </row>
    <row r="185" spans="1:41" x14ac:dyDescent="0.25">
      <c r="A185" s="1" t="s">
        <v>9390</v>
      </c>
      <c r="C185" t="str">
        <f t="shared" si="7"/>
        <v>KIO80123741</v>
      </c>
      <c r="D185" t="s">
        <v>8689</v>
      </c>
      <c r="E185" s="1" t="s">
        <v>9391</v>
      </c>
      <c r="F185" s="61">
        <f>F184</f>
        <v>582.99</v>
      </c>
      <c r="G185" s="3">
        <v>10.5</v>
      </c>
      <c r="H185" s="4" t="s">
        <v>8690</v>
      </c>
      <c r="I185">
        <v>12</v>
      </c>
      <c r="J185" s="37">
        <v>1</v>
      </c>
      <c r="K185" s="4"/>
      <c r="L185" s="66">
        <f>((ARTICULOS_LADIAR[[#This Row],[P. Compra]]*(1+ARTICULOS_LADIAR[[#This Row],[IVA]]%))/ARTICULOS_LADIAR[[#This Row],[UnidFact]])+ARTICULOS_LADIAR[[#This Row],[CostoFlete]]</f>
        <v>644.20394999999996</v>
      </c>
      <c r="M185">
        <v>35</v>
      </c>
      <c r="N185" s="68">
        <f>IF(L185&gt;=20,MROUND((L185*(1+(ARTICULOS_LADIAR[[#This Row],[IVA]]/100)))/(1-M185/100),50),20)</f>
        <v>1100</v>
      </c>
      <c r="O185" s="3">
        <f>MROUND((ARTICULOS_LADIAR[[#This Row],[Precio]]/0.6),50)</f>
        <v>1850</v>
      </c>
      <c r="P185" t="s">
        <v>8693</v>
      </c>
      <c r="Q185">
        <v>4</v>
      </c>
      <c r="R185" s="3">
        <f>ARTICULOS_LADIAR[[#This Row],[Bulto]]+ARTICULOS_LADIAR[[#This Row],[Minimo]]</f>
        <v>16</v>
      </c>
      <c r="S185" t="s">
        <v>70</v>
      </c>
      <c r="T185" t="s">
        <v>27</v>
      </c>
      <c r="U185" t="s">
        <v>88</v>
      </c>
      <c r="V185" t="s">
        <v>9173</v>
      </c>
      <c r="W185" t="s">
        <v>8692</v>
      </c>
      <c r="X185">
        <v>1</v>
      </c>
      <c r="Y185">
        <v>0</v>
      </c>
      <c r="Z185"/>
      <c r="AB185" s="80">
        <f>ARTICULOS_LADIAR[[#This Row],[Costo]]*ARTICULOS_LADIAR[[#This Row],[Pedido]]</f>
        <v>0</v>
      </c>
      <c r="AD185"/>
      <c r="AH185" s="2" t="str">
        <f>IF(AND(ARTICULOS_LADIAR[[#This Row],[FechaVenc]]=0,ARTICULOS_LADIAR[[#This Row],[DiasVenc]]=0),"",ARTICULOS_LADIAR[[#This Row],[FechaVenc]]-ARTICULOS_LADIAR[[#This Row],[DiasVenc]])</f>
        <v/>
      </c>
      <c r="AK185"/>
      <c r="AM185"/>
      <c r="AO185" s="30" t="s">
        <v>8689</v>
      </c>
    </row>
    <row r="186" spans="1:41" x14ac:dyDescent="0.25">
      <c r="A186" s="1" t="s">
        <v>9405</v>
      </c>
      <c r="C186" t="str">
        <f t="shared" si="7"/>
        <v>KIO77971708</v>
      </c>
      <c r="D186" t="s">
        <v>8689</v>
      </c>
      <c r="E186" s="1" t="s">
        <v>9406</v>
      </c>
      <c r="F186" s="61">
        <v>508.36</v>
      </c>
      <c r="G186" s="3">
        <v>10.5</v>
      </c>
      <c r="H186" s="4" t="s">
        <v>8690</v>
      </c>
      <c r="I186">
        <v>56</v>
      </c>
      <c r="J186" s="37">
        <v>1</v>
      </c>
      <c r="K186" s="4"/>
      <c r="L186" s="66">
        <f>((ARTICULOS_LADIAR[[#This Row],[P. Compra]]*(1+ARTICULOS_LADIAR[[#This Row],[IVA]]%))/ARTICULOS_LADIAR[[#This Row],[UnidFact]])+ARTICULOS_LADIAR[[#This Row],[CostoFlete]]</f>
        <v>561.73779999999999</v>
      </c>
      <c r="M186">
        <v>35</v>
      </c>
      <c r="N186" s="68">
        <f>IF(L186&gt;=20,MROUND((L186*(1+(ARTICULOS_LADIAR[[#This Row],[IVA]]/100)))/(1-M186/100),50),20)</f>
        <v>950</v>
      </c>
      <c r="O186" s="3">
        <f>MROUND((ARTICULOS_LADIAR[[#This Row],[Precio]]/0.6),50)</f>
        <v>1600</v>
      </c>
      <c r="P186" t="s">
        <v>8693</v>
      </c>
      <c r="Q186">
        <v>2</v>
      </c>
      <c r="R186" s="3">
        <f>ARTICULOS_LADIAR[[#This Row],[Bulto]]+ARTICULOS_LADIAR[[#This Row],[Minimo]]</f>
        <v>58</v>
      </c>
      <c r="S186" t="s">
        <v>32</v>
      </c>
      <c r="T186" t="s">
        <v>27</v>
      </c>
      <c r="U186" t="s">
        <v>88</v>
      </c>
      <c r="V186" t="s">
        <v>9073</v>
      </c>
      <c r="W186" t="s">
        <v>8692</v>
      </c>
      <c r="X186">
        <v>1</v>
      </c>
      <c r="Y186">
        <v>3</v>
      </c>
      <c r="Z186"/>
      <c r="AB186" s="80">
        <f>ARTICULOS_LADIAR[[#This Row],[Costo]]*ARTICULOS_LADIAR[[#This Row],[Pedido]]</f>
        <v>0</v>
      </c>
      <c r="AD186"/>
      <c r="AH186" s="2" t="str">
        <f>IF(AND(ARTICULOS_LADIAR[[#This Row],[FechaVenc]]=0,ARTICULOS_LADIAR[[#This Row],[DiasVenc]]=0),"",ARTICULOS_LADIAR[[#This Row],[FechaVenc]]-ARTICULOS_LADIAR[[#This Row],[DiasVenc]])</f>
        <v/>
      </c>
      <c r="AK186"/>
      <c r="AM186"/>
      <c r="AO186" s="30" t="s">
        <v>8689</v>
      </c>
    </row>
    <row r="187" spans="1:41" x14ac:dyDescent="0.25">
      <c r="A187" s="1" t="s">
        <v>9407</v>
      </c>
      <c r="C187" t="str">
        <f t="shared" si="7"/>
        <v>KIO77971692</v>
      </c>
      <c r="D187" t="s">
        <v>8689</v>
      </c>
      <c r="E187" s="1" t="s">
        <v>9408</v>
      </c>
      <c r="F187" s="61">
        <f>F186</f>
        <v>508.36</v>
      </c>
      <c r="G187" s="3">
        <v>10.5</v>
      </c>
      <c r="H187" s="4" t="s">
        <v>8690</v>
      </c>
      <c r="I187">
        <v>56</v>
      </c>
      <c r="J187" s="37">
        <v>1</v>
      </c>
      <c r="K187" s="4"/>
      <c r="L187" s="66">
        <f>((ARTICULOS_LADIAR[[#This Row],[P. Compra]]*(1+ARTICULOS_LADIAR[[#This Row],[IVA]]%))/ARTICULOS_LADIAR[[#This Row],[UnidFact]])+ARTICULOS_LADIAR[[#This Row],[CostoFlete]]</f>
        <v>561.73779999999999</v>
      </c>
      <c r="M187">
        <v>35</v>
      </c>
      <c r="N187" s="68">
        <f>IF(L187&gt;=20,MROUND((L187*(1+(ARTICULOS_LADIAR[[#This Row],[IVA]]/100)))/(1-M187/100),50),20)</f>
        <v>950</v>
      </c>
      <c r="O187" s="3">
        <f>MROUND((ARTICULOS_LADIAR[[#This Row],[Precio]]/0.6),50)</f>
        <v>1600</v>
      </c>
      <c r="P187" t="s">
        <v>8693</v>
      </c>
      <c r="Q187">
        <v>3</v>
      </c>
      <c r="R187" s="3">
        <f>ARTICULOS_LADIAR[[#This Row],[Bulto]]+ARTICULOS_LADIAR[[#This Row],[Minimo]]</f>
        <v>59</v>
      </c>
      <c r="S187" t="s">
        <v>32</v>
      </c>
      <c r="T187" t="s">
        <v>27</v>
      </c>
      <c r="U187" t="s">
        <v>88</v>
      </c>
      <c r="V187" t="s">
        <v>9073</v>
      </c>
      <c r="W187" t="s">
        <v>8692</v>
      </c>
      <c r="X187">
        <v>1</v>
      </c>
      <c r="Y187">
        <v>6</v>
      </c>
      <c r="Z187"/>
      <c r="AB187" s="80">
        <f>ARTICULOS_LADIAR[[#This Row],[Costo]]*ARTICULOS_LADIAR[[#This Row],[Pedido]]</f>
        <v>0</v>
      </c>
      <c r="AD187"/>
      <c r="AH187" s="2" t="str">
        <f>IF(AND(ARTICULOS_LADIAR[[#This Row],[FechaVenc]]=0,ARTICULOS_LADIAR[[#This Row],[DiasVenc]]=0),"",ARTICULOS_LADIAR[[#This Row],[FechaVenc]]-ARTICULOS_LADIAR[[#This Row],[DiasVenc]])</f>
        <v/>
      </c>
      <c r="AK187"/>
      <c r="AM187"/>
      <c r="AO187" s="30" t="s">
        <v>8689</v>
      </c>
    </row>
    <row r="188" spans="1:41" x14ac:dyDescent="0.25">
      <c r="A188" s="1" t="s">
        <v>9409</v>
      </c>
      <c r="C188" t="str">
        <f t="shared" si="7"/>
        <v>KIO77903501</v>
      </c>
      <c r="D188" t="s">
        <v>8689</v>
      </c>
      <c r="E188" s="1" t="s">
        <v>9410</v>
      </c>
      <c r="F188" s="61">
        <v>574.91</v>
      </c>
      <c r="G188" s="3">
        <v>10.5</v>
      </c>
      <c r="H188" s="4" t="s">
        <v>8690</v>
      </c>
      <c r="I188">
        <v>56</v>
      </c>
      <c r="J188" s="37">
        <v>1</v>
      </c>
      <c r="K188" s="4"/>
      <c r="L188" s="66">
        <f>((ARTICULOS_LADIAR[[#This Row],[P. Compra]]*(1+ARTICULOS_LADIAR[[#This Row],[IVA]]%))/ARTICULOS_LADIAR[[#This Row],[UnidFact]])+ARTICULOS_LADIAR[[#This Row],[CostoFlete]]</f>
        <v>635.27554999999995</v>
      </c>
      <c r="M188">
        <v>35</v>
      </c>
      <c r="N188" s="68">
        <f>IF(L188&gt;=20,MROUND((L188*(1+(ARTICULOS_LADIAR[[#This Row],[IVA]]/100)))/(1-M188/100),50),20)</f>
        <v>1100</v>
      </c>
      <c r="O188" s="3">
        <f>MROUND((ARTICULOS_LADIAR[[#This Row],[Precio]]/0.6),50)</f>
        <v>1850</v>
      </c>
      <c r="P188" t="s">
        <v>8693</v>
      </c>
      <c r="Q188">
        <v>2</v>
      </c>
      <c r="R188" s="3">
        <f>ARTICULOS_LADIAR[[#This Row],[Bulto]]+ARTICULOS_LADIAR[[#This Row],[Minimo]]</f>
        <v>58</v>
      </c>
      <c r="S188" t="s">
        <v>32</v>
      </c>
      <c r="T188" t="s">
        <v>27</v>
      </c>
      <c r="U188" t="s">
        <v>88</v>
      </c>
      <c r="V188" t="s">
        <v>9073</v>
      </c>
      <c r="W188" t="s">
        <v>8692</v>
      </c>
      <c r="X188">
        <v>1</v>
      </c>
      <c r="Y188">
        <v>0</v>
      </c>
      <c r="Z188"/>
      <c r="AB188" s="80">
        <f>ARTICULOS_LADIAR[[#This Row],[Costo]]*ARTICULOS_LADIAR[[#This Row],[Pedido]]</f>
        <v>0</v>
      </c>
      <c r="AD188"/>
      <c r="AH188" s="2" t="str">
        <f>IF(AND(ARTICULOS_LADIAR[[#This Row],[FechaVenc]]=0,ARTICULOS_LADIAR[[#This Row],[DiasVenc]]=0),"",ARTICULOS_LADIAR[[#This Row],[FechaVenc]]-ARTICULOS_LADIAR[[#This Row],[DiasVenc]])</f>
        <v/>
      </c>
      <c r="AK188"/>
      <c r="AM188"/>
      <c r="AO188" s="30" t="s">
        <v>8689</v>
      </c>
    </row>
    <row r="189" spans="1:41" x14ac:dyDescent="0.25">
      <c r="A189" s="1" t="s">
        <v>9382</v>
      </c>
      <c r="C189" t="str">
        <f t="shared" si="7"/>
        <v>ALM40140929</v>
      </c>
      <c r="D189" t="s">
        <v>8689</v>
      </c>
      <c r="E189" s="1" t="s">
        <v>9383</v>
      </c>
      <c r="F189" s="61">
        <v>648.99</v>
      </c>
      <c r="G189" s="3">
        <v>10.5</v>
      </c>
      <c r="H189" s="4" t="s">
        <v>8690</v>
      </c>
      <c r="I189">
        <v>1</v>
      </c>
      <c r="J189" s="37">
        <f>ARTICULOS_LADIAR[[#This Row],[Bulto]]</f>
        <v>1</v>
      </c>
      <c r="K189" s="4"/>
      <c r="L189" s="66">
        <f>((ARTICULOS_LADIAR[[#This Row],[P. Compra]]*(1+ARTICULOS_LADIAR[[#This Row],[IVA]]%))/ARTICULOS_LADIAR[[#This Row],[UnidFact]])+ARTICULOS_LADIAR[[#This Row],[CostoFlete]]</f>
        <v>717.13395000000003</v>
      </c>
      <c r="M189">
        <v>35</v>
      </c>
      <c r="N189" s="68">
        <f>IF(L189&gt;=20,MROUND((L189*(1+(ARTICULOS_LADIAR[[#This Row],[IVA]]/100)))/(1-M189/100),50),20)</f>
        <v>1200</v>
      </c>
      <c r="O189" s="3">
        <f>MROUND((ARTICULOS_LADIAR[[#This Row],[Precio]]/0.6),50)</f>
        <v>2000</v>
      </c>
      <c r="P189" t="s">
        <v>8693</v>
      </c>
      <c r="Q189">
        <v>4</v>
      </c>
      <c r="R189" s="3">
        <f>ARTICULOS_LADIAR[[#This Row],[Bulto]]+ARTICULOS_LADIAR[[#This Row],[Minimo]]</f>
        <v>5</v>
      </c>
      <c r="S189" t="s">
        <v>32</v>
      </c>
      <c r="T189" t="s">
        <v>4</v>
      </c>
      <c r="U189" t="s">
        <v>88</v>
      </c>
      <c r="V189" t="s">
        <v>9374</v>
      </c>
      <c r="W189" t="s">
        <v>8692</v>
      </c>
      <c r="X189">
        <v>1</v>
      </c>
      <c r="Y189">
        <v>2</v>
      </c>
      <c r="Z189"/>
      <c r="AB189" s="80">
        <f>ARTICULOS_LADIAR[[#This Row],[Costo]]*ARTICULOS_LADIAR[[#This Row],[Pedido]]</f>
        <v>0</v>
      </c>
      <c r="AD189"/>
      <c r="AH189" s="2" t="str">
        <f>IF(AND(ARTICULOS_LADIAR[[#This Row],[FechaVenc]]=0,ARTICULOS_LADIAR[[#This Row],[DiasVenc]]=0),"",ARTICULOS_LADIAR[[#This Row],[FechaVenc]]-ARTICULOS_LADIAR[[#This Row],[DiasVenc]])</f>
        <v/>
      </c>
      <c r="AK189"/>
      <c r="AM189"/>
      <c r="AO189" s="30" t="s">
        <v>8689</v>
      </c>
    </row>
    <row r="190" spans="1:41" x14ac:dyDescent="0.25">
      <c r="A190" s="1" t="s">
        <v>9384</v>
      </c>
      <c r="C190" t="str">
        <f t="shared" si="7"/>
        <v>ALM40140912</v>
      </c>
      <c r="D190" t="s">
        <v>8689</v>
      </c>
      <c r="E190" s="1" t="s">
        <v>9385</v>
      </c>
      <c r="F190" s="61">
        <f>F189</f>
        <v>648.99</v>
      </c>
      <c r="G190" s="3">
        <v>10.5</v>
      </c>
      <c r="H190" s="4" t="s">
        <v>8690</v>
      </c>
      <c r="I190">
        <v>1</v>
      </c>
      <c r="J190" s="37">
        <f>ARTICULOS_LADIAR[[#This Row],[Bulto]]</f>
        <v>1</v>
      </c>
      <c r="K190" s="4"/>
      <c r="L190" s="66">
        <f>((ARTICULOS_LADIAR[[#This Row],[P. Compra]]*(1+ARTICULOS_LADIAR[[#This Row],[IVA]]%))/ARTICULOS_LADIAR[[#This Row],[UnidFact]])+ARTICULOS_LADIAR[[#This Row],[CostoFlete]]</f>
        <v>717.13395000000003</v>
      </c>
      <c r="M190">
        <v>35</v>
      </c>
      <c r="N190" s="68">
        <f>IF(L190&gt;=20,MROUND((L190*(1+(ARTICULOS_LADIAR[[#This Row],[IVA]]/100)))/(1-M190/100),50),20)</f>
        <v>1200</v>
      </c>
      <c r="O190" s="3">
        <f>MROUND((ARTICULOS_LADIAR[[#This Row],[Precio]]/0.6),50)</f>
        <v>2000</v>
      </c>
      <c r="P190" t="s">
        <v>8693</v>
      </c>
      <c r="Q190">
        <v>4</v>
      </c>
      <c r="R190" s="3">
        <f>ARTICULOS_LADIAR[[#This Row],[Bulto]]+ARTICULOS_LADIAR[[#This Row],[Minimo]]</f>
        <v>5</v>
      </c>
      <c r="S190" t="s">
        <v>32</v>
      </c>
      <c r="T190" t="s">
        <v>4</v>
      </c>
      <c r="U190" t="s">
        <v>88</v>
      </c>
      <c r="V190" t="s">
        <v>9374</v>
      </c>
      <c r="W190" t="s">
        <v>8692</v>
      </c>
      <c r="X190">
        <v>1</v>
      </c>
      <c r="Y190">
        <v>4</v>
      </c>
      <c r="Z190"/>
      <c r="AB190" s="80">
        <f>ARTICULOS_LADIAR[[#This Row],[Costo]]*ARTICULOS_LADIAR[[#This Row],[Pedido]]</f>
        <v>0</v>
      </c>
      <c r="AD190"/>
      <c r="AH190" s="2" t="str">
        <f>IF(AND(ARTICULOS_LADIAR[[#This Row],[FechaVenc]]=0,ARTICULOS_LADIAR[[#This Row],[DiasVenc]]=0),"",ARTICULOS_LADIAR[[#This Row],[FechaVenc]]-ARTICULOS_LADIAR[[#This Row],[DiasVenc]])</f>
        <v/>
      </c>
      <c r="AK190"/>
      <c r="AM190"/>
      <c r="AO190" s="30" t="s">
        <v>8689</v>
      </c>
    </row>
    <row r="191" spans="1:41" x14ac:dyDescent="0.25">
      <c r="A191" s="1" t="s">
        <v>9418</v>
      </c>
      <c r="C191" t="str">
        <f t="shared" si="7"/>
        <v>KIO77940131</v>
      </c>
      <c r="D191" t="s">
        <v>8689</v>
      </c>
      <c r="E191" s="1" t="s">
        <v>9419</v>
      </c>
      <c r="F191" s="61">
        <v>7618.91</v>
      </c>
      <c r="G191" s="3">
        <v>10.5</v>
      </c>
      <c r="H191" s="4" t="s">
        <v>8690</v>
      </c>
      <c r="I191">
        <v>50</v>
      </c>
      <c r="J191" s="37">
        <f>ARTICULOS_LADIAR[[#This Row],[Bulto]]</f>
        <v>50</v>
      </c>
      <c r="K191" s="4"/>
      <c r="L191" s="66">
        <f>((ARTICULOS_LADIAR[[#This Row],[P. Compra]]*(1+ARTICULOS_LADIAR[[#This Row],[IVA]]%))/ARTICULOS_LADIAR[[#This Row],[UnidFact]])+ARTICULOS_LADIAR[[#This Row],[CostoFlete]]</f>
        <v>168.37791099999998</v>
      </c>
      <c r="M191">
        <v>35</v>
      </c>
      <c r="N191" s="68">
        <f>IF(L191&gt;=20,MROUND((L191*(1+(ARTICULOS_LADIAR[[#This Row],[IVA]]/100)))/(1-M191/100),50),20)</f>
        <v>300</v>
      </c>
      <c r="O191" s="3">
        <f>MROUND((ARTICULOS_LADIAR[[#This Row],[Precio]]/0.6),50)</f>
        <v>500</v>
      </c>
      <c r="P191" t="s">
        <v>8693</v>
      </c>
      <c r="Q191">
        <v>10</v>
      </c>
      <c r="R191" s="3">
        <f>ARTICULOS_LADIAR[[#This Row],[Bulto]]+ARTICULOS_LADIAR[[#This Row],[Minimo]]</f>
        <v>60</v>
      </c>
      <c r="S191" t="s">
        <v>32</v>
      </c>
      <c r="T191" t="s">
        <v>27</v>
      </c>
      <c r="U191" t="s">
        <v>88</v>
      </c>
      <c r="V191" t="s">
        <v>9105</v>
      </c>
      <c r="W191" t="s">
        <v>8692</v>
      </c>
      <c r="X191">
        <v>1</v>
      </c>
      <c r="Y191">
        <v>14</v>
      </c>
      <c r="Z191"/>
      <c r="AB191" s="80">
        <f>ARTICULOS_LADIAR[[#This Row],[Costo]]*ARTICULOS_LADIAR[[#This Row],[Pedido]]</f>
        <v>0</v>
      </c>
      <c r="AD191"/>
      <c r="AH191" s="2" t="str">
        <f>IF(AND(ARTICULOS_LADIAR[[#This Row],[FechaVenc]]=0,ARTICULOS_LADIAR[[#This Row],[DiasVenc]]=0),"",ARTICULOS_LADIAR[[#This Row],[FechaVenc]]-ARTICULOS_LADIAR[[#This Row],[DiasVenc]])</f>
        <v/>
      </c>
      <c r="AK191"/>
      <c r="AM191"/>
      <c r="AO191" s="30" t="s">
        <v>8689</v>
      </c>
    </row>
    <row r="192" spans="1:41" x14ac:dyDescent="0.25">
      <c r="A192" s="1" t="s">
        <v>9420</v>
      </c>
      <c r="C192" t="str">
        <f t="shared" si="7"/>
        <v>KIO77975737</v>
      </c>
      <c r="D192" t="s">
        <v>8689</v>
      </c>
      <c r="E192" s="1" t="s">
        <v>9421</v>
      </c>
      <c r="F192" s="61">
        <f>F191</f>
        <v>7618.91</v>
      </c>
      <c r="G192" s="3">
        <v>10.5</v>
      </c>
      <c r="H192" s="4" t="s">
        <v>8690</v>
      </c>
      <c r="I192">
        <v>50</v>
      </c>
      <c r="J192" s="37">
        <f>ARTICULOS_LADIAR[[#This Row],[Bulto]]</f>
        <v>50</v>
      </c>
      <c r="K192" s="4"/>
      <c r="L192" s="66">
        <f>((ARTICULOS_LADIAR[[#This Row],[P. Compra]]*(1+ARTICULOS_LADIAR[[#This Row],[IVA]]%))/ARTICULOS_LADIAR[[#This Row],[UnidFact]])+ARTICULOS_LADIAR[[#This Row],[CostoFlete]]</f>
        <v>168.37791099999998</v>
      </c>
      <c r="M192">
        <v>35</v>
      </c>
      <c r="N192" s="68">
        <f>IF(L192&gt;=20,MROUND((L192*(1+(ARTICULOS_LADIAR[[#This Row],[IVA]]/100)))/(1-M192/100),50),20)</f>
        <v>300</v>
      </c>
      <c r="O192" s="3">
        <f>MROUND((ARTICULOS_LADIAR[[#This Row],[Precio]]/0.6),50)</f>
        <v>500</v>
      </c>
      <c r="P192" t="s">
        <v>8693</v>
      </c>
      <c r="Q192">
        <v>10</v>
      </c>
      <c r="R192" s="3">
        <f>ARTICULOS_LADIAR[[#This Row],[Bulto]]+ARTICULOS_LADIAR[[#This Row],[Minimo]]</f>
        <v>60</v>
      </c>
      <c r="S192" t="s">
        <v>32</v>
      </c>
      <c r="T192" t="s">
        <v>27</v>
      </c>
      <c r="U192" t="s">
        <v>88</v>
      </c>
      <c r="V192" t="s">
        <v>9105</v>
      </c>
      <c r="W192" t="s">
        <v>8692</v>
      </c>
      <c r="X192">
        <v>1</v>
      </c>
      <c r="Y192">
        <v>0</v>
      </c>
      <c r="Z192"/>
      <c r="AB192" s="80">
        <f>ARTICULOS_LADIAR[[#This Row],[Costo]]*ARTICULOS_LADIAR[[#This Row],[Pedido]]</f>
        <v>0</v>
      </c>
      <c r="AD192"/>
      <c r="AH192" s="2" t="str">
        <f>IF(AND(ARTICULOS_LADIAR[[#This Row],[FechaVenc]]=0,ARTICULOS_LADIAR[[#This Row],[DiasVenc]]=0),"",ARTICULOS_LADIAR[[#This Row],[FechaVenc]]-ARTICULOS_LADIAR[[#This Row],[DiasVenc]])</f>
        <v/>
      </c>
      <c r="AK192"/>
      <c r="AM192"/>
      <c r="AO192" s="30" t="s">
        <v>8689</v>
      </c>
    </row>
    <row r="193" spans="1:41" x14ac:dyDescent="0.25">
      <c r="A193" s="1" t="s">
        <v>11745</v>
      </c>
      <c r="C193" t="str">
        <f t="shared" si="7"/>
        <v>KIO80133900</v>
      </c>
      <c r="D193" t="s">
        <v>8689</v>
      </c>
      <c r="E193" s="1" t="s">
        <v>11746</v>
      </c>
      <c r="F193" s="61">
        <v>2522.29</v>
      </c>
      <c r="G193" s="3">
        <v>10.5</v>
      </c>
      <c r="H193" s="4" t="s">
        <v>8690</v>
      </c>
      <c r="I193">
        <v>12</v>
      </c>
      <c r="J193" s="37">
        <v>1</v>
      </c>
      <c r="K193" s="4"/>
      <c r="L193" s="66">
        <f>((ARTICULOS_LADIAR[[#This Row],[P. Compra]]*(1+ARTICULOS_LADIAR[[#This Row],[IVA]]%))/ARTICULOS_LADIAR[[#This Row],[UnidFact]])+ARTICULOS_LADIAR[[#This Row],[CostoFlete]]</f>
        <v>2787.1304500000001</v>
      </c>
      <c r="M193">
        <v>35</v>
      </c>
      <c r="N193" s="68">
        <f>IF(L193&gt;=20,MROUND((L193*(1+(ARTICULOS_LADIAR[[#This Row],[IVA]]/100)))/(1-M193/100),50),20)</f>
        <v>4750</v>
      </c>
      <c r="O193" s="3">
        <f>MROUND((ARTICULOS_LADIAR[[#This Row],[Precio]]/0.6),50)</f>
        <v>7900</v>
      </c>
      <c r="P193" t="s">
        <v>8693</v>
      </c>
      <c r="Q193">
        <v>2</v>
      </c>
      <c r="R193" s="3">
        <f>ARTICULOS_LADIAR[[#This Row],[Bulto]]+ARTICULOS_LADIAR[[#This Row],[Minimo]]</f>
        <v>14</v>
      </c>
      <c r="S193" t="s">
        <v>70</v>
      </c>
      <c r="T193" t="s">
        <v>27</v>
      </c>
      <c r="U193" t="s">
        <v>11756</v>
      </c>
      <c r="V193" t="s">
        <v>9070</v>
      </c>
      <c r="W193" t="s">
        <v>8692</v>
      </c>
      <c r="X193">
        <v>1</v>
      </c>
      <c r="Y193">
        <v>12</v>
      </c>
      <c r="Z193"/>
      <c r="AB193" s="80">
        <f>ARTICULOS_LADIAR[[#This Row],[Costo]]*ARTICULOS_LADIAR[[#This Row],[Pedido]]</f>
        <v>0</v>
      </c>
      <c r="AD193"/>
      <c r="AH193" s="2" t="str">
        <f>IF(AND(ARTICULOS_LADIAR[[#This Row],[FechaVenc]]=0,ARTICULOS_LADIAR[[#This Row],[DiasVenc]]=0),"",ARTICULOS_LADIAR[[#This Row],[FechaVenc]]-ARTICULOS_LADIAR[[#This Row],[DiasVenc]])</f>
        <v/>
      </c>
      <c r="AK193"/>
      <c r="AM193"/>
      <c r="AO193" s="30" t="s">
        <v>8689</v>
      </c>
    </row>
    <row r="194" spans="1:41" x14ac:dyDescent="0.25">
      <c r="A194" s="1" t="s">
        <v>9234</v>
      </c>
      <c r="C194" t="str">
        <f t="shared" si="7"/>
        <v>KIO77975263</v>
      </c>
      <c r="D194" t="s">
        <v>8689</v>
      </c>
      <c r="E194" s="24" t="s">
        <v>11752</v>
      </c>
      <c r="F194" s="61">
        <v>8922.02</v>
      </c>
      <c r="G194" s="3">
        <v>10.5</v>
      </c>
      <c r="H194" s="4" t="s">
        <v>8690</v>
      </c>
      <c r="I194">
        <v>30</v>
      </c>
      <c r="J194" s="37">
        <v>30</v>
      </c>
      <c r="K194" s="4"/>
      <c r="L194" s="66">
        <f>((ARTICULOS_LADIAR[[#This Row],[P. Compra]]*(1+ARTICULOS_LADIAR[[#This Row],[IVA]]%))/ARTICULOS_LADIAR[[#This Row],[UnidFact]])+ARTICULOS_LADIAR[[#This Row],[CostoFlete]]</f>
        <v>328.62773666666664</v>
      </c>
      <c r="M194">
        <v>35</v>
      </c>
      <c r="N194" s="68">
        <f>IF(L194&gt;=20,MROUND((L194*(1+(ARTICULOS_LADIAR[[#This Row],[IVA]]/100)))/(1-M194/100),50),20)</f>
        <v>550</v>
      </c>
      <c r="O194" s="3">
        <f>MROUND((ARTICULOS_LADIAR[[#This Row],[Precio]]/0.6),50)</f>
        <v>900</v>
      </c>
      <c r="P194" t="s">
        <v>8693</v>
      </c>
      <c r="Q194">
        <v>10</v>
      </c>
      <c r="R194" s="3">
        <f>ARTICULOS_LADIAR[[#This Row],[Bulto]]+ARTICULOS_LADIAR[[#This Row],[Minimo]]</f>
        <v>40</v>
      </c>
      <c r="S194" t="s">
        <v>70</v>
      </c>
      <c r="T194" t="s">
        <v>27</v>
      </c>
      <c r="U194" t="s">
        <v>11756</v>
      </c>
      <c r="V194" t="s">
        <v>9070</v>
      </c>
      <c r="W194" t="s">
        <v>8692</v>
      </c>
      <c r="X194">
        <v>1</v>
      </c>
      <c r="Y194">
        <v>6</v>
      </c>
      <c r="Z194"/>
      <c r="AB194" s="80">
        <f>ARTICULOS_LADIAR[[#This Row],[Costo]]*ARTICULOS_LADIAR[[#This Row],[Pedido]]</f>
        <v>0</v>
      </c>
      <c r="AD194"/>
      <c r="AH194" s="2" t="str">
        <f>IF(AND(ARTICULOS_LADIAR[[#This Row],[FechaVenc]]=0,ARTICULOS_LADIAR[[#This Row],[DiasVenc]]=0),"",ARTICULOS_LADIAR[[#This Row],[FechaVenc]]-ARTICULOS_LADIAR[[#This Row],[DiasVenc]])</f>
        <v/>
      </c>
      <c r="AK194"/>
      <c r="AM194"/>
      <c r="AO194" s="30" t="s">
        <v>8689</v>
      </c>
    </row>
    <row r="195" spans="1:41" x14ac:dyDescent="0.25">
      <c r="A195" s="1" t="s">
        <v>11750</v>
      </c>
      <c r="C195" t="str">
        <f t="shared" si="7"/>
        <v>KIO80195007</v>
      </c>
      <c r="D195" t="s">
        <v>8689</v>
      </c>
      <c r="E195" s="1" t="s">
        <v>11749</v>
      </c>
      <c r="F195" s="61">
        <v>667.67</v>
      </c>
      <c r="G195" s="3">
        <v>10.5</v>
      </c>
      <c r="H195" s="4" t="s">
        <v>8690</v>
      </c>
      <c r="I195">
        <v>24</v>
      </c>
      <c r="J195" s="37">
        <v>1</v>
      </c>
      <c r="K195" s="4"/>
      <c r="L195" s="66">
        <f>((ARTICULOS_LADIAR[[#This Row],[P. Compra]]*(1+ARTICULOS_LADIAR[[#This Row],[IVA]]%))/ARTICULOS_LADIAR[[#This Row],[UnidFact]])+ARTICULOS_LADIAR[[#This Row],[CostoFlete]]</f>
        <v>737.77534999999989</v>
      </c>
      <c r="M195">
        <v>35</v>
      </c>
      <c r="N195" s="68">
        <f>IF(L195&gt;=20,MROUND((L195*(1+(ARTICULOS_LADIAR[[#This Row],[IVA]]/100)))/(1-M195/100),50),20)</f>
        <v>1250</v>
      </c>
      <c r="O195" s="3">
        <f>MROUND((ARTICULOS_LADIAR[[#This Row],[Precio]]/0.6),50)</f>
        <v>2100</v>
      </c>
      <c r="P195" t="s">
        <v>8693</v>
      </c>
      <c r="Q195">
        <v>2</v>
      </c>
      <c r="R195" s="3">
        <f>ARTICULOS_LADIAR[[#This Row],[Bulto]]+ARTICULOS_LADIAR[[#This Row],[Minimo]]</f>
        <v>26</v>
      </c>
      <c r="S195" t="s">
        <v>70</v>
      </c>
      <c r="T195" t="s">
        <v>27</v>
      </c>
      <c r="U195" t="s">
        <v>11756</v>
      </c>
      <c r="V195" t="s">
        <v>9070</v>
      </c>
      <c r="W195" t="s">
        <v>8692</v>
      </c>
      <c r="X195">
        <v>1</v>
      </c>
      <c r="Y195">
        <v>24</v>
      </c>
      <c r="Z195"/>
      <c r="AB195" s="80">
        <f>ARTICULOS_LADIAR[[#This Row],[Costo]]*ARTICULOS_LADIAR[[#This Row],[Pedido]]</f>
        <v>0</v>
      </c>
      <c r="AD195"/>
      <c r="AH195" s="2" t="str">
        <f>IF(AND(ARTICULOS_LADIAR[[#This Row],[FechaVenc]]=0,ARTICULOS_LADIAR[[#This Row],[DiasVenc]]=0),"",ARTICULOS_LADIAR[[#This Row],[FechaVenc]]-ARTICULOS_LADIAR[[#This Row],[DiasVenc]])</f>
        <v/>
      </c>
      <c r="AK195"/>
      <c r="AM195"/>
      <c r="AO195" s="30" t="s">
        <v>8689</v>
      </c>
    </row>
    <row r="196" spans="1:41" x14ac:dyDescent="0.25">
      <c r="A196" s="1" t="s">
        <v>11743</v>
      </c>
      <c r="C196" t="str">
        <f t="shared" ref="C196:C227" si="11">CONCATENATE(LEFT(T196,3),RIGHT(A196,8))</f>
        <v>KIO80463403</v>
      </c>
      <c r="D196" t="s">
        <v>8689</v>
      </c>
      <c r="E196" s="1" t="s">
        <v>11744</v>
      </c>
      <c r="F196" s="61">
        <v>667.67</v>
      </c>
      <c r="G196" s="3">
        <v>10.5</v>
      </c>
      <c r="H196" s="4" t="s">
        <v>8690</v>
      </c>
      <c r="I196">
        <v>24</v>
      </c>
      <c r="J196" s="37">
        <v>1</v>
      </c>
      <c r="K196" s="4"/>
      <c r="L196" s="66">
        <f>((ARTICULOS_LADIAR[[#This Row],[P. Compra]]*(1+ARTICULOS_LADIAR[[#This Row],[IVA]]%))/ARTICULOS_LADIAR[[#This Row],[UnidFact]])+ARTICULOS_LADIAR[[#This Row],[CostoFlete]]</f>
        <v>737.77534999999989</v>
      </c>
      <c r="M196">
        <v>35</v>
      </c>
      <c r="N196" s="68">
        <f>IF(L196&gt;=20,MROUND((L196*(1+(ARTICULOS_LADIAR[[#This Row],[IVA]]/100)))/(1-M196/100),50),20)</f>
        <v>1250</v>
      </c>
      <c r="O196" s="3">
        <f>MROUND((ARTICULOS_LADIAR[[#This Row],[Precio]]/0.6),50)</f>
        <v>2100</v>
      </c>
      <c r="P196" t="s">
        <v>8693</v>
      </c>
      <c r="Q196">
        <v>2</v>
      </c>
      <c r="R196" s="3">
        <f>ARTICULOS_LADIAR[[#This Row],[Bulto]]+ARTICULOS_LADIAR[[#This Row],[Minimo]]</f>
        <v>26</v>
      </c>
      <c r="S196" t="s">
        <v>70</v>
      </c>
      <c r="T196" t="s">
        <v>27</v>
      </c>
      <c r="U196" t="s">
        <v>11756</v>
      </c>
      <c r="V196" t="s">
        <v>9070</v>
      </c>
      <c r="W196" t="s">
        <v>8692</v>
      </c>
      <c r="X196">
        <v>1</v>
      </c>
      <c r="Y196">
        <v>24</v>
      </c>
      <c r="Z196"/>
      <c r="AB196" s="80">
        <f>ARTICULOS_LADIAR[[#This Row],[Costo]]*ARTICULOS_LADIAR[[#This Row],[Pedido]]</f>
        <v>0</v>
      </c>
      <c r="AD196"/>
      <c r="AH196" s="2" t="str">
        <f>IF(AND(ARTICULOS_LADIAR[[#This Row],[FechaVenc]]=0,ARTICULOS_LADIAR[[#This Row],[DiasVenc]]=0),"",ARTICULOS_LADIAR[[#This Row],[FechaVenc]]-ARTICULOS_LADIAR[[#This Row],[DiasVenc]])</f>
        <v/>
      </c>
      <c r="AK196"/>
      <c r="AM196"/>
      <c r="AO196" s="30" t="s">
        <v>8689</v>
      </c>
    </row>
    <row r="197" spans="1:41" x14ac:dyDescent="0.25">
      <c r="A197" s="1" t="s">
        <v>9235</v>
      </c>
      <c r="C197" t="str">
        <f t="shared" si="11"/>
        <v>KIO80587901</v>
      </c>
      <c r="D197" t="s">
        <v>8689</v>
      </c>
      <c r="E197" s="24" t="s">
        <v>11753</v>
      </c>
      <c r="F197" s="61">
        <v>3784.5</v>
      </c>
      <c r="G197" s="3">
        <v>10.5</v>
      </c>
      <c r="H197" s="4" t="s">
        <v>8690</v>
      </c>
      <c r="I197">
        <v>1</v>
      </c>
      <c r="J197" s="37">
        <v>1</v>
      </c>
      <c r="K197" s="4"/>
      <c r="L197" s="66">
        <f>((ARTICULOS_LADIAR[[#This Row],[P. Compra]]*(1+ARTICULOS_LADIAR[[#This Row],[IVA]]%))/ARTICULOS_LADIAR[[#This Row],[UnidFact]])+ARTICULOS_LADIAR[[#This Row],[CostoFlete]]</f>
        <v>4181.8724999999995</v>
      </c>
      <c r="M197">
        <v>35</v>
      </c>
      <c r="N197" s="68">
        <f>IF(L197&gt;=20,MROUND((L197*(1+(ARTICULOS_LADIAR[[#This Row],[IVA]]/100)))/(1-M197/100),50),20)</f>
        <v>7100</v>
      </c>
      <c r="O197" s="3">
        <f>MROUND((ARTICULOS_LADIAR[[#This Row],[Precio]]/0.6),50)</f>
        <v>11850</v>
      </c>
      <c r="P197" t="s">
        <v>8693</v>
      </c>
      <c r="Q197">
        <v>2</v>
      </c>
      <c r="R197" s="3">
        <f>ARTICULOS_LADIAR[[#This Row],[Bulto]]+ARTICULOS_LADIAR[[#This Row],[Minimo]]</f>
        <v>3</v>
      </c>
      <c r="S197" t="s">
        <v>70</v>
      </c>
      <c r="T197" t="s">
        <v>27</v>
      </c>
      <c r="U197" t="s">
        <v>11756</v>
      </c>
      <c r="V197" t="s">
        <v>9070</v>
      </c>
      <c r="W197" t="s">
        <v>8692</v>
      </c>
      <c r="X197">
        <v>1</v>
      </c>
      <c r="Y197">
        <v>0</v>
      </c>
      <c r="Z197"/>
      <c r="AB197" s="80">
        <f>ARTICULOS_LADIAR[[#This Row],[Costo]]*ARTICULOS_LADIAR[[#This Row],[Pedido]]</f>
        <v>0</v>
      </c>
      <c r="AD197"/>
      <c r="AH197" s="2" t="str">
        <f>IF(AND(ARTICULOS_LADIAR[[#This Row],[FechaVenc]]=0,ARTICULOS_LADIAR[[#This Row],[DiasVenc]]=0),"",ARTICULOS_LADIAR[[#This Row],[FechaVenc]]-ARTICULOS_LADIAR[[#This Row],[DiasVenc]])</f>
        <v/>
      </c>
      <c r="AK197"/>
      <c r="AM197"/>
      <c r="AO197" s="30" t="s">
        <v>8689</v>
      </c>
    </row>
    <row r="198" spans="1:41" x14ac:dyDescent="0.25">
      <c r="A198" s="1" t="s">
        <v>9236</v>
      </c>
      <c r="C198" t="str">
        <f t="shared" si="11"/>
        <v>KIO80136932</v>
      </c>
      <c r="D198" t="s">
        <v>8689</v>
      </c>
      <c r="E198" s="24" t="s">
        <v>11754</v>
      </c>
      <c r="F198" s="61">
        <v>2197.0300000000002</v>
      </c>
      <c r="G198" s="3">
        <v>10.5</v>
      </c>
      <c r="H198" s="4" t="s">
        <v>8690</v>
      </c>
      <c r="I198">
        <v>280</v>
      </c>
      <c r="J198" s="37">
        <v>1</v>
      </c>
      <c r="K198" s="4"/>
      <c r="L198" s="66">
        <f>((ARTICULOS_LADIAR[[#This Row],[P. Compra]]*(1+ARTICULOS_LADIAR[[#This Row],[IVA]]%))/ARTICULOS_LADIAR[[#This Row],[UnidFact]])+ARTICULOS_LADIAR[[#This Row],[CostoFlete]]</f>
        <v>2427.7181500000002</v>
      </c>
      <c r="M198">
        <v>35</v>
      </c>
      <c r="N198" s="68">
        <f>IF(L198&gt;=20,MROUND((L198*(1+(ARTICULOS_LADIAR[[#This Row],[IVA]]/100)))/(1-M198/100),50),20)</f>
        <v>4150</v>
      </c>
      <c r="O198" s="3">
        <f>MROUND((ARTICULOS_LADIAR[[#This Row],[Precio]]/0.6),50)</f>
        <v>6900</v>
      </c>
      <c r="P198" t="s">
        <v>8693</v>
      </c>
      <c r="Q198">
        <v>2</v>
      </c>
      <c r="R198" s="3">
        <f>ARTICULOS_LADIAR[[#This Row],[Bulto]]+ARTICULOS_LADIAR[[#This Row],[Minimo]]</f>
        <v>282</v>
      </c>
      <c r="S198" t="s">
        <v>70</v>
      </c>
      <c r="T198" t="s">
        <v>27</v>
      </c>
      <c r="U198" t="s">
        <v>11756</v>
      </c>
      <c r="V198" t="s">
        <v>9070</v>
      </c>
      <c r="W198" t="s">
        <v>8692</v>
      </c>
      <c r="X198">
        <v>1</v>
      </c>
      <c r="Y198">
        <v>0</v>
      </c>
      <c r="Z198"/>
      <c r="AB198" s="80">
        <f>ARTICULOS_LADIAR[[#This Row],[Costo]]*ARTICULOS_LADIAR[[#This Row],[Pedido]]</f>
        <v>0</v>
      </c>
      <c r="AD198"/>
      <c r="AH198" s="2" t="str">
        <f>IF(AND(ARTICULOS_LADIAR[[#This Row],[FechaVenc]]=0,ARTICULOS_LADIAR[[#This Row],[DiasVenc]]=0),"",ARTICULOS_LADIAR[[#This Row],[FechaVenc]]-ARTICULOS_LADIAR[[#This Row],[DiasVenc]])</f>
        <v/>
      </c>
      <c r="AK198"/>
      <c r="AM198"/>
      <c r="AO198" s="30" t="s">
        <v>8689</v>
      </c>
    </row>
    <row r="199" spans="1:41" x14ac:dyDescent="0.25">
      <c r="A199" s="1" t="s">
        <v>11747</v>
      </c>
      <c r="C199" t="str">
        <f t="shared" si="11"/>
        <v>KIO80581602</v>
      </c>
      <c r="D199" t="s">
        <v>8689</v>
      </c>
      <c r="E199" s="1" t="s">
        <v>11748</v>
      </c>
      <c r="F199" s="61">
        <v>3784.5</v>
      </c>
      <c r="G199" s="3">
        <v>10.5</v>
      </c>
      <c r="H199" s="4" t="s">
        <v>8690</v>
      </c>
      <c r="I199">
        <v>1</v>
      </c>
      <c r="J199" s="37">
        <v>1</v>
      </c>
      <c r="K199" s="4"/>
      <c r="L199" s="66">
        <f>((ARTICULOS_LADIAR[[#This Row],[P. Compra]]*(1+ARTICULOS_LADIAR[[#This Row],[IVA]]%))/ARTICULOS_LADIAR[[#This Row],[UnidFact]])+ARTICULOS_LADIAR[[#This Row],[CostoFlete]]</f>
        <v>4181.8724999999995</v>
      </c>
      <c r="M199">
        <v>35</v>
      </c>
      <c r="N199" s="68">
        <f>IF(L199&gt;=20,MROUND((L199*(1+(ARTICULOS_LADIAR[[#This Row],[IVA]]/100)))/(1-M199/100),50),20)</f>
        <v>7100</v>
      </c>
      <c r="O199" s="3">
        <f>MROUND((ARTICULOS_LADIAR[[#This Row],[Precio]]/0.6),50)</f>
        <v>11850</v>
      </c>
      <c r="P199" t="s">
        <v>8693</v>
      </c>
      <c r="Q199">
        <v>2</v>
      </c>
      <c r="R199" s="3">
        <f>ARTICULOS_LADIAR[[#This Row],[Bulto]]+ARTICULOS_LADIAR[[#This Row],[Minimo]]</f>
        <v>3</v>
      </c>
      <c r="S199" t="s">
        <v>70</v>
      </c>
      <c r="T199" t="s">
        <v>27</v>
      </c>
      <c r="U199" t="s">
        <v>11756</v>
      </c>
      <c r="V199" t="s">
        <v>9070</v>
      </c>
      <c r="W199" t="s">
        <v>8692</v>
      </c>
      <c r="X199">
        <v>1</v>
      </c>
      <c r="Y199">
        <v>6</v>
      </c>
      <c r="Z199"/>
      <c r="AB199" s="80">
        <f>ARTICULOS_LADIAR[[#This Row],[Costo]]*ARTICULOS_LADIAR[[#This Row],[Pedido]]</f>
        <v>0</v>
      </c>
      <c r="AD199"/>
      <c r="AH199" s="2" t="str">
        <f>IF(AND(ARTICULOS_LADIAR[[#This Row],[FechaVenc]]=0,ARTICULOS_LADIAR[[#This Row],[DiasVenc]]=0),"",ARTICULOS_LADIAR[[#This Row],[FechaVenc]]-ARTICULOS_LADIAR[[#This Row],[DiasVenc]])</f>
        <v/>
      </c>
      <c r="AK199"/>
      <c r="AM199"/>
      <c r="AO199" s="30" t="s">
        <v>8689</v>
      </c>
    </row>
    <row r="200" spans="1:41" x14ac:dyDescent="0.25">
      <c r="A200" s="1" t="s">
        <v>9422</v>
      </c>
      <c r="C200" t="str">
        <f t="shared" si="11"/>
        <v>KIO77958631</v>
      </c>
      <c r="D200" t="s">
        <v>8689</v>
      </c>
      <c r="E200" s="24" t="s">
        <v>9423</v>
      </c>
      <c r="F200" s="61">
        <v>3610.86</v>
      </c>
      <c r="G200" s="3">
        <v>10.5</v>
      </c>
      <c r="H200" s="4" t="s">
        <v>8690</v>
      </c>
      <c r="I200">
        <v>12</v>
      </c>
      <c r="J200" s="37">
        <f>ARTICULOS_LADIAR[[#This Row],[Bulto]]</f>
        <v>12</v>
      </c>
      <c r="K200" s="4"/>
      <c r="L200" s="66">
        <f>((ARTICULOS_LADIAR[[#This Row],[P. Compra]]*(1+ARTICULOS_LADIAR[[#This Row],[IVA]]%))/ARTICULOS_LADIAR[[#This Row],[UnidFact]])+ARTICULOS_LADIAR[[#This Row],[CostoFlete]]</f>
        <v>332.50002499999999</v>
      </c>
      <c r="M200">
        <v>40</v>
      </c>
      <c r="N200" s="68">
        <f>IF(L200&gt;=20,MROUND((L200*(1+(ARTICULOS_LADIAR[[#This Row],[IVA]]/100)))/(1-M200/100),50),20)</f>
        <v>600</v>
      </c>
      <c r="O200" s="3">
        <f>MROUND((ARTICULOS_LADIAR[[#This Row],[Precio]]/0.6),50)</f>
        <v>1000</v>
      </c>
      <c r="P200" t="s">
        <v>8693</v>
      </c>
      <c r="Q200">
        <v>4</v>
      </c>
      <c r="R200" s="3">
        <f>ARTICULOS_LADIAR[[#This Row],[Bulto]]+ARTICULOS_LADIAR[[#This Row],[Minimo]]</f>
        <v>16</v>
      </c>
      <c r="S200" t="s">
        <v>32</v>
      </c>
      <c r="T200" t="s">
        <v>27</v>
      </c>
      <c r="U200" t="s">
        <v>92</v>
      </c>
      <c r="V200" t="s">
        <v>9424</v>
      </c>
      <c r="W200" t="s">
        <v>8692</v>
      </c>
      <c r="X200">
        <v>1</v>
      </c>
      <c r="Y200">
        <v>7</v>
      </c>
      <c r="Z200"/>
      <c r="AB200" s="80">
        <f>ARTICULOS_LADIAR[[#This Row],[Costo]]*ARTICULOS_LADIAR[[#This Row],[Pedido]]</f>
        <v>0</v>
      </c>
      <c r="AD200"/>
      <c r="AH200" s="2" t="str">
        <f>IF(AND(ARTICULOS_LADIAR[[#This Row],[FechaVenc]]=0,ARTICULOS_LADIAR[[#This Row],[DiasVenc]]=0),"",ARTICULOS_LADIAR[[#This Row],[FechaVenc]]-ARTICULOS_LADIAR[[#This Row],[DiasVenc]])</f>
        <v/>
      </c>
      <c r="AK200"/>
      <c r="AM200"/>
      <c r="AO200" s="30" t="s">
        <v>8689</v>
      </c>
    </row>
    <row r="201" spans="1:41" x14ac:dyDescent="0.25">
      <c r="A201" s="1" t="s">
        <v>9425</v>
      </c>
      <c r="C201" t="str">
        <f t="shared" si="11"/>
        <v>KIO77958624</v>
      </c>
      <c r="D201" t="s">
        <v>8689</v>
      </c>
      <c r="E201" s="24" t="s">
        <v>9426</v>
      </c>
      <c r="F201" s="61">
        <f>F200</f>
        <v>3610.86</v>
      </c>
      <c r="G201" s="3">
        <v>10.5</v>
      </c>
      <c r="H201" s="4" t="s">
        <v>8690</v>
      </c>
      <c r="I201">
        <v>12</v>
      </c>
      <c r="J201" s="37">
        <f>ARTICULOS_LADIAR[[#This Row],[Bulto]]</f>
        <v>12</v>
      </c>
      <c r="K201" s="4"/>
      <c r="L201" s="66">
        <f>((ARTICULOS_LADIAR[[#This Row],[P. Compra]]*(1+ARTICULOS_LADIAR[[#This Row],[IVA]]%))/ARTICULOS_LADIAR[[#This Row],[UnidFact]])+ARTICULOS_LADIAR[[#This Row],[CostoFlete]]</f>
        <v>332.50002499999999</v>
      </c>
      <c r="M201">
        <v>40</v>
      </c>
      <c r="N201" s="68">
        <f>IF(L201&gt;=20,MROUND((L201*(1+(ARTICULOS_LADIAR[[#This Row],[IVA]]/100)))/(1-M201/100),50),20)</f>
        <v>600</v>
      </c>
      <c r="O201" s="3">
        <f>MROUND((ARTICULOS_LADIAR[[#This Row],[Precio]]/0.6),50)</f>
        <v>1000</v>
      </c>
      <c r="P201" t="s">
        <v>8693</v>
      </c>
      <c r="Q201">
        <v>4</v>
      </c>
      <c r="R201" s="3">
        <f>ARTICULOS_LADIAR[[#This Row],[Bulto]]+ARTICULOS_LADIAR[[#This Row],[Minimo]]</f>
        <v>16</v>
      </c>
      <c r="S201" t="s">
        <v>32</v>
      </c>
      <c r="T201" t="s">
        <v>27</v>
      </c>
      <c r="U201" t="s">
        <v>92</v>
      </c>
      <c r="V201" t="s">
        <v>9424</v>
      </c>
      <c r="W201" t="s">
        <v>8692</v>
      </c>
      <c r="X201">
        <v>1</v>
      </c>
      <c r="Y201">
        <v>14</v>
      </c>
      <c r="Z201"/>
      <c r="AB201" s="80">
        <f>ARTICULOS_LADIAR[[#This Row],[Costo]]*ARTICULOS_LADIAR[[#This Row],[Pedido]]</f>
        <v>0</v>
      </c>
      <c r="AD201"/>
      <c r="AH201" s="2" t="str">
        <f>IF(AND(ARTICULOS_LADIAR[[#This Row],[FechaVenc]]=0,ARTICULOS_LADIAR[[#This Row],[DiasVenc]]=0),"",ARTICULOS_LADIAR[[#This Row],[FechaVenc]]-ARTICULOS_LADIAR[[#This Row],[DiasVenc]])</f>
        <v/>
      </c>
      <c r="AK201"/>
      <c r="AM201"/>
      <c r="AO201" s="30" t="s">
        <v>8689</v>
      </c>
    </row>
    <row r="202" spans="1:41" x14ac:dyDescent="0.25">
      <c r="A202" s="1" t="s">
        <v>9427</v>
      </c>
      <c r="C202" t="str">
        <f t="shared" si="11"/>
        <v>KIO77958655</v>
      </c>
      <c r="D202" t="s">
        <v>8689</v>
      </c>
      <c r="E202" s="24" t="s">
        <v>9428</v>
      </c>
      <c r="F202" s="61">
        <f>F201</f>
        <v>3610.86</v>
      </c>
      <c r="G202" s="3">
        <v>10.5</v>
      </c>
      <c r="H202" s="4" t="s">
        <v>8690</v>
      </c>
      <c r="I202">
        <v>12</v>
      </c>
      <c r="J202" s="37">
        <f>ARTICULOS_LADIAR[[#This Row],[Bulto]]</f>
        <v>12</v>
      </c>
      <c r="K202" s="4"/>
      <c r="L202" s="66">
        <f>((ARTICULOS_LADIAR[[#This Row],[P. Compra]]*(1+ARTICULOS_LADIAR[[#This Row],[IVA]]%))/ARTICULOS_LADIAR[[#This Row],[UnidFact]])+ARTICULOS_LADIAR[[#This Row],[CostoFlete]]</f>
        <v>332.50002499999999</v>
      </c>
      <c r="M202">
        <v>40</v>
      </c>
      <c r="N202" s="68">
        <f>IF(L202&gt;=20,MROUND((L202*(1+(ARTICULOS_LADIAR[[#This Row],[IVA]]/100)))/(1-M202/100),50),20)</f>
        <v>600</v>
      </c>
      <c r="O202" s="3">
        <f>MROUND((ARTICULOS_LADIAR[[#This Row],[Precio]]/0.6),50)</f>
        <v>1000</v>
      </c>
      <c r="P202" t="s">
        <v>8693</v>
      </c>
      <c r="Q202">
        <v>4</v>
      </c>
      <c r="R202" s="3">
        <f>ARTICULOS_LADIAR[[#This Row],[Bulto]]+ARTICULOS_LADIAR[[#This Row],[Minimo]]</f>
        <v>16</v>
      </c>
      <c r="S202" t="s">
        <v>32</v>
      </c>
      <c r="T202" t="s">
        <v>27</v>
      </c>
      <c r="U202" t="s">
        <v>92</v>
      </c>
      <c r="V202" t="s">
        <v>9424</v>
      </c>
      <c r="W202" t="s">
        <v>8692</v>
      </c>
      <c r="X202">
        <v>1</v>
      </c>
      <c r="Y202">
        <v>10</v>
      </c>
      <c r="Z202"/>
      <c r="AB202" s="80">
        <f>ARTICULOS_LADIAR[[#This Row],[Costo]]*ARTICULOS_LADIAR[[#This Row],[Pedido]]</f>
        <v>0</v>
      </c>
      <c r="AD202"/>
      <c r="AH202" s="2" t="str">
        <f>IF(AND(ARTICULOS_LADIAR[[#This Row],[FechaVenc]]=0,ARTICULOS_LADIAR[[#This Row],[DiasVenc]]=0),"",ARTICULOS_LADIAR[[#This Row],[FechaVenc]]-ARTICULOS_LADIAR[[#This Row],[DiasVenc]])</f>
        <v/>
      </c>
      <c r="AK202"/>
      <c r="AM202"/>
      <c r="AO202" s="30" t="s">
        <v>8689</v>
      </c>
    </row>
    <row r="203" spans="1:41" x14ac:dyDescent="0.25">
      <c r="A203" s="1" t="s">
        <v>9429</v>
      </c>
      <c r="C203" t="str">
        <f t="shared" si="11"/>
        <v>KIO77958648</v>
      </c>
      <c r="D203" t="s">
        <v>8689</v>
      </c>
      <c r="E203" s="24" t="s">
        <v>9430</v>
      </c>
      <c r="F203" s="61">
        <f>F202</f>
        <v>3610.86</v>
      </c>
      <c r="G203" s="3">
        <v>10.5</v>
      </c>
      <c r="H203" s="4" t="s">
        <v>8690</v>
      </c>
      <c r="I203">
        <v>12</v>
      </c>
      <c r="J203" s="37">
        <f>ARTICULOS_LADIAR[[#This Row],[Bulto]]</f>
        <v>12</v>
      </c>
      <c r="K203" s="4"/>
      <c r="L203" s="66">
        <f>((ARTICULOS_LADIAR[[#This Row],[P. Compra]]*(1+ARTICULOS_LADIAR[[#This Row],[IVA]]%))/ARTICULOS_LADIAR[[#This Row],[UnidFact]])+ARTICULOS_LADIAR[[#This Row],[CostoFlete]]</f>
        <v>332.50002499999999</v>
      </c>
      <c r="M203">
        <v>40</v>
      </c>
      <c r="N203" s="68">
        <f>IF(L203&gt;=20,MROUND((L203*(1+(ARTICULOS_LADIAR[[#This Row],[IVA]]/100)))/(1-M203/100),50),20)</f>
        <v>600</v>
      </c>
      <c r="O203" s="3">
        <f>MROUND((ARTICULOS_LADIAR[[#This Row],[Precio]]/0.6),50)</f>
        <v>1000</v>
      </c>
      <c r="P203" t="s">
        <v>8693</v>
      </c>
      <c r="Q203">
        <v>4</v>
      </c>
      <c r="R203" s="3">
        <f>ARTICULOS_LADIAR[[#This Row],[Bulto]]+ARTICULOS_LADIAR[[#This Row],[Minimo]]</f>
        <v>16</v>
      </c>
      <c r="S203" t="s">
        <v>32</v>
      </c>
      <c r="T203" t="s">
        <v>27</v>
      </c>
      <c r="U203" t="s">
        <v>92</v>
      </c>
      <c r="V203" t="s">
        <v>9424</v>
      </c>
      <c r="W203" t="s">
        <v>8692</v>
      </c>
      <c r="X203">
        <v>1</v>
      </c>
      <c r="Y203">
        <v>10</v>
      </c>
      <c r="Z203"/>
      <c r="AB203" s="80">
        <f>ARTICULOS_LADIAR[[#This Row],[Costo]]*ARTICULOS_LADIAR[[#This Row],[Pedido]]</f>
        <v>0</v>
      </c>
      <c r="AG203" s="3"/>
      <c r="AH203" s="2" t="str">
        <f>IF(AND(ARTICULOS_LADIAR[[#This Row],[FechaVenc]]=0,ARTICULOS_LADIAR[[#This Row],[DiasVenc]]=0),"",ARTICULOS_LADIAR[[#This Row],[FechaVenc]]-ARTICULOS_LADIAR[[#This Row],[DiasVenc]])</f>
        <v/>
      </c>
      <c r="AI203" s="2"/>
      <c r="AK203"/>
      <c r="AM203"/>
      <c r="AO203" s="30" t="s">
        <v>8689</v>
      </c>
    </row>
    <row r="204" spans="1:41" x14ac:dyDescent="0.25">
      <c r="A204" s="1" t="s">
        <v>9431</v>
      </c>
      <c r="C204" t="str">
        <f t="shared" si="11"/>
        <v>KIO77944405</v>
      </c>
      <c r="D204" t="s">
        <v>8689</v>
      </c>
      <c r="E204" s="1" t="s">
        <v>9432</v>
      </c>
      <c r="F204" s="61">
        <v>4318.3599999999997</v>
      </c>
      <c r="G204" s="3">
        <v>10.5</v>
      </c>
      <c r="H204" s="4" t="s">
        <v>8690</v>
      </c>
      <c r="I204">
        <v>12</v>
      </c>
      <c r="J204" s="37">
        <f>ARTICULOS_LADIAR[[#This Row],[Bulto]]</f>
        <v>12</v>
      </c>
      <c r="K204" s="4"/>
      <c r="L204" s="66">
        <f>((ARTICULOS_LADIAR[[#This Row],[P. Compra]]*(1+ARTICULOS_LADIAR[[#This Row],[IVA]]%))/ARTICULOS_LADIAR[[#This Row],[UnidFact]])+ARTICULOS_LADIAR[[#This Row],[CostoFlete]]</f>
        <v>397.64898333333326</v>
      </c>
      <c r="M204">
        <v>40</v>
      </c>
      <c r="N204" s="68">
        <f>IF(L204&gt;=20,MROUND((L204*(1+(ARTICULOS_LADIAR[[#This Row],[IVA]]/100)))/(1-M204/100),50),20)</f>
        <v>750</v>
      </c>
      <c r="O204" s="3">
        <f>MROUND((ARTICULOS_LADIAR[[#This Row],[Precio]]/0.6),50)</f>
        <v>1250</v>
      </c>
      <c r="P204" t="s">
        <v>8693</v>
      </c>
      <c r="Q204">
        <v>4</v>
      </c>
      <c r="R204" s="3">
        <f>ARTICULOS_LADIAR[[#This Row],[Bulto]]+ARTICULOS_LADIAR[[#This Row],[Minimo]]</f>
        <v>16</v>
      </c>
      <c r="S204" t="s">
        <v>32</v>
      </c>
      <c r="T204" t="s">
        <v>27</v>
      </c>
      <c r="U204" t="s">
        <v>92</v>
      </c>
      <c r="V204" t="s">
        <v>9424</v>
      </c>
      <c r="W204" t="s">
        <v>8692</v>
      </c>
      <c r="X204">
        <v>1</v>
      </c>
      <c r="Y204">
        <v>0</v>
      </c>
      <c r="Z204"/>
      <c r="AB204" s="80">
        <f>ARTICULOS_LADIAR[[#This Row],[Costo]]*ARTICULOS_LADIAR[[#This Row],[Pedido]]</f>
        <v>0</v>
      </c>
      <c r="AD204"/>
      <c r="AH204" s="2" t="str">
        <f>IF(AND(ARTICULOS_LADIAR[[#This Row],[FechaVenc]]=0,ARTICULOS_LADIAR[[#This Row],[DiasVenc]]=0),"",ARTICULOS_LADIAR[[#This Row],[FechaVenc]]-ARTICULOS_LADIAR[[#This Row],[DiasVenc]])</f>
        <v/>
      </c>
      <c r="AK204"/>
      <c r="AM204"/>
      <c r="AO204" s="30" t="s">
        <v>8689</v>
      </c>
    </row>
    <row r="205" spans="1:41" x14ac:dyDescent="0.25">
      <c r="A205" s="1" t="s">
        <v>9433</v>
      </c>
      <c r="C205" t="str">
        <f t="shared" si="11"/>
        <v>KIO77952455</v>
      </c>
      <c r="D205" t="s">
        <v>8689</v>
      </c>
      <c r="E205" s="1" t="s">
        <v>9434</v>
      </c>
      <c r="F205" s="61">
        <f>F204</f>
        <v>4318.3599999999997</v>
      </c>
      <c r="G205" s="3">
        <v>10.5</v>
      </c>
      <c r="H205" s="4" t="s">
        <v>8690</v>
      </c>
      <c r="I205">
        <v>12</v>
      </c>
      <c r="J205" s="37">
        <f>ARTICULOS_LADIAR[[#This Row],[Bulto]]</f>
        <v>12</v>
      </c>
      <c r="K205" s="4"/>
      <c r="L205" s="66">
        <f>((ARTICULOS_LADIAR[[#This Row],[P. Compra]]*(1+ARTICULOS_LADIAR[[#This Row],[IVA]]%))/ARTICULOS_LADIAR[[#This Row],[UnidFact]])+ARTICULOS_LADIAR[[#This Row],[CostoFlete]]</f>
        <v>397.64898333333326</v>
      </c>
      <c r="M205">
        <v>40</v>
      </c>
      <c r="N205" s="68">
        <f>IF(L205&gt;=20,MROUND((L205*(1+(ARTICULOS_LADIAR[[#This Row],[IVA]]/100)))/(1-M205/100),50),20)</f>
        <v>750</v>
      </c>
      <c r="O205" s="3">
        <f>MROUND((ARTICULOS_LADIAR[[#This Row],[Precio]]/0.6),50)</f>
        <v>1250</v>
      </c>
      <c r="P205" t="s">
        <v>8693</v>
      </c>
      <c r="Q205">
        <v>4</v>
      </c>
      <c r="R205" s="3">
        <f>ARTICULOS_LADIAR[[#This Row],[Bulto]]+ARTICULOS_LADIAR[[#This Row],[Minimo]]</f>
        <v>16</v>
      </c>
      <c r="S205" t="s">
        <v>32</v>
      </c>
      <c r="T205" t="s">
        <v>27</v>
      </c>
      <c r="U205" t="s">
        <v>92</v>
      </c>
      <c r="V205" t="s">
        <v>9424</v>
      </c>
      <c r="W205" t="s">
        <v>8692</v>
      </c>
      <c r="X205">
        <v>1</v>
      </c>
      <c r="Y205">
        <v>7</v>
      </c>
      <c r="Z205"/>
      <c r="AB205" s="80">
        <f>ARTICULOS_LADIAR[[#This Row],[Costo]]*ARTICULOS_LADIAR[[#This Row],[Pedido]]</f>
        <v>0</v>
      </c>
      <c r="AD205"/>
      <c r="AH205" s="2" t="str">
        <f>IF(AND(ARTICULOS_LADIAR[[#This Row],[FechaVenc]]=0,ARTICULOS_LADIAR[[#This Row],[DiasVenc]]=0),"",ARTICULOS_LADIAR[[#This Row],[FechaVenc]]-ARTICULOS_LADIAR[[#This Row],[DiasVenc]])</f>
        <v/>
      </c>
      <c r="AK205"/>
      <c r="AM205"/>
      <c r="AO205" s="30" t="s">
        <v>8689</v>
      </c>
    </row>
    <row r="206" spans="1:41" x14ac:dyDescent="0.25">
      <c r="A206" s="1" t="s">
        <v>9435</v>
      </c>
      <c r="C206" t="str">
        <f t="shared" si="11"/>
        <v>KIO77944412</v>
      </c>
      <c r="D206" t="s">
        <v>8689</v>
      </c>
      <c r="E206" s="1" t="s">
        <v>9436</v>
      </c>
      <c r="F206" s="61">
        <f>F205</f>
        <v>4318.3599999999997</v>
      </c>
      <c r="G206" s="3">
        <v>10.5</v>
      </c>
      <c r="H206" s="4" t="s">
        <v>8690</v>
      </c>
      <c r="I206">
        <v>12</v>
      </c>
      <c r="J206" s="37">
        <f>ARTICULOS_LADIAR[[#This Row],[Bulto]]</f>
        <v>12</v>
      </c>
      <c r="K206" s="4"/>
      <c r="L206" s="66">
        <f>((ARTICULOS_LADIAR[[#This Row],[P. Compra]]*(1+ARTICULOS_LADIAR[[#This Row],[IVA]]%))/ARTICULOS_LADIAR[[#This Row],[UnidFact]])+ARTICULOS_LADIAR[[#This Row],[CostoFlete]]</f>
        <v>397.64898333333326</v>
      </c>
      <c r="M206">
        <v>40</v>
      </c>
      <c r="N206" s="68">
        <f>IF(L206&gt;=20,MROUND((L206*(1+(ARTICULOS_LADIAR[[#This Row],[IVA]]/100)))/(1-M206/100),50),20)</f>
        <v>750</v>
      </c>
      <c r="O206" s="3">
        <f>MROUND((ARTICULOS_LADIAR[[#This Row],[Precio]]/0.6),50)</f>
        <v>1250</v>
      </c>
      <c r="P206" t="s">
        <v>8693</v>
      </c>
      <c r="Q206">
        <v>4</v>
      </c>
      <c r="R206" s="3">
        <f>ARTICULOS_LADIAR[[#This Row],[Bulto]]+ARTICULOS_LADIAR[[#This Row],[Minimo]]</f>
        <v>16</v>
      </c>
      <c r="S206" t="s">
        <v>32</v>
      </c>
      <c r="T206" t="s">
        <v>27</v>
      </c>
      <c r="U206" t="s">
        <v>92</v>
      </c>
      <c r="V206" t="s">
        <v>9424</v>
      </c>
      <c r="W206" t="s">
        <v>8692</v>
      </c>
      <c r="X206">
        <v>1</v>
      </c>
      <c r="Y206">
        <v>0</v>
      </c>
      <c r="Z206"/>
      <c r="AB206" s="80">
        <f>ARTICULOS_LADIAR[[#This Row],[Costo]]*ARTICULOS_LADIAR[[#This Row],[Pedido]]</f>
        <v>0</v>
      </c>
      <c r="AD206"/>
      <c r="AH206" s="2" t="str">
        <f>IF(AND(ARTICULOS_LADIAR[[#This Row],[FechaVenc]]=0,ARTICULOS_LADIAR[[#This Row],[DiasVenc]]=0),"",ARTICULOS_LADIAR[[#This Row],[FechaVenc]]-ARTICULOS_LADIAR[[#This Row],[DiasVenc]])</f>
        <v/>
      </c>
      <c r="AK206"/>
      <c r="AM206"/>
      <c r="AO206" s="30" t="s">
        <v>8689</v>
      </c>
    </row>
    <row r="207" spans="1:41" x14ac:dyDescent="0.25">
      <c r="A207" s="1" t="s">
        <v>9437</v>
      </c>
      <c r="C207" t="str">
        <f t="shared" si="11"/>
        <v>KIO77955111</v>
      </c>
      <c r="D207" t="s">
        <v>8689</v>
      </c>
      <c r="E207" s="1" t="s">
        <v>9438</v>
      </c>
      <c r="F207" s="61">
        <f>F206</f>
        <v>4318.3599999999997</v>
      </c>
      <c r="G207" s="3">
        <v>10.5</v>
      </c>
      <c r="H207" s="4" t="s">
        <v>8690</v>
      </c>
      <c r="I207">
        <v>12</v>
      </c>
      <c r="J207" s="37">
        <f>ARTICULOS_LADIAR[[#This Row],[Bulto]]</f>
        <v>12</v>
      </c>
      <c r="K207" s="4"/>
      <c r="L207" s="66">
        <f>((ARTICULOS_LADIAR[[#This Row],[P. Compra]]*(1+ARTICULOS_LADIAR[[#This Row],[IVA]]%))/ARTICULOS_LADIAR[[#This Row],[UnidFact]])+ARTICULOS_LADIAR[[#This Row],[CostoFlete]]</f>
        <v>397.64898333333326</v>
      </c>
      <c r="M207">
        <v>40</v>
      </c>
      <c r="N207" s="68">
        <f>IF(L207&gt;=20,MROUND((L207*(1+(ARTICULOS_LADIAR[[#This Row],[IVA]]/100)))/(1-M207/100),50),20)</f>
        <v>750</v>
      </c>
      <c r="O207" s="3">
        <f>MROUND((ARTICULOS_LADIAR[[#This Row],[Precio]]/0.6),50)</f>
        <v>1250</v>
      </c>
      <c r="P207" t="s">
        <v>8693</v>
      </c>
      <c r="Q207">
        <v>4</v>
      </c>
      <c r="R207" s="3">
        <f>ARTICULOS_LADIAR[[#This Row],[Bulto]]+ARTICULOS_LADIAR[[#This Row],[Minimo]]</f>
        <v>16</v>
      </c>
      <c r="S207" t="s">
        <v>32</v>
      </c>
      <c r="T207" t="s">
        <v>27</v>
      </c>
      <c r="U207" t="s">
        <v>92</v>
      </c>
      <c r="V207" t="s">
        <v>9424</v>
      </c>
      <c r="W207" t="s">
        <v>8692</v>
      </c>
      <c r="X207">
        <v>1</v>
      </c>
      <c r="Y207">
        <v>0</v>
      </c>
      <c r="Z207"/>
      <c r="AB207" s="80">
        <f>ARTICULOS_LADIAR[[#This Row],[Costo]]*ARTICULOS_LADIAR[[#This Row],[Pedido]]</f>
        <v>0</v>
      </c>
      <c r="AG207" s="3"/>
      <c r="AH207" s="2" t="str">
        <f>IF(AND(ARTICULOS_LADIAR[[#This Row],[FechaVenc]]=0,ARTICULOS_LADIAR[[#This Row],[DiasVenc]]=0),"",ARTICULOS_LADIAR[[#This Row],[FechaVenc]]-ARTICULOS_LADIAR[[#This Row],[DiasVenc]])</f>
        <v/>
      </c>
      <c r="AI207" s="2"/>
      <c r="AK207"/>
      <c r="AM207"/>
      <c r="AO207" s="30" t="s">
        <v>8689</v>
      </c>
    </row>
    <row r="208" spans="1:41" x14ac:dyDescent="0.25">
      <c r="A208" s="1" t="s">
        <v>9439</v>
      </c>
      <c r="C208" t="str">
        <f t="shared" si="11"/>
        <v>KIO80137069</v>
      </c>
      <c r="D208" t="s">
        <v>8689</v>
      </c>
      <c r="E208" s="1" t="s">
        <v>9440</v>
      </c>
      <c r="F208" s="61">
        <v>1109.4100000000001</v>
      </c>
      <c r="G208" s="3">
        <v>10.5</v>
      </c>
      <c r="H208" s="4" t="s">
        <v>8690</v>
      </c>
      <c r="I208">
        <v>1</v>
      </c>
      <c r="J208" s="37">
        <f>ARTICULOS_LADIAR[[#This Row],[Bulto]]</f>
        <v>1</v>
      </c>
      <c r="K208" s="4"/>
      <c r="L208" s="66">
        <f>((ARTICULOS_LADIAR[[#This Row],[P. Compra]]*(1+ARTICULOS_LADIAR[[#This Row],[IVA]]%))/ARTICULOS_LADIAR[[#This Row],[UnidFact]])+ARTICULOS_LADIAR[[#This Row],[CostoFlete]]</f>
        <v>1225.89805</v>
      </c>
      <c r="M208">
        <v>40</v>
      </c>
      <c r="N208" s="68">
        <f>IF(L208&gt;=20,MROUND((L208*(1+(ARTICULOS_LADIAR[[#This Row],[IVA]]/100)))/(1-M208/100),50),20)</f>
        <v>2250</v>
      </c>
      <c r="O208" s="3">
        <f>MROUND((ARTICULOS_LADIAR[[#This Row],[Precio]]/0.6),50)</f>
        <v>3750</v>
      </c>
      <c r="P208" t="s">
        <v>8693</v>
      </c>
      <c r="Q208">
        <v>4</v>
      </c>
      <c r="R208" s="3">
        <f>ARTICULOS_LADIAR[[#This Row],[Bulto]]+ARTICULOS_LADIAR[[#This Row],[Minimo]]</f>
        <v>5</v>
      </c>
      <c r="S208" t="s">
        <v>32</v>
      </c>
      <c r="T208" t="s">
        <v>27</v>
      </c>
      <c r="U208" t="s">
        <v>92</v>
      </c>
      <c r="V208" t="s">
        <v>9424</v>
      </c>
      <c r="W208" t="s">
        <v>8692</v>
      </c>
      <c r="X208">
        <v>1</v>
      </c>
      <c r="Y208">
        <v>0</v>
      </c>
      <c r="Z208"/>
      <c r="AB208" s="80">
        <f>ARTICULOS_LADIAR[[#This Row],[Costo]]*ARTICULOS_LADIAR[[#This Row],[Pedido]]</f>
        <v>0</v>
      </c>
      <c r="AG208" s="3"/>
      <c r="AH208" s="2" t="str">
        <f>IF(AND(ARTICULOS_LADIAR[[#This Row],[FechaVenc]]=0,ARTICULOS_LADIAR[[#This Row],[DiasVenc]]=0),"",ARTICULOS_LADIAR[[#This Row],[FechaVenc]]-ARTICULOS_LADIAR[[#This Row],[DiasVenc]])</f>
        <v/>
      </c>
      <c r="AI208" s="2"/>
      <c r="AK208"/>
      <c r="AM208"/>
      <c r="AO208" s="30" t="s">
        <v>8689</v>
      </c>
    </row>
    <row r="209" spans="1:41" x14ac:dyDescent="0.25">
      <c r="A209" s="1" t="s">
        <v>9441</v>
      </c>
      <c r="C209" t="str">
        <f t="shared" si="11"/>
        <v>KIO80137052</v>
      </c>
      <c r="D209" t="s">
        <v>8689</v>
      </c>
      <c r="E209" s="1" t="s">
        <v>9442</v>
      </c>
      <c r="F209" s="61">
        <f>F208</f>
        <v>1109.4100000000001</v>
      </c>
      <c r="G209" s="3">
        <v>10.5</v>
      </c>
      <c r="H209" s="4" t="s">
        <v>8690</v>
      </c>
      <c r="I209">
        <v>1</v>
      </c>
      <c r="J209" s="37">
        <f>ARTICULOS_LADIAR[[#This Row],[Bulto]]</f>
        <v>1</v>
      </c>
      <c r="K209" s="4"/>
      <c r="L209" s="66">
        <f>((ARTICULOS_LADIAR[[#This Row],[P. Compra]]*(1+ARTICULOS_LADIAR[[#This Row],[IVA]]%))/ARTICULOS_LADIAR[[#This Row],[UnidFact]])+ARTICULOS_LADIAR[[#This Row],[CostoFlete]]</f>
        <v>1225.89805</v>
      </c>
      <c r="M209">
        <v>40</v>
      </c>
      <c r="N209" s="68">
        <f>IF(L209&gt;=20,MROUND((L209*(1+(ARTICULOS_LADIAR[[#This Row],[IVA]]/100)))/(1-M209/100),50),20)</f>
        <v>2250</v>
      </c>
      <c r="O209" s="3">
        <f>MROUND((ARTICULOS_LADIAR[[#This Row],[Precio]]/0.6),50)</f>
        <v>3750</v>
      </c>
      <c r="P209" t="s">
        <v>8693</v>
      </c>
      <c r="Q209">
        <v>4</v>
      </c>
      <c r="R209" s="3">
        <f>ARTICULOS_LADIAR[[#This Row],[Bulto]]+ARTICULOS_LADIAR[[#This Row],[Minimo]]</f>
        <v>5</v>
      </c>
      <c r="S209" t="s">
        <v>32</v>
      </c>
      <c r="T209" t="s">
        <v>27</v>
      </c>
      <c r="U209" t="s">
        <v>92</v>
      </c>
      <c r="V209" t="s">
        <v>9424</v>
      </c>
      <c r="W209" t="s">
        <v>8692</v>
      </c>
      <c r="X209">
        <v>1</v>
      </c>
      <c r="Y209">
        <v>0</v>
      </c>
      <c r="Z209"/>
      <c r="AB209" s="80">
        <f>ARTICULOS_LADIAR[[#This Row],[Costo]]*ARTICULOS_LADIAR[[#This Row],[Pedido]]</f>
        <v>0</v>
      </c>
      <c r="AG209" s="3"/>
      <c r="AH209" s="2" t="str">
        <f>IF(AND(ARTICULOS_LADIAR[[#This Row],[FechaVenc]]=0,ARTICULOS_LADIAR[[#This Row],[DiasVenc]]=0),"",ARTICULOS_LADIAR[[#This Row],[FechaVenc]]-ARTICULOS_LADIAR[[#This Row],[DiasVenc]])</f>
        <v/>
      </c>
      <c r="AI209" s="2"/>
      <c r="AK209"/>
      <c r="AM209"/>
      <c r="AO209" s="30" t="s">
        <v>8689</v>
      </c>
    </row>
    <row r="210" spans="1:41" x14ac:dyDescent="0.25">
      <c r="A210" s="1" t="s">
        <v>9443</v>
      </c>
      <c r="C210" t="str">
        <f t="shared" si="11"/>
        <v>KIO77946805</v>
      </c>
      <c r="D210" t="s">
        <v>8689</v>
      </c>
      <c r="E210" s="1" t="s">
        <v>9444</v>
      </c>
      <c r="F210" s="61">
        <f>F207</f>
        <v>4318.3599999999997</v>
      </c>
      <c r="G210" s="3">
        <v>10.5</v>
      </c>
      <c r="H210" s="4" t="s">
        <v>8690</v>
      </c>
      <c r="I210">
        <v>12</v>
      </c>
      <c r="J210" s="37">
        <f>ARTICULOS_LADIAR[[#This Row],[Bulto]]</f>
        <v>12</v>
      </c>
      <c r="K210" s="4"/>
      <c r="L210" s="66">
        <f>((ARTICULOS_LADIAR[[#This Row],[P. Compra]]*(1+ARTICULOS_LADIAR[[#This Row],[IVA]]%))/ARTICULOS_LADIAR[[#This Row],[UnidFact]])+ARTICULOS_LADIAR[[#This Row],[CostoFlete]]</f>
        <v>397.64898333333326</v>
      </c>
      <c r="M210">
        <v>40</v>
      </c>
      <c r="N210" s="68">
        <f>IF(L210&gt;=20,MROUND((L210*(1+(ARTICULOS_LADIAR[[#This Row],[IVA]]/100)))/(1-M210/100),50),20)</f>
        <v>750</v>
      </c>
      <c r="O210" s="3">
        <f>MROUND((ARTICULOS_LADIAR[[#This Row],[Precio]]/0.6),50)</f>
        <v>1250</v>
      </c>
      <c r="P210" t="s">
        <v>8693</v>
      </c>
      <c r="Q210">
        <v>4</v>
      </c>
      <c r="R210" s="3">
        <f>ARTICULOS_LADIAR[[#This Row],[Bulto]]+ARTICULOS_LADIAR[[#This Row],[Minimo]]</f>
        <v>16</v>
      </c>
      <c r="S210" t="s">
        <v>32</v>
      </c>
      <c r="T210" t="s">
        <v>27</v>
      </c>
      <c r="U210" t="s">
        <v>92</v>
      </c>
      <c r="V210" t="s">
        <v>9424</v>
      </c>
      <c r="W210" t="s">
        <v>8692</v>
      </c>
      <c r="X210">
        <v>1</v>
      </c>
      <c r="Y210">
        <v>0</v>
      </c>
      <c r="Z210"/>
      <c r="AB210" s="80">
        <f>ARTICULOS_LADIAR[[#This Row],[Costo]]*ARTICULOS_LADIAR[[#This Row],[Pedido]]</f>
        <v>0</v>
      </c>
      <c r="AG210" s="3"/>
      <c r="AH210" s="2" t="str">
        <f>IF(AND(ARTICULOS_LADIAR[[#This Row],[FechaVenc]]=0,ARTICULOS_LADIAR[[#This Row],[DiasVenc]]=0),"",ARTICULOS_LADIAR[[#This Row],[FechaVenc]]-ARTICULOS_LADIAR[[#This Row],[DiasVenc]])</f>
        <v/>
      </c>
      <c r="AI210" s="2"/>
      <c r="AK210"/>
      <c r="AM210"/>
      <c r="AO210" s="30" t="s">
        <v>8689</v>
      </c>
    </row>
    <row r="211" spans="1:41" x14ac:dyDescent="0.25">
      <c r="A211" s="1" t="s">
        <v>9445</v>
      </c>
      <c r="C211" t="str">
        <f t="shared" si="11"/>
        <v>KIO77946829</v>
      </c>
      <c r="D211" t="s">
        <v>8689</v>
      </c>
      <c r="E211" s="1" t="s">
        <v>9446</v>
      </c>
      <c r="F211" s="61">
        <f>F210</f>
        <v>4318.3599999999997</v>
      </c>
      <c r="G211" s="3">
        <v>10.5</v>
      </c>
      <c r="H211" s="4" t="s">
        <v>8690</v>
      </c>
      <c r="I211">
        <v>12</v>
      </c>
      <c r="J211" s="37">
        <f>ARTICULOS_LADIAR[[#This Row],[Bulto]]</f>
        <v>12</v>
      </c>
      <c r="K211" s="4"/>
      <c r="L211" s="66">
        <f>((ARTICULOS_LADIAR[[#This Row],[P. Compra]]*(1+ARTICULOS_LADIAR[[#This Row],[IVA]]%))/ARTICULOS_LADIAR[[#This Row],[UnidFact]])+ARTICULOS_LADIAR[[#This Row],[CostoFlete]]</f>
        <v>397.64898333333326</v>
      </c>
      <c r="M211">
        <v>40</v>
      </c>
      <c r="N211" s="68">
        <f>IF(L211&gt;=20,MROUND((L211*(1+(ARTICULOS_LADIAR[[#This Row],[IVA]]/100)))/(1-M211/100),50),20)</f>
        <v>750</v>
      </c>
      <c r="O211" s="3">
        <f>MROUND((ARTICULOS_LADIAR[[#This Row],[Precio]]/0.6),50)</f>
        <v>1250</v>
      </c>
      <c r="P211" t="s">
        <v>8693</v>
      </c>
      <c r="Q211">
        <v>4</v>
      </c>
      <c r="R211" s="3">
        <f>ARTICULOS_LADIAR[[#This Row],[Bulto]]+ARTICULOS_LADIAR[[#This Row],[Minimo]]</f>
        <v>16</v>
      </c>
      <c r="S211" t="s">
        <v>32</v>
      </c>
      <c r="T211" t="s">
        <v>27</v>
      </c>
      <c r="U211" t="s">
        <v>92</v>
      </c>
      <c r="V211" t="s">
        <v>9424</v>
      </c>
      <c r="W211" t="s">
        <v>8692</v>
      </c>
      <c r="X211">
        <v>1</v>
      </c>
      <c r="Y211">
        <v>0</v>
      </c>
      <c r="Z211"/>
      <c r="AB211" s="80">
        <f>ARTICULOS_LADIAR[[#This Row],[Costo]]*ARTICULOS_LADIAR[[#This Row],[Pedido]]</f>
        <v>0</v>
      </c>
      <c r="AG211" s="3"/>
      <c r="AH211" s="2" t="str">
        <f>IF(AND(ARTICULOS_LADIAR[[#This Row],[FechaVenc]]=0,ARTICULOS_LADIAR[[#This Row],[DiasVenc]]=0),"",ARTICULOS_LADIAR[[#This Row],[FechaVenc]]-ARTICULOS_LADIAR[[#This Row],[DiasVenc]])</f>
        <v/>
      </c>
      <c r="AI211" s="2"/>
      <c r="AK211"/>
      <c r="AM211"/>
      <c r="AO211" s="30" t="s">
        <v>8689</v>
      </c>
    </row>
    <row r="212" spans="1:41" x14ac:dyDescent="0.25">
      <c r="A212" s="1" t="s">
        <v>9447</v>
      </c>
      <c r="C212" t="str">
        <f t="shared" si="11"/>
        <v>KIO77901095</v>
      </c>
      <c r="D212" t="s">
        <v>8689</v>
      </c>
      <c r="E212" s="1" t="s">
        <v>9448</v>
      </c>
      <c r="F212" s="61">
        <f>F211</f>
        <v>4318.3599999999997</v>
      </c>
      <c r="G212" s="3">
        <v>10.5</v>
      </c>
      <c r="H212" s="4" t="s">
        <v>8690</v>
      </c>
      <c r="I212">
        <v>12</v>
      </c>
      <c r="J212" s="37">
        <f>ARTICULOS_LADIAR[[#This Row],[Bulto]]</f>
        <v>12</v>
      </c>
      <c r="K212" s="4"/>
      <c r="L212" s="66">
        <f>((ARTICULOS_LADIAR[[#This Row],[P. Compra]]*(1+ARTICULOS_LADIAR[[#This Row],[IVA]]%))/ARTICULOS_LADIAR[[#This Row],[UnidFact]])+ARTICULOS_LADIAR[[#This Row],[CostoFlete]]</f>
        <v>397.64898333333326</v>
      </c>
      <c r="M212">
        <v>40</v>
      </c>
      <c r="N212" s="68">
        <f>IF(L212&gt;=20,MROUND((L212*(1+(ARTICULOS_LADIAR[[#This Row],[IVA]]/100)))/(1-M212/100),50),20)</f>
        <v>750</v>
      </c>
      <c r="O212" s="3">
        <f>MROUND((ARTICULOS_LADIAR[[#This Row],[Precio]]/0.6),50)</f>
        <v>1250</v>
      </c>
      <c r="P212" t="s">
        <v>8693</v>
      </c>
      <c r="Q212">
        <v>4</v>
      </c>
      <c r="R212" s="3">
        <f>ARTICULOS_LADIAR[[#This Row],[Bulto]]+ARTICULOS_LADIAR[[#This Row],[Minimo]]</f>
        <v>16</v>
      </c>
      <c r="S212" t="s">
        <v>32</v>
      </c>
      <c r="T212" t="s">
        <v>27</v>
      </c>
      <c r="U212" t="s">
        <v>92</v>
      </c>
      <c r="V212" t="s">
        <v>9424</v>
      </c>
      <c r="W212" t="s">
        <v>8692</v>
      </c>
      <c r="X212">
        <v>1</v>
      </c>
      <c r="Y212">
        <v>0</v>
      </c>
      <c r="Z212"/>
      <c r="AA212" s="3"/>
      <c r="AB212" s="80">
        <f>ARTICULOS_LADIAR[[#This Row],[Costo]]*ARTICULOS_LADIAR[[#This Row],[Pedido]]</f>
        <v>0</v>
      </c>
      <c r="AD212"/>
      <c r="AE212" s="3"/>
      <c r="AH212" s="84" t="str">
        <f>IF(AND(ARTICULOS_LADIAR[[#This Row],[FechaVenc]]=0,ARTICULOS_LADIAR[[#This Row],[DiasVenc]]=0),"",ARTICULOS_LADIAR[[#This Row],[FechaVenc]]-ARTICULOS_LADIAR[[#This Row],[DiasVenc]])</f>
        <v/>
      </c>
      <c r="AJ212" s="2"/>
      <c r="AK212"/>
      <c r="AM212"/>
      <c r="AO212" s="30" t="s">
        <v>8689</v>
      </c>
    </row>
    <row r="213" spans="1:41" x14ac:dyDescent="0.25">
      <c r="A213" s="1" t="s">
        <v>9449</v>
      </c>
      <c r="C213" t="str">
        <f t="shared" si="11"/>
        <v>ALM40173200</v>
      </c>
      <c r="D213" t="s">
        <v>8689</v>
      </c>
      <c r="E213" s="24" t="s">
        <v>9450</v>
      </c>
      <c r="F213" s="61">
        <v>950.95</v>
      </c>
      <c r="G213" s="3">
        <v>10.5</v>
      </c>
      <c r="H213" s="4" t="s">
        <v>8690</v>
      </c>
      <c r="I213">
        <v>1</v>
      </c>
      <c r="J213" s="37">
        <f>ARTICULOS_LADIAR[[#This Row],[Bulto]]</f>
        <v>1</v>
      </c>
      <c r="K213" s="4"/>
      <c r="L213" s="66">
        <f>((ARTICULOS_LADIAR[[#This Row],[P. Compra]]*(1+ARTICULOS_LADIAR[[#This Row],[IVA]]%))/ARTICULOS_LADIAR[[#This Row],[UnidFact]])+ARTICULOS_LADIAR[[#This Row],[CostoFlete]]</f>
        <v>1050.7997500000001</v>
      </c>
      <c r="M213">
        <v>35</v>
      </c>
      <c r="N213" s="68">
        <f>IF(L213&gt;=20,MROUND((L213*(1+(ARTICULOS_LADIAR[[#This Row],[IVA]]/100)))/(1-M213/100),50),20)</f>
        <v>1800</v>
      </c>
      <c r="O213" s="3">
        <f>MROUND((ARTICULOS_LADIAR[[#This Row],[Precio]]/0.6),50)</f>
        <v>3000</v>
      </c>
      <c r="P213" t="s">
        <v>8693</v>
      </c>
      <c r="Q213">
        <v>2</v>
      </c>
      <c r="R213" s="3">
        <f>ARTICULOS_LADIAR[[#This Row],[Bulto]]+ARTICULOS_LADIAR[[#This Row],[Minimo]]</f>
        <v>3</v>
      </c>
      <c r="S213" t="s">
        <v>32</v>
      </c>
      <c r="T213" t="s">
        <v>4</v>
      </c>
      <c r="U213" t="s">
        <v>102</v>
      </c>
      <c r="V213" t="s">
        <v>9073</v>
      </c>
      <c r="W213" t="s">
        <v>8692</v>
      </c>
      <c r="X213">
        <v>1</v>
      </c>
      <c r="Y213">
        <v>3</v>
      </c>
      <c r="Z213"/>
      <c r="AA213" s="3"/>
      <c r="AB213" s="80">
        <f>ARTICULOS_LADIAR[[#This Row],[Costo]]*ARTICULOS_LADIAR[[#This Row],[Pedido]]</f>
        <v>0</v>
      </c>
      <c r="AD213"/>
      <c r="AE213" s="3"/>
      <c r="AH213" s="84" t="str">
        <f>IF(AND(ARTICULOS_LADIAR[[#This Row],[FechaVenc]]=0,ARTICULOS_LADIAR[[#This Row],[DiasVenc]]=0),"",ARTICULOS_LADIAR[[#This Row],[FechaVenc]]-ARTICULOS_LADIAR[[#This Row],[DiasVenc]])</f>
        <v/>
      </c>
      <c r="AJ213" s="2"/>
      <c r="AK213"/>
      <c r="AM213"/>
      <c r="AO213" s="30" t="s">
        <v>8689</v>
      </c>
    </row>
    <row r="214" spans="1:41" x14ac:dyDescent="0.25">
      <c r="A214" s="1" t="s">
        <v>9451</v>
      </c>
      <c r="C214" t="str">
        <f t="shared" si="11"/>
        <v>ALM40003606</v>
      </c>
      <c r="D214" t="s">
        <v>8689</v>
      </c>
      <c r="E214" s="1" t="s">
        <v>9452</v>
      </c>
      <c r="F214" s="61">
        <v>588.70000000000005</v>
      </c>
      <c r="G214" s="3">
        <v>10.5</v>
      </c>
      <c r="H214" s="4" t="s">
        <v>8690</v>
      </c>
      <c r="I214">
        <v>1</v>
      </c>
      <c r="J214" s="37">
        <f>ARTICULOS_LADIAR[[#This Row],[Bulto]]</f>
        <v>1</v>
      </c>
      <c r="K214" s="4"/>
      <c r="L214" s="66">
        <f>((ARTICULOS_LADIAR[[#This Row],[P. Compra]]*(1+ARTICULOS_LADIAR[[#This Row],[IVA]]%))/ARTICULOS_LADIAR[[#This Row],[UnidFact]])+ARTICULOS_LADIAR[[#This Row],[CostoFlete]]</f>
        <v>650.51350000000002</v>
      </c>
      <c r="M214">
        <v>35</v>
      </c>
      <c r="N214" s="68">
        <f>IF(L214&gt;=20,MROUND((L214*(1+(ARTICULOS_LADIAR[[#This Row],[IVA]]/100)))/(1-M214/100),50),20)</f>
        <v>1100</v>
      </c>
      <c r="O214" s="3">
        <f>MROUND((ARTICULOS_LADIAR[[#This Row],[Precio]]/0.6),50)</f>
        <v>1850</v>
      </c>
      <c r="P214" t="s">
        <v>8693</v>
      </c>
      <c r="Q214">
        <v>2</v>
      </c>
      <c r="R214" s="3">
        <f>ARTICULOS_LADIAR[[#This Row],[Bulto]]+ARTICULOS_LADIAR[[#This Row],[Minimo]]</f>
        <v>3</v>
      </c>
      <c r="S214" t="s">
        <v>32</v>
      </c>
      <c r="T214" t="s">
        <v>4</v>
      </c>
      <c r="U214" t="s">
        <v>102</v>
      </c>
      <c r="V214" t="s">
        <v>9073</v>
      </c>
      <c r="W214" t="s">
        <v>8692</v>
      </c>
      <c r="X214">
        <v>1</v>
      </c>
      <c r="Y214">
        <v>0</v>
      </c>
      <c r="Z214"/>
      <c r="AA214" s="3"/>
      <c r="AB214" s="80">
        <f>ARTICULOS_LADIAR[[#This Row],[Costo]]*ARTICULOS_LADIAR[[#This Row],[Pedido]]</f>
        <v>0</v>
      </c>
      <c r="AD214"/>
      <c r="AE214" s="3"/>
      <c r="AH214" s="84" t="str">
        <f>IF(AND(ARTICULOS_LADIAR[[#This Row],[FechaVenc]]=0,ARTICULOS_LADIAR[[#This Row],[DiasVenc]]=0),"",ARTICULOS_LADIAR[[#This Row],[FechaVenc]]-ARTICULOS_LADIAR[[#This Row],[DiasVenc]])</f>
        <v/>
      </c>
      <c r="AJ214" s="2"/>
      <c r="AK214"/>
      <c r="AM214"/>
      <c r="AO214" s="30" t="s">
        <v>8689</v>
      </c>
    </row>
    <row r="215" spans="1:41" x14ac:dyDescent="0.25">
      <c r="A215" s="1" t="s">
        <v>9453</v>
      </c>
      <c r="C215" t="str">
        <f t="shared" si="11"/>
        <v>ALM40719804</v>
      </c>
      <c r="D215" t="s">
        <v>8689</v>
      </c>
      <c r="E215" s="24" t="s">
        <v>9454</v>
      </c>
      <c r="F215" s="61">
        <f>F213</f>
        <v>950.95</v>
      </c>
      <c r="G215" s="3">
        <v>10.5</v>
      </c>
      <c r="H215" s="4" t="s">
        <v>8690</v>
      </c>
      <c r="I215">
        <v>1</v>
      </c>
      <c r="J215" s="37">
        <f>ARTICULOS_LADIAR[[#This Row],[Bulto]]</f>
        <v>1</v>
      </c>
      <c r="K215" s="4"/>
      <c r="L215" s="66">
        <f>((ARTICULOS_LADIAR[[#This Row],[P. Compra]]*(1+ARTICULOS_LADIAR[[#This Row],[IVA]]%))/ARTICULOS_LADIAR[[#This Row],[UnidFact]])+ARTICULOS_LADIAR[[#This Row],[CostoFlete]]</f>
        <v>1050.7997500000001</v>
      </c>
      <c r="M215">
        <v>35</v>
      </c>
      <c r="N215" s="68">
        <f>IF(L215&gt;=20,MROUND((L215*(1+(ARTICULOS_LADIAR[[#This Row],[IVA]]/100)))/(1-M215/100),50),20)</f>
        <v>1800</v>
      </c>
      <c r="O215" s="3">
        <f>MROUND((ARTICULOS_LADIAR[[#This Row],[Precio]]/0.6),50)</f>
        <v>3000</v>
      </c>
      <c r="P215" t="s">
        <v>8693</v>
      </c>
      <c r="Q215">
        <v>2</v>
      </c>
      <c r="R215" s="3">
        <f>ARTICULOS_LADIAR[[#This Row],[Bulto]]+ARTICULOS_LADIAR[[#This Row],[Minimo]]</f>
        <v>3</v>
      </c>
      <c r="S215" t="s">
        <v>32</v>
      </c>
      <c r="T215" t="s">
        <v>4</v>
      </c>
      <c r="U215" t="s">
        <v>102</v>
      </c>
      <c r="V215" t="s">
        <v>9073</v>
      </c>
      <c r="W215" t="s">
        <v>8692</v>
      </c>
      <c r="X215">
        <v>1</v>
      </c>
      <c r="Y215">
        <v>4</v>
      </c>
      <c r="Z215"/>
      <c r="AA215" s="3"/>
      <c r="AB215" s="80">
        <f>ARTICULOS_LADIAR[[#This Row],[Costo]]*ARTICULOS_LADIAR[[#This Row],[Pedido]]</f>
        <v>0</v>
      </c>
      <c r="AD215"/>
      <c r="AE215" s="3"/>
      <c r="AH215" s="84" t="str">
        <f>IF(AND(ARTICULOS_LADIAR[[#This Row],[FechaVenc]]=0,ARTICULOS_LADIAR[[#This Row],[DiasVenc]]=0),"",ARTICULOS_LADIAR[[#This Row],[FechaVenc]]-ARTICULOS_LADIAR[[#This Row],[DiasVenc]])</f>
        <v/>
      </c>
      <c r="AJ215" s="2"/>
      <c r="AK215"/>
      <c r="AM215"/>
      <c r="AO215" s="30" t="s">
        <v>8689</v>
      </c>
    </row>
    <row r="216" spans="1:41" x14ac:dyDescent="0.25">
      <c r="A216" s="1" t="s">
        <v>9455</v>
      </c>
      <c r="C216" t="str">
        <f t="shared" si="11"/>
        <v>ALM40003569</v>
      </c>
      <c r="D216" t="s">
        <v>8689</v>
      </c>
      <c r="E216" s="24" t="s">
        <v>9456</v>
      </c>
      <c r="F216" s="61">
        <f>F214</f>
        <v>588.70000000000005</v>
      </c>
      <c r="G216" s="3">
        <v>10.5</v>
      </c>
      <c r="H216" s="4" t="s">
        <v>8690</v>
      </c>
      <c r="I216">
        <v>1</v>
      </c>
      <c r="J216" s="37">
        <f>ARTICULOS_LADIAR[[#This Row],[Bulto]]</f>
        <v>1</v>
      </c>
      <c r="K216" s="4"/>
      <c r="L216" s="66">
        <f>((ARTICULOS_LADIAR[[#This Row],[P. Compra]]*(1+ARTICULOS_LADIAR[[#This Row],[IVA]]%))/ARTICULOS_LADIAR[[#This Row],[UnidFact]])+ARTICULOS_LADIAR[[#This Row],[CostoFlete]]</f>
        <v>650.51350000000002</v>
      </c>
      <c r="M216">
        <v>35</v>
      </c>
      <c r="N216" s="68">
        <f>IF(L216&gt;=20,MROUND((L216*(1+(ARTICULOS_LADIAR[[#This Row],[IVA]]/100)))/(1-M216/100),50),20)</f>
        <v>1100</v>
      </c>
      <c r="O216" s="3">
        <f>MROUND((ARTICULOS_LADIAR[[#This Row],[Precio]]/0.6),50)</f>
        <v>1850</v>
      </c>
      <c r="P216" t="s">
        <v>8693</v>
      </c>
      <c r="Q216">
        <v>2</v>
      </c>
      <c r="R216" s="3">
        <f>ARTICULOS_LADIAR[[#This Row],[Bulto]]+ARTICULOS_LADIAR[[#This Row],[Minimo]]</f>
        <v>3</v>
      </c>
      <c r="S216" t="s">
        <v>32</v>
      </c>
      <c r="T216" t="s">
        <v>4</v>
      </c>
      <c r="U216" t="s">
        <v>102</v>
      </c>
      <c r="V216" t="s">
        <v>9073</v>
      </c>
      <c r="W216" t="s">
        <v>8692</v>
      </c>
      <c r="X216">
        <v>1</v>
      </c>
      <c r="Y216">
        <v>0</v>
      </c>
      <c r="Z216"/>
      <c r="AA216" s="3"/>
      <c r="AB216" s="80">
        <f>ARTICULOS_LADIAR[[#This Row],[Costo]]*ARTICULOS_LADIAR[[#This Row],[Pedido]]</f>
        <v>0</v>
      </c>
      <c r="AD216"/>
      <c r="AE216" s="3"/>
      <c r="AH216" s="84" t="str">
        <f>IF(AND(ARTICULOS_LADIAR[[#This Row],[FechaVenc]]=0,ARTICULOS_LADIAR[[#This Row],[DiasVenc]]=0),"",ARTICULOS_LADIAR[[#This Row],[FechaVenc]]-ARTICULOS_LADIAR[[#This Row],[DiasVenc]])</f>
        <v/>
      </c>
      <c r="AJ216" s="2"/>
      <c r="AK216"/>
      <c r="AM216"/>
      <c r="AO216" s="30" t="s">
        <v>8689</v>
      </c>
    </row>
    <row r="217" spans="1:41" x14ac:dyDescent="0.25">
      <c r="A217" s="1" t="s">
        <v>9457</v>
      </c>
      <c r="C217" t="str">
        <f t="shared" si="11"/>
        <v>ALM80716806</v>
      </c>
      <c r="D217" t="s">
        <v>8689</v>
      </c>
      <c r="E217" s="1" t="s">
        <v>9458</v>
      </c>
      <c r="F217" s="61">
        <v>724.51</v>
      </c>
      <c r="G217" s="3">
        <v>10.5</v>
      </c>
      <c r="H217" s="4" t="s">
        <v>8690</v>
      </c>
      <c r="I217">
        <v>1</v>
      </c>
      <c r="J217" s="37">
        <f>ARTICULOS_LADIAR[[#This Row],[Bulto]]</f>
        <v>1</v>
      </c>
      <c r="K217" s="4"/>
      <c r="L217" s="66">
        <f>((ARTICULOS_LADIAR[[#This Row],[P. Compra]]*(1+ARTICULOS_LADIAR[[#This Row],[IVA]]%))/ARTICULOS_LADIAR[[#This Row],[UnidFact]])+ARTICULOS_LADIAR[[#This Row],[CostoFlete]]</f>
        <v>800.58354999999995</v>
      </c>
      <c r="M217">
        <v>35</v>
      </c>
      <c r="N217" s="68">
        <f>IF(L217&gt;=20,MROUND((L217*(1+(ARTICULOS_LADIAR[[#This Row],[IVA]]/100)))/(1-M217/100),50),20)</f>
        <v>1350</v>
      </c>
      <c r="O217" s="3">
        <f>MROUND((ARTICULOS_LADIAR[[#This Row],[Precio]]/0.6),50)</f>
        <v>2250</v>
      </c>
      <c r="P217" t="s">
        <v>8693</v>
      </c>
      <c r="Q217">
        <v>2</v>
      </c>
      <c r="R217" s="3">
        <f>ARTICULOS_LADIAR[[#This Row],[Bulto]]+ARTICULOS_LADIAR[[#This Row],[Minimo]]</f>
        <v>3</v>
      </c>
      <c r="S217" t="s">
        <v>70</v>
      </c>
      <c r="T217" t="s">
        <v>4</v>
      </c>
      <c r="U217" t="s">
        <v>102</v>
      </c>
      <c r="V217" t="s">
        <v>9105</v>
      </c>
      <c r="W217" t="s">
        <v>8692</v>
      </c>
      <c r="X217">
        <v>1</v>
      </c>
      <c r="Y217">
        <v>4</v>
      </c>
      <c r="Z217"/>
      <c r="AA217" s="3"/>
      <c r="AB217" s="80">
        <f>ARTICULOS_LADIAR[[#This Row],[Costo]]*ARTICULOS_LADIAR[[#This Row],[Pedido]]</f>
        <v>0</v>
      </c>
      <c r="AD217"/>
      <c r="AE217" s="3"/>
      <c r="AH217" s="84" t="str">
        <f>IF(AND(ARTICULOS_LADIAR[[#This Row],[FechaVenc]]=0,ARTICULOS_LADIAR[[#This Row],[DiasVenc]]=0),"",ARTICULOS_LADIAR[[#This Row],[FechaVenc]]-ARTICULOS_LADIAR[[#This Row],[DiasVenc]])</f>
        <v/>
      </c>
      <c r="AJ217" s="2"/>
      <c r="AK217"/>
      <c r="AM217"/>
      <c r="AO217" s="30" t="s">
        <v>8689</v>
      </c>
    </row>
    <row r="218" spans="1:41" x14ac:dyDescent="0.25">
      <c r="A218" s="1" t="s">
        <v>9459</v>
      </c>
      <c r="C218" t="str">
        <f t="shared" si="11"/>
        <v>ALM40374607</v>
      </c>
      <c r="D218" t="s">
        <v>8689</v>
      </c>
      <c r="E218" s="1" t="s">
        <v>9460</v>
      </c>
      <c r="F218" s="61">
        <f>F217</f>
        <v>724.51</v>
      </c>
      <c r="G218" s="3">
        <v>10.5</v>
      </c>
      <c r="H218" s="4" t="s">
        <v>8690</v>
      </c>
      <c r="I218">
        <v>1</v>
      </c>
      <c r="J218" s="37">
        <f>ARTICULOS_LADIAR[[#This Row],[Bulto]]</f>
        <v>1</v>
      </c>
      <c r="K218" s="4"/>
      <c r="L218" s="66">
        <f>((ARTICULOS_LADIAR[[#This Row],[P. Compra]]*(1+ARTICULOS_LADIAR[[#This Row],[IVA]]%))/ARTICULOS_LADIAR[[#This Row],[UnidFact]])+ARTICULOS_LADIAR[[#This Row],[CostoFlete]]</f>
        <v>800.58354999999995</v>
      </c>
      <c r="M218">
        <v>35</v>
      </c>
      <c r="N218" s="68">
        <f>IF(L218&gt;=20,MROUND((L218*(1+(ARTICULOS_LADIAR[[#This Row],[IVA]]/100)))/(1-M218/100),50),20)</f>
        <v>1350</v>
      </c>
      <c r="O218" s="3">
        <f>MROUND((ARTICULOS_LADIAR[[#This Row],[Precio]]/0.6),50)</f>
        <v>2250</v>
      </c>
      <c r="P218" t="s">
        <v>8693</v>
      </c>
      <c r="Q218">
        <v>2</v>
      </c>
      <c r="R218" s="3">
        <f>ARTICULOS_LADIAR[[#This Row],[Bulto]]+ARTICULOS_LADIAR[[#This Row],[Minimo]]</f>
        <v>3</v>
      </c>
      <c r="S218" t="s">
        <v>70</v>
      </c>
      <c r="T218" t="s">
        <v>4</v>
      </c>
      <c r="U218" t="s">
        <v>102</v>
      </c>
      <c r="V218" t="s">
        <v>9105</v>
      </c>
      <c r="W218" t="s">
        <v>8692</v>
      </c>
      <c r="X218">
        <v>1</v>
      </c>
      <c r="Y218">
        <v>4</v>
      </c>
      <c r="Z218"/>
      <c r="AB218" s="80">
        <f>ARTICULOS_LADIAR[[#This Row],[Costo]]*ARTICULOS_LADIAR[[#This Row],[Pedido]]</f>
        <v>0</v>
      </c>
      <c r="AD218"/>
      <c r="AH218" s="2" t="str">
        <f>IF(AND(ARTICULOS_LADIAR[[#This Row],[FechaVenc]]=0,ARTICULOS_LADIAR[[#This Row],[DiasVenc]]=0),"",ARTICULOS_LADIAR[[#This Row],[FechaVenc]]-ARTICULOS_LADIAR[[#This Row],[DiasVenc]])</f>
        <v/>
      </c>
      <c r="AK218"/>
      <c r="AM218"/>
      <c r="AO218" s="30" t="s">
        <v>8689</v>
      </c>
    </row>
    <row r="219" spans="1:41" x14ac:dyDescent="0.25">
      <c r="A219" s="1" t="s">
        <v>9461</v>
      </c>
      <c r="C219" t="str">
        <f t="shared" si="11"/>
        <v>ALM80716707</v>
      </c>
      <c r="D219" t="s">
        <v>8689</v>
      </c>
      <c r="E219" s="1" t="s">
        <v>9462</v>
      </c>
      <c r="F219" s="61">
        <f>F218</f>
        <v>724.51</v>
      </c>
      <c r="G219" s="3">
        <v>10.5</v>
      </c>
      <c r="H219" s="4" t="s">
        <v>8690</v>
      </c>
      <c r="I219">
        <v>1</v>
      </c>
      <c r="J219" s="37">
        <f>ARTICULOS_LADIAR[[#This Row],[Bulto]]</f>
        <v>1</v>
      </c>
      <c r="K219" s="4"/>
      <c r="L219" s="66">
        <f>((ARTICULOS_LADIAR[[#This Row],[P. Compra]]*(1+ARTICULOS_LADIAR[[#This Row],[IVA]]%))/ARTICULOS_LADIAR[[#This Row],[UnidFact]])+ARTICULOS_LADIAR[[#This Row],[CostoFlete]]</f>
        <v>800.58354999999995</v>
      </c>
      <c r="M219">
        <v>35</v>
      </c>
      <c r="N219" s="68">
        <f>IF(L219&gt;=20,MROUND((L219*(1+(ARTICULOS_LADIAR[[#This Row],[IVA]]/100)))/(1-M219/100),50),20)</f>
        <v>1350</v>
      </c>
      <c r="O219" s="3">
        <f>MROUND((ARTICULOS_LADIAR[[#This Row],[Precio]]/0.6),50)</f>
        <v>2250</v>
      </c>
      <c r="P219" t="s">
        <v>8693</v>
      </c>
      <c r="Q219">
        <v>3</v>
      </c>
      <c r="R219" s="3">
        <f>ARTICULOS_LADIAR[[#This Row],[Bulto]]+ARTICULOS_LADIAR[[#This Row],[Minimo]]</f>
        <v>4</v>
      </c>
      <c r="S219" t="s">
        <v>70</v>
      </c>
      <c r="T219" t="s">
        <v>4</v>
      </c>
      <c r="U219" t="s">
        <v>102</v>
      </c>
      <c r="V219" t="s">
        <v>9105</v>
      </c>
      <c r="W219" t="s">
        <v>8692</v>
      </c>
      <c r="X219">
        <v>1</v>
      </c>
      <c r="Y219">
        <v>0</v>
      </c>
      <c r="Z219"/>
      <c r="AB219" s="80">
        <f>ARTICULOS_LADIAR[[#This Row],[Costo]]*ARTICULOS_LADIAR[[#This Row],[Pedido]]</f>
        <v>0</v>
      </c>
      <c r="AD219"/>
      <c r="AH219" s="2" t="str">
        <f>IF(AND(ARTICULOS_LADIAR[[#This Row],[FechaVenc]]=0,ARTICULOS_LADIAR[[#This Row],[DiasVenc]]=0),"",ARTICULOS_LADIAR[[#This Row],[FechaVenc]]-ARTICULOS_LADIAR[[#This Row],[DiasVenc]])</f>
        <v/>
      </c>
      <c r="AK219"/>
      <c r="AM219"/>
      <c r="AO219" s="30" t="s">
        <v>8689</v>
      </c>
    </row>
    <row r="220" spans="1:41" x14ac:dyDescent="0.25">
      <c r="A220" s="1" t="s">
        <v>9463</v>
      </c>
      <c r="C220" t="str">
        <f t="shared" si="11"/>
        <v>ALM80697303</v>
      </c>
      <c r="D220" t="s">
        <v>8689</v>
      </c>
      <c r="E220" s="1" t="s">
        <v>9464</v>
      </c>
      <c r="F220" s="61">
        <f>F219</f>
        <v>724.51</v>
      </c>
      <c r="G220" s="3">
        <v>10.5</v>
      </c>
      <c r="H220" s="4" t="s">
        <v>8690</v>
      </c>
      <c r="I220">
        <v>1</v>
      </c>
      <c r="J220" s="37">
        <f>ARTICULOS_LADIAR[[#This Row],[Bulto]]</f>
        <v>1</v>
      </c>
      <c r="K220" s="4"/>
      <c r="L220" s="66">
        <f>((ARTICULOS_LADIAR[[#This Row],[P. Compra]]*(1+ARTICULOS_LADIAR[[#This Row],[IVA]]%))/ARTICULOS_LADIAR[[#This Row],[UnidFact]])+ARTICULOS_LADIAR[[#This Row],[CostoFlete]]</f>
        <v>800.58354999999995</v>
      </c>
      <c r="M220">
        <v>35</v>
      </c>
      <c r="N220" s="68">
        <f>IF(L220&gt;=20,MROUND((L220*(1+(ARTICULOS_LADIAR[[#This Row],[IVA]]/100)))/(1-M220/100),50),20)</f>
        <v>1350</v>
      </c>
      <c r="O220" s="3">
        <f>MROUND((ARTICULOS_LADIAR[[#This Row],[Precio]]/0.6),50)</f>
        <v>2250</v>
      </c>
      <c r="P220" t="s">
        <v>8693</v>
      </c>
      <c r="Q220">
        <v>2</v>
      </c>
      <c r="R220" s="3">
        <f>ARTICULOS_LADIAR[[#This Row],[Bulto]]+ARTICULOS_LADIAR[[#This Row],[Minimo]]</f>
        <v>3</v>
      </c>
      <c r="S220" t="s">
        <v>70</v>
      </c>
      <c r="T220" t="s">
        <v>4</v>
      </c>
      <c r="U220" t="s">
        <v>102</v>
      </c>
      <c r="V220" t="s">
        <v>9105</v>
      </c>
      <c r="W220" t="s">
        <v>8692</v>
      </c>
      <c r="X220">
        <v>1</v>
      </c>
      <c r="Y220">
        <v>4</v>
      </c>
      <c r="Z220"/>
      <c r="AB220" s="80">
        <f>ARTICULOS_LADIAR[[#This Row],[Costo]]*ARTICULOS_LADIAR[[#This Row],[Pedido]]</f>
        <v>0</v>
      </c>
      <c r="AD220"/>
      <c r="AH220" s="2" t="str">
        <f>IF(AND(ARTICULOS_LADIAR[[#This Row],[FechaVenc]]=0,ARTICULOS_LADIAR[[#This Row],[DiasVenc]]=0),"",ARTICULOS_LADIAR[[#This Row],[FechaVenc]]-ARTICULOS_LADIAR[[#This Row],[DiasVenc]])</f>
        <v/>
      </c>
      <c r="AK220"/>
      <c r="AM220"/>
      <c r="AO220" s="30" t="s">
        <v>8689</v>
      </c>
    </row>
    <row r="221" spans="1:41" x14ac:dyDescent="0.25">
      <c r="A221" s="1" t="s">
        <v>9465</v>
      </c>
      <c r="C221" t="str">
        <f t="shared" si="11"/>
        <v>ALM40138278</v>
      </c>
      <c r="D221" t="s">
        <v>8689</v>
      </c>
      <c r="E221" s="1" t="s">
        <v>9466</v>
      </c>
      <c r="F221" s="61">
        <v>2118.7800000000002</v>
      </c>
      <c r="G221" s="3">
        <v>10.5</v>
      </c>
      <c r="H221" s="4" t="s">
        <v>8690</v>
      </c>
      <c r="I221">
        <v>6</v>
      </c>
      <c r="J221" s="37">
        <f>ARTICULOS_LADIAR[[#This Row],[Bulto]]</f>
        <v>6</v>
      </c>
      <c r="K221" s="4"/>
      <c r="L221" s="66">
        <f>((ARTICULOS_LADIAR[[#This Row],[P. Compra]]*(1+ARTICULOS_LADIAR[[#This Row],[IVA]]%))/ARTICULOS_LADIAR[[#This Row],[UnidFact]])+ARTICULOS_LADIAR[[#This Row],[CostoFlete]]</f>
        <v>390.20865000000003</v>
      </c>
      <c r="M221">
        <v>35</v>
      </c>
      <c r="N221" s="68">
        <f>IF(L221&gt;=20,MROUND((L221*(1+(ARTICULOS_LADIAR[[#This Row],[IVA]]/100)))/(1-M221/100),50),20)</f>
        <v>650</v>
      </c>
      <c r="O221" s="3">
        <f>MROUND((ARTICULOS_LADIAR[[#This Row],[Precio]]/0.6),50)</f>
        <v>1100</v>
      </c>
      <c r="P221" t="s">
        <v>8693</v>
      </c>
      <c r="Q221">
        <v>2</v>
      </c>
      <c r="R221" s="3">
        <f>ARTICULOS_LADIAR[[#This Row],[Bulto]]+ARTICULOS_LADIAR[[#This Row],[Minimo]]</f>
        <v>8</v>
      </c>
      <c r="S221" t="s">
        <v>70</v>
      </c>
      <c r="T221" t="s">
        <v>4</v>
      </c>
      <c r="U221" t="s">
        <v>102</v>
      </c>
      <c r="V221" t="s">
        <v>9105</v>
      </c>
      <c r="W221" t="s">
        <v>8692</v>
      </c>
      <c r="X221">
        <v>1</v>
      </c>
      <c r="Y221">
        <v>0</v>
      </c>
      <c r="Z221"/>
      <c r="AB221" s="80">
        <f>ARTICULOS_LADIAR[[#This Row],[Costo]]*ARTICULOS_LADIAR[[#This Row],[Pedido]]</f>
        <v>0</v>
      </c>
      <c r="AD221"/>
      <c r="AH221" s="2" t="str">
        <f>IF(AND(ARTICULOS_LADIAR[[#This Row],[FechaVenc]]=0,ARTICULOS_LADIAR[[#This Row],[DiasVenc]]=0),"",ARTICULOS_LADIAR[[#This Row],[FechaVenc]]-ARTICULOS_LADIAR[[#This Row],[DiasVenc]])</f>
        <v/>
      </c>
      <c r="AK221"/>
      <c r="AM221"/>
      <c r="AO221" s="30" t="s">
        <v>8689</v>
      </c>
    </row>
    <row r="222" spans="1:41" x14ac:dyDescent="0.25">
      <c r="A222" s="1" t="s">
        <v>9467</v>
      </c>
      <c r="C222" t="str">
        <f t="shared" si="11"/>
        <v>ALM80775407</v>
      </c>
      <c r="D222" t="s">
        <v>8689</v>
      </c>
      <c r="E222" s="1" t="s">
        <v>9468</v>
      </c>
      <c r="F222" s="61">
        <f t="shared" ref="F222:F227" si="12">F221</f>
        <v>2118.7800000000002</v>
      </c>
      <c r="G222" s="3">
        <v>10.5</v>
      </c>
      <c r="H222" s="4" t="s">
        <v>8690</v>
      </c>
      <c r="I222">
        <v>6</v>
      </c>
      <c r="J222" s="37">
        <f>ARTICULOS_LADIAR[[#This Row],[Bulto]]</f>
        <v>6</v>
      </c>
      <c r="K222" s="4"/>
      <c r="L222" s="66">
        <f>((ARTICULOS_LADIAR[[#This Row],[P. Compra]]*(1+ARTICULOS_LADIAR[[#This Row],[IVA]]%))/ARTICULOS_LADIAR[[#This Row],[UnidFact]])+ARTICULOS_LADIAR[[#This Row],[CostoFlete]]</f>
        <v>390.20865000000003</v>
      </c>
      <c r="M222">
        <v>35</v>
      </c>
      <c r="N222" s="68">
        <f>IF(L222&gt;=20,MROUND((L222*(1+(ARTICULOS_LADIAR[[#This Row],[IVA]]/100)))/(1-M222/100),50),20)</f>
        <v>650</v>
      </c>
      <c r="O222" s="3">
        <f>MROUND((ARTICULOS_LADIAR[[#This Row],[Precio]]/0.6),50)</f>
        <v>1100</v>
      </c>
      <c r="P222" t="s">
        <v>8693</v>
      </c>
      <c r="Q222">
        <v>2</v>
      </c>
      <c r="R222" s="3">
        <f>ARTICULOS_LADIAR[[#This Row],[Bulto]]+ARTICULOS_LADIAR[[#This Row],[Minimo]]</f>
        <v>8</v>
      </c>
      <c r="S222" t="s">
        <v>70</v>
      </c>
      <c r="T222" t="s">
        <v>4</v>
      </c>
      <c r="U222" t="s">
        <v>102</v>
      </c>
      <c r="V222" t="s">
        <v>9105</v>
      </c>
      <c r="W222" t="s">
        <v>8692</v>
      </c>
      <c r="X222">
        <v>1</v>
      </c>
      <c r="Y222">
        <v>6</v>
      </c>
      <c r="Z222"/>
      <c r="AB222" s="80">
        <f>ARTICULOS_LADIAR[[#This Row],[Costo]]*ARTICULOS_LADIAR[[#This Row],[Pedido]]</f>
        <v>0</v>
      </c>
      <c r="AD222"/>
      <c r="AH222" s="2" t="str">
        <f>IF(AND(ARTICULOS_LADIAR[[#This Row],[FechaVenc]]=0,ARTICULOS_LADIAR[[#This Row],[DiasVenc]]=0),"",ARTICULOS_LADIAR[[#This Row],[FechaVenc]]-ARTICULOS_LADIAR[[#This Row],[DiasVenc]])</f>
        <v/>
      </c>
      <c r="AK222"/>
      <c r="AM222"/>
      <c r="AO222" s="30" t="s">
        <v>8689</v>
      </c>
    </row>
    <row r="223" spans="1:41" x14ac:dyDescent="0.25">
      <c r="A223" s="1" t="s">
        <v>9469</v>
      </c>
      <c r="C223" t="str">
        <f t="shared" si="11"/>
        <v>ALM40374706</v>
      </c>
      <c r="D223" t="s">
        <v>8689</v>
      </c>
      <c r="E223" s="1" t="s">
        <v>9470</v>
      </c>
      <c r="F223" s="61">
        <f t="shared" si="12"/>
        <v>2118.7800000000002</v>
      </c>
      <c r="G223" s="3">
        <v>10.5</v>
      </c>
      <c r="H223" s="4" t="s">
        <v>8690</v>
      </c>
      <c r="I223">
        <v>6</v>
      </c>
      <c r="J223" s="37">
        <f>ARTICULOS_LADIAR[[#This Row],[Bulto]]</f>
        <v>6</v>
      </c>
      <c r="K223" s="4"/>
      <c r="L223" s="66">
        <f>((ARTICULOS_LADIAR[[#This Row],[P. Compra]]*(1+ARTICULOS_LADIAR[[#This Row],[IVA]]%))/ARTICULOS_LADIAR[[#This Row],[UnidFact]])+ARTICULOS_LADIAR[[#This Row],[CostoFlete]]</f>
        <v>390.20865000000003</v>
      </c>
      <c r="M223">
        <v>35</v>
      </c>
      <c r="N223" s="68">
        <f>IF(L223&gt;=20,MROUND((L223*(1+(ARTICULOS_LADIAR[[#This Row],[IVA]]/100)))/(1-M223/100),50),20)</f>
        <v>650</v>
      </c>
      <c r="O223" s="3">
        <f>MROUND((ARTICULOS_LADIAR[[#This Row],[Precio]]/0.6),50)</f>
        <v>1100</v>
      </c>
      <c r="P223" t="s">
        <v>8693</v>
      </c>
      <c r="Q223">
        <v>2</v>
      </c>
      <c r="R223" s="3">
        <f>ARTICULOS_LADIAR[[#This Row],[Bulto]]+ARTICULOS_LADIAR[[#This Row],[Minimo]]</f>
        <v>8</v>
      </c>
      <c r="S223" t="s">
        <v>70</v>
      </c>
      <c r="T223" t="s">
        <v>4</v>
      </c>
      <c r="U223" t="s">
        <v>102</v>
      </c>
      <c r="V223" t="s">
        <v>9105</v>
      </c>
      <c r="W223" t="s">
        <v>8692</v>
      </c>
      <c r="X223">
        <v>1</v>
      </c>
      <c r="Y223">
        <v>5</v>
      </c>
      <c r="Z223"/>
      <c r="AB223" s="80">
        <f>ARTICULOS_LADIAR[[#This Row],[Costo]]*ARTICULOS_LADIAR[[#This Row],[Pedido]]</f>
        <v>0</v>
      </c>
      <c r="AH223" s="84" t="str">
        <f>IF(AND(ARTICULOS_LADIAR[[#This Row],[FechaVenc]]=0,ARTICULOS_LADIAR[[#This Row],[DiasVenc]]=0),"",ARTICULOS_LADIAR[[#This Row],[FechaVenc]]-ARTICULOS_LADIAR[[#This Row],[DiasVenc]])</f>
        <v/>
      </c>
      <c r="AO223" s="30" t="s">
        <v>8689</v>
      </c>
    </row>
    <row r="224" spans="1:41" x14ac:dyDescent="0.25">
      <c r="A224" s="1" t="s">
        <v>9471</v>
      </c>
      <c r="C224" t="str">
        <f t="shared" si="11"/>
        <v>ALM80387105</v>
      </c>
      <c r="D224" t="s">
        <v>8689</v>
      </c>
      <c r="E224" s="1" t="s">
        <v>9472</v>
      </c>
      <c r="F224" s="61">
        <f t="shared" si="12"/>
        <v>2118.7800000000002</v>
      </c>
      <c r="G224" s="3">
        <v>10.5</v>
      </c>
      <c r="H224" s="4" t="s">
        <v>8690</v>
      </c>
      <c r="I224">
        <v>6</v>
      </c>
      <c r="J224" s="37">
        <f>ARTICULOS_LADIAR[[#This Row],[Bulto]]</f>
        <v>6</v>
      </c>
      <c r="K224" s="4"/>
      <c r="L224" s="66">
        <f>((ARTICULOS_LADIAR[[#This Row],[P. Compra]]*(1+ARTICULOS_LADIAR[[#This Row],[IVA]]%))/ARTICULOS_LADIAR[[#This Row],[UnidFact]])+ARTICULOS_LADIAR[[#This Row],[CostoFlete]]</f>
        <v>390.20865000000003</v>
      </c>
      <c r="M224">
        <v>35</v>
      </c>
      <c r="N224" s="68">
        <f>IF(L224&gt;=20,MROUND((L224*(1+(ARTICULOS_LADIAR[[#This Row],[IVA]]/100)))/(1-M224/100),50),20)</f>
        <v>650</v>
      </c>
      <c r="O224" s="3">
        <f>MROUND((ARTICULOS_LADIAR[[#This Row],[Precio]]/0.6),50)</f>
        <v>1100</v>
      </c>
      <c r="P224" t="s">
        <v>8693</v>
      </c>
      <c r="Q224">
        <v>2</v>
      </c>
      <c r="R224" s="3">
        <f>ARTICULOS_LADIAR[[#This Row],[Bulto]]+ARTICULOS_LADIAR[[#This Row],[Minimo]]</f>
        <v>8</v>
      </c>
      <c r="S224" t="s">
        <v>70</v>
      </c>
      <c r="T224" t="s">
        <v>4</v>
      </c>
      <c r="U224" t="s">
        <v>102</v>
      </c>
      <c r="V224" t="s">
        <v>9105</v>
      </c>
      <c r="W224" t="s">
        <v>8692</v>
      </c>
      <c r="X224">
        <v>1</v>
      </c>
      <c r="Y224">
        <v>0</v>
      </c>
      <c r="Z224"/>
      <c r="AB224" s="80">
        <f>ARTICULOS_LADIAR[[#This Row],[Costo]]*ARTICULOS_LADIAR[[#This Row],[Pedido]]</f>
        <v>0</v>
      </c>
      <c r="AH224" s="84" t="str">
        <f>IF(AND(ARTICULOS_LADIAR[[#This Row],[FechaVenc]]=0,ARTICULOS_LADIAR[[#This Row],[DiasVenc]]=0),"",ARTICULOS_LADIAR[[#This Row],[FechaVenc]]-ARTICULOS_LADIAR[[#This Row],[DiasVenc]])</f>
        <v/>
      </c>
      <c r="AO224" s="30" t="s">
        <v>8689</v>
      </c>
    </row>
    <row r="225" spans="1:41" x14ac:dyDescent="0.25">
      <c r="A225" s="1" t="s">
        <v>9473</v>
      </c>
      <c r="C225" t="str">
        <f t="shared" si="11"/>
        <v>ALM80387006</v>
      </c>
      <c r="D225" t="s">
        <v>8689</v>
      </c>
      <c r="E225" s="1" t="s">
        <v>9474</v>
      </c>
      <c r="F225" s="61">
        <f t="shared" si="12"/>
        <v>2118.7800000000002</v>
      </c>
      <c r="G225" s="3">
        <v>10.5</v>
      </c>
      <c r="H225" s="4" t="s">
        <v>8690</v>
      </c>
      <c r="I225">
        <v>6</v>
      </c>
      <c r="J225" s="37">
        <f>ARTICULOS_LADIAR[[#This Row],[Bulto]]</f>
        <v>6</v>
      </c>
      <c r="K225" s="4"/>
      <c r="L225" s="66">
        <f>((ARTICULOS_LADIAR[[#This Row],[P. Compra]]*(1+ARTICULOS_LADIAR[[#This Row],[IVA]]%))/ARTICULOS_LADIAR[[#This Row],[UnidFact]])+ARTICULOS_LADIAR[[#This Row],[CostoFlete]]</f>
        <v>390.20865000000003</v>
      </c>
      <c r="M225">
        <v>35</v>
      </c>
      <c r="N225" s="68">
        <f>IF(L225&gt;=20,MROUND((L225*(1+(ARTICULOS_LADIAR[[#This Row],[IVA]]/100)))/(1-M225/100),50),20)</f>
        <v>650</v>
      </c>
      <c r="O225" s="3">
        <f>MROUND((ARTICULOS_LADIAR[[#This Row],[Precio]]/0.6),50)</f>
        <v>1100</v>
      </c>
      <c r="P225" t="s">
        <v>8693</v>
      </c>
      <c r="Q225">
        <v>2</v>
      </c>
      <c r="R225" s="3">
        <f>ARTICULOS_LADIAR[[#This Row],[Bulto]]+ARTICULOS_LADIAR[[#This Row],[Minimo]]</f>
        <v>8</v>
      </c>
      <c r="S225" t="s">
        <v>70</v>
      </c>
      <c r="T225" t="s">
        <v>4</v>
      </c>
      <c r="U225" t="s">
        <v>102</v>
      </c>
      <c r="V225" t="s">
        <v>9105</v>
      </c>
      <c r="W225" t="s">
        <v>8692</v>
      </c>
      <c r="X225">
        <v>1</v>
      </c>
      <c r="Y225">
        <v>6</v>
      </c>
      <c r="Z225"/>
      <c r="AB225" s="80">
        <f>ARTICULOS_LADIAR[[#This Row],[Costo]]*ARTICULOS_LADIAR[[#This Row],[Pedido]]</f>
        <v>0</v>
      </c>
      <c r="AH225" s="84" t="str">
        <f>IF(AND(ARTICULOS_LADIAR[[#This Row],[FechaVenc]]=0,ARTICULOS_LADIAR[[#This Row],[DiasVenc]]=0),"",ARTICULOS_LADIAR[[#This Row],[FechaVenc]]-ARTICULOS_LADIAR[[#This Row],[DiasVenc]])</f>
        <v/>
      </c>
      <c r="AO225" s="30" t="s">
        <v>8689</v>
      </c>
    </row>
    <row r="226" spans="1:41" x14ac:dyDescent="0.25">
      <c r="A226" s="1" t="s">
        <v>9475</v>
      </c>
      <c r="C226" t="str">
        <f t="shared" si="11"/>
        <v>ALM40137707</v>
      </c>
      <c r="D226" t="s">
        <v>8689</v>
      </c>
      <c r="E226" s="24" t="s">
        <v>9476</v>
      </c>
      <c r="F226" s="61">
        <f t="shared" si="12"/>
        <v>2118.7800000000002</v>
      </c>
      <c r="G226" s="3">
        <v>10.5</v>
      </c>
      <c r="H226" s="4" t="s">
        <v>8690</v>
      </c>
      <c r="I226">
        <v>6</v>
      </c>
      <c r="J226" s="37">
        <f>ARTICULOS_LADIAR[[#This Row],[Bulto]]</f>
        <v>6</v>
      </c>
      <c r="K226" s="4"/>
      <c r="L226" s="66">
        <f>((ARTICULOS_LADIAR[[#This Row],[P. Compra]]*(1+ARTICULOS_LADIAR[[#This Row],[IVA]]%))/ARTICULOS_LADIAR[[#This Row],[UnidFact]])+ARTICULOS_LADIAR[[#This Row],[CostoFlete]]</f>
        <v>390.20865000000003</v>
      </c>
      <c r="M226">
        <v>35</v>
      </c>
      <c r="N226" s="68">
        <f>IF(L226&gt;=20,MROUND((L226*(1+(ARTICULOS_LADIAR[[#This Row],[IVA]]/100)))/(1-M226/100),50),20)</f>
        <v>650</v>
      </c>
      <c r="O226" s="3">
        <f>MROUND((ARTICULOS_LADIAR[[#This Row],[Precio]]/0.6),50)</f>
        <v>1100</v>
      </c>
      <c r="P226" t="s">
        <v>8693</v>
      </c>
      <c r="Q226">
        <v>2</v>
      </c>
      <c r="R226" s="3">
        <f>ARTICULOS_LADIAR[[#This Row],[Bulto]]+ARTICULOS_LADIAR[[#This Row],[Minimo]]</f>
        <v>8</v>
      </c>
      <c r="S226" t="s">
        <v>70</v>
      </c>
      <c r="T226" t="s">
        <v>4</v>
      </c>
      <c r="U226" t="s">
        <v>102</v>
      </c>
      <c r="V226" t="s">
        <v>9105</v>
      </c>
      <c r="W226" t="s">
        <v>8692</v>
      </c>
      <c r="X226">
        <v>1</v>
      </c>
      <c r="Y226">
        <v>0</v>
      </c>
      <c r="Z226"/>
      <c r="AB226" s="80">
        <f>ARTICULOS_LADIAR[[#This Row],[Costo]]*ARTICULOS_LADIAR[[#This Row],[Pedido]]</f>
        <v>0</v>
      </c>
      <c r="AH226" s="84" t="str">
        <f>IF(AND(ARTICULOS_LADIAR[[#This Row],[FechaVenc]]=0,ARTICULOS_LADIAR[[#This Row],[DiasVenc]]=0),"",ARTICULOS_LADIAR[[#This Row],[FechaVenc]]-ARTICULOS_LADIAR[[#This Row],[DiasVenc]])</f>
        <v/>
      </c>
      <c r="AO226" s="30" t="s">
        <v>8689</v>
      </c>
    </row>
    <row r="227" spans="1:41" x14ac:dyDescent="0.25">
      <c r="A227" s="24" t="s">
        <v>11767</v>
      </c>
      <c r="C227" t="str">
        <f t="shared" si="11"/>
        <v>ALM40141254</v>
      </c>
      <c r="D227" t="s">
        <v>8689</v>
      </c>
      <c r="E227" s="24" t="s">
        <v>9476</v>
      </c>
      <c r="F227" s="61">
        <f t="shared" si="12"/>
        <v>2118.7800000000002</v>
      </c>
      <c r="G227" s="3">
        <v>10.5</v>
      </c>
      <c r="H227" s="4" t="s">
        <v>8690</v>
      </c>
      <c r="I227">
        <v>6</v>
      </c>
      <c r="J227" s="73">
        <f>ARTICULOS_LADIAR[[#This Row],[Bulto]]</f>
        <v>6</v>
      </c>
      <c r="K227" s="46"/>
      <c r="L227" s="18">
        <f>((ARTICULOS_LADIAR[[#This Row],[P. Compra]]*(1+ARTICULOS_LADIAR[[#This Row],[IVA]]%))/ARTICULOS_LADIAR[[#This Row],[UnidFact]])+ARTICULOS_LADIAR[[#This Row],[CostoFlete]]</f>
        <v>390.20865000000003</v>
      </c>
      <c r="M227">
        <v>35</v>
      </c>
      <c r="N227" s="68">
        <f>IF(L227&gt;=20,MROUND((L227*(1+(ARTICULOS_LADIAR[[#This Row],[IVA]]/100)))/(1-M227/100),50),20)</f>
        <v>650</v>
      </c>
      <c r="O227" s="3">
        <f>MROUND((ARTICULOS_LADIAR[[#This Row],[Precio]]/0.6),50)</f>
        <v>1100</v>
      </c>
      <c r="P227" s="7" t="s">
        <v>8693</v>
      </c>
      <c r="Q227" s="7">
        <v>2</v>
      </c>
      <c r="R227" s="51">
        <f>ARTICULOS_LADIAR[[#This Row],[Bulto]]+ARTICULOS_LADIAR[[#This Row],[Minimo]]</f>
        <v>8</v>
      </c>
      <c r="S227" t="s">
        <v>70</v>
      </c>
      <c r="T227" t="s">
        <v>4</v>
      </c>
      <c r="U227" t="s">
        <v>102</v>
      </c>
      <c r="V227" t="s">
        <v>9105</v>
      </c>
      <c r="W227" t="s">
        <v>8692</v>
      </c>
      <c r="X227">
        <v>1</v>
      </c>
      <c r="Y227">
        <v>0</v>
      </c>
      <c r="Z227"/>
      <c r="AB227" s="80">
        <f>ARTICULOS_LADIAR[[#This Row],[Costo]]*ARTICULOS_LADIAR[[#This Row],[Pedido]]</f>
        <v>0</v>
      </c>
      <c r="AH227" s="84" t="str">
        <f>IF(AND(ARTICULOS_LADIAR[[#This Row],[FechaVenc]]=0,ARTICULOS_LADIAR[[#This Row],[DiasVenc]]=0),"",ARTICULOS_LADIAR[[#This Row],[FechaVenc]]-ARTICULOS_LADIAR[[#This Row],[DiasVenc]])</f>
        <v/>
      </c>
      <c r="AO227" s="30" t="s">
        <v>8689</v>
      </c>
    </row>
  </sheetData>
  <phoneticPr fontId="5" type="noConversion"/>
  <conditionalFormatting sqref="A1">
    <cfRule type="duplicateValues" dxfId="83" priority="2"/>
  </conditionalFormatting>
  <conditionalFormatting sqref="B83 A83:A84 A85:B90 A75:B82 C75:C90 A91:C1048576 A2:C74">
    <cfRule type="duplicateValues" dxfId="82" priority="495"/>
    <cfRule type="duplicateValues" dxfId="81" priority="496"/>
  </conditionalFormatting>
  <conditionalFormatting sqref="C1">
    <cfRule type="duplicateValues" dxfId="80" priority="1"/>
  </conditionalFormatting>
  <conditionalFormatting sqref="L1:L227 F228:F1048576">
    <cfRule type="cellIs" dxfId="79" priority="17" operator="greaterThan">
      <formula>0</formula>
    </cfRule>
  </conditionalFormatting>
  <pageMargins left="0.23622047244094491" right="0.27559055118110237" top="0.23622047244094491" bottom="0.23622047244094491" header="0.23622047244094491" footer="0"/>
  <pageSetup paperSize="9" fitToHeight="3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902C01-56A9-43A6-8AC1-E6B25D3F9DB2}">
          <x14:formula1>
            <xm:f>LISTAS!$E:$E</xm:f>
          </x14:formula1>
          <xm:sqref>AB223:AB1048576 U1:U227</xm:sqref>
        </x14:dataValidation>
        <x14:dataValidation type="list" allowBlank="1" showInputMessage="1" showErrorMessage="1" xr:uid="{FBC70C2D-31BB-44CB-AA38-974FB46A700B}">
          <x14:formula1>
            <xm:f>LISTAS!$A:$A</xm:f>
          </x14:formula1>
          <xm:sqref>S1:S227</xm:sqref>
        </x14:dataValidation>
        <x14:dataValidation type="list" allowBlank="1" showInputMessage="1" showErrorMessage="1" xr:uid="{D786E501-E08E-495B-9E5B-AA967C53003D}">
          <x14:formula1>
            <xm:f>LISTAS!$C:$C</xm:f>
          </x14:formula1>
          <xm:sqref>T2:T227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F053-36B8-418F-A058-C6D4336CF0BF}">
  <dimension ref="A1:AQ128"/>
  <sheetViews>
    <sheetView workbookViewId="0">
      <pane xSplit="5" topLeftCell="F1" activePane="topRight" state="frozen"/>
      <selection activeCell="AD34" sqref="AD34"/>
      <selection pane="topRight" activeCell="L3" sqref="L3"/>
    </sheetView>
  </sheetViews>
  <sheetFormatPr baseColWidth="10" defaultColWidth="11.42578125" defaultRowHeight="15" x14ac:dyDescent="0.2"/>
  <cols>
    <col min="1" max="1" width="9" style="1" customWidth="1"/>
    <col min="2" max="2" width="3.85546875" style="1" customWidth="1"/>
    <col min="3" max="3" width="4.28515625" style="1" customWidth="1"/>
    <col min="4" max="4" width="2.28515625" customWidth="1"/>
    <col min="5" max="5" width="43.42578125" style="1" customWidth="1"/>
    <col min="6" max="6" width="13" style="15" bestFit="1" customWidth="1"/>
    <col min="7" max="7" width="7" style="120" bestFit="1" customWidth="1"/>
    <col min="8" max="8" width="5.140625" bestFit="1" customWidth="1"/>
    <col min="9" max="9" width="4.7109375" customWidth="1"/>
    <col min="10" max="10" width="11.42578125" style="58"/>
    <col min="13" max="13" width="12.42578125" customWidth="1"/>
    <col min="14" max="14" width="10.28515625" bestFit="1" customWidth="1"/>
    <col min="15" max="15" width="10.7109375" bestFit="1" customWidth="1"/>
    <col min="16" max="16" width="13.5703125" customWidth="1"/>
    <col min="17" max="17" width="9.42578125" style="5" bestFit="1" customWidth="1"/>
    <col min="18" max="18" width="9.7109375" style="3" bestFit="1" customWidth="1"/>
    <col min="19" max="19" width="9.28515625" style="4" bestFit="1" customWidth="1"/>
    <col min="20" max="20" width="10.28515625" style="3" bestFit="1" customWidth="1"/>
    <col min="21" max="21" width="10.7109375" style="3" bestFit="1" customWidth="1"/>
    <col min="22" max="22" width="12.5703125" bestFit="1" customWidth="1"/>
    <col min="23" max="23" width="8.85546875" bestFit="1" customWidth="1"/>
    <col min="24" max="24" width="12" bestFit="1" customWidth="1"/>
    <col min="25" max="25" width="12.5703125" style="35" bestFit="1" customWidth="1"/>
    <col min="26" max="26" width="11.28515625" style="3" bestFit="1" customWidth="1"/>
    <col min="29" max="29" width="13.7109375" customWidth="1"/>
    <col min="30" max="30" width="8.140625" customWidth="1"/>
    <col min="31" max="31" width="10" bestFit="1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118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78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ht="15.75" x14ac:dyDescent="0.25">
      <c r="A2" s="1" t="s">
        <v>9478</v>
      </c>
      <c r="C2" t="str">
        <f t="shared" ref="C2:C33" si="0">CONCATENATE(LEFT(T2,3),RIGHT(A2,8))</f>
        <v>KIO77903778</v>
      </c>
      <c r="D2" t="s">
        <v>8689</v>
      </c>
      <c r="E2" s="1" t="s">
        <v>9479</v>
      </c>
      <c r="F2" s="61">
        <v>617.79999999999995</v>
      </c>
      <c r="G2" s="119">
        <v>0.21</v>
      </c>
      <c r="H2" s="4" t="s">
        <v>8690</v>
      </c>
      <c r="I2">
        <v>12</v>
      </c>
      <c r="J2">
        <v>1</v>
      </c>
      <c r="L2" s="66">
        <f>((ARTICULOS_MONDELEZ[[#This Row],[P. Compra]]*(1+ARTICULOS_MONDELEZ[[#This Row],[IVA]]))/ARTICULOS_MONDELEZ[[#This Row],[UnidFact]])+ARTICULOS_MONDELEZ[[#This Row],[CostoFlete]]</f>
        <v>747.5379999999999</v>
      </c>
      <c r="M2">
        <v>35</v>
      </c>
      <c r="N2" s="68">
        <f>IF(L2&gt;=5,MROUND((L2*(1+(ARTICULOS_MONDELEZ[[#This Row],[IVA]]/100)))/(1-M2/100),50),10)</f>
        <v>1150</v>
      </c>
      <c r="O2" s="3">
        <f>MROUND(ARTICULOS_MONDELEZ[[#This Row],[Precio]]/0.6,50)</f>
        <v>1900</v>
      </c>
      <c r="P2" t="s">
        <v>8693</v>
      </c>
      <c r="Q2">
        <v>4</v>
      </c>
      <c r="R2" s="3">
        <f>ARTICULOS_MONDELEZ[[#This Row],[Bulto]]+ARTICULOS_MONDELEZ[[#This Row],[Minimo]]</f>
        <v>16</v>
      </c>
      <c r="S2" t="s">
        <v>38</v>
      </c>
      <c r="T2" t="s">
        <v>27</v>
      </c>
      <c r="U2" t="s">
        <v>8</v>
      </c>
      <c r="V2" t="s">
        <v>9477</v>
      </c>
      <c r="W2" t="s">
        <v>8692</v>
      </c>
      <c r="X2">
        <v>1</v>
      </c>
      <c r="Y2" s="36">
        <v>0</v>
      </c>
      <c r="Z2"/>
      <c r="AB2" s="80">
        <f>ARTICULOS_MONDELEZ[[#This Row],[Costo]]*ARTICULOS_MONDELEZ[[#This Row],[Pedido]]</f>
        <v>0</v>
      </c>
      <c r="AF2" s="2"/>
      <c r="AH2" s="2" t="str">
        <f>IF(AND(ARTICULOS_MONDELEZ[[#This Row],[FechaVenc]]=0,ARTICULOS_MONDELEZ[[#This Row],[DiasVenc]]=0),"",ARTICULOS_MONDELEZ[[#This Row],[FechaVenc]]-ARTICULOS_MONDELEZ[[#This Row],[DiasVenc]])</f>
        <v/>
      </c>
      <c r="AO2" s="30" t="s">
        <v>8689</v>
      </c>
    </row>
    <row r="3" spans="1:43" ht="15.75" x14ac:dyDescent="0.25">
      <c r="A3" s="1" t="s">
        <v>9480</v>
      </c>
      <c r="C3" t="str">
        <f t="shared" si="0"/>
        <v>KIO77903785</v>
      </c>
      <c r="D3" t="s">
        <v>8689</v>
      </c>
      <c r="E3" s="1" t="s">
        <v>9481</v>
      </c>
      <c r="F3" s="61">
        <f>F2</f>
        <v>617.79999999999995</v>
      </c>
      <c r="G3" s="119">
        <v>0.21</v>
      </c>
      <c r="H3" s="4" t="s">
        <v>8690</v>
      </c>
      <c r="I3">
        <v>12</v>
      </c>
      <c r="J3">
        <v>1</v>
      </c>
      <c r="L3" s="66">
        <f>((ARTICULOS_MONDELEZ[[#This Row],[P. Compra]]*(1+ARTICULOS_MONDELEZ[[#This Row],[IVA]]))/ARTICULOS_MONDELEZ[[#This Row],[UnidFact]])+ARTICULOS_MONDELEZ[[#This Row],[CostoFlete]]</f>
        <v>747.5379999999999</v>
      </c>
      <c r="M3">
        <v>35</v>
      </c>
      <c r="N3" s="68">
        <f>IF(L3&gt;=5,MROUND((L3*(1+(ARTICULOS_MONDELEZ[[#This Row],[IVA]]/100)))/(1-M3/100),50),10)</f>
        <v>1150</v>
      </c>
      <c r="O3" s="3">
        <f>MROUND(ARTICULOS_MONDELEZ[[#This Row],[Precio]]/0.6,50)</f>
        <v>1900</v>
      </c>
      <c r="P3" t="s">
        <v>8693</v>
      </c>
      <c r="Q3">
        <v>4</v>
      </c>
      <c r="R3" s="3">
        <f>ARTICULOS_MONDELEZ[[#This Row],[Bulto]]+ARTICULOS_MONDELEZ[[#This Row],[Minimo]]</f>
        <v>16</v>
      </c>
      <c r="S3" t="s">
        <v>38</v>
      </c>
      <c r="T3" t="s">
        <v>27</v>
      </c>
      <c r="U3" t="s">
        <v>8</v>
      </c>
      <c r="V3" t="s">
        <v>9477</v>
      </c>
      <c r="W3" t="s">
        <v>8692</v>
      </c>
      <c r="X3">
        <v>1</v>
      </c>
      <c r="Y3" s="36">
        <v>0</v>
      </c>
      <c r="Z3"/>
      <c r="AB3" s="80">
        <f>ARTICULOS_MONDELEZ[[#This Row],[Costo]]*ARTICULOS_MONDELEZ[[#This Row],[Pedido]]</f>
        <v>0</v>
      </c>
      <c r="AH3" s="2" t="str">
        <f>IF(AND(ARTICULOS_MONDELEZ[[#This Row],[FechaVenc]]=0,ARTICULOS_MONDELEZ[[#This Row],[DiasVenc]]=0),"",ARTICULOS_MONDELEZ[[#This Row],[FechaVenc]]-ARTICULOS_MONDELEZ[[#This Row],[DiasVenc]])</f>
        <v/>
      </c>
      <c r="AO3" s="30" t="s">
        <v>8689</v>
      </c>
    </row>
    <row r="4" spans="1:43" ht="15.75" x14ac:dyDescent="0.25">
      <c r="A4" s="1" t="s">
        <v>9482</v>
      </c>
      <c r="C4" t="str">
        <f t="shared" si="0"/>
        <v>KIO00457303</v>
      </c>
      <c r="D4" t="s">
        <v>8689</v>
      </c>
      <c r="E4" s="1" t="s">
        <v>9483</v>
      </c>
      <c r="F4" s="61">
        <f t="shared" ref="F4:F8" si="1">F3</f>
        <v>617.79999999999995</v>
      </c>
      <c r="G4" s="119">
        <v>0.21</v>
      </c>
      <c r="H4" s="4" t="s">
        <v>8690</v>
      </c>
      <c r="I4">
        <v>12</v>
      </c>
      <c r="J4">
        <v>1</v>
      </c>
      <c r="L4" s="66">
        <f>((ARTICULOS_MONDELEZ[[#This Row],[P. Compra]]*(1+ARTICULOS_MONDELEZ[[#This Row],[IVA]]))/ARTICULOS_MONDELEZ[[#This Row],[UnidFact]])+ARTICULOS_MONDELEZ[[#This Row],[CostoFlete]]</f>
        <v>747.5379999999999</v>
      </c>
      <c r="M4">
        <v>35</v>
      </c>
      <c r="N4" s="68">
        <f>IF(L4&gt;=5,MROUND((L4*(1+(ARTICULOS_MONDELEZ[[#This Row],[IVA]]/100)))/(1-M4/100),50),10)</f>
        <v>1150</v>
      </c>
      <c r="O4" s="3">
        <f>MROUND(ARTICULOS_MONDELEZ[[#This Row],[Precio]]/0.6,50)</f>
        <v>1900</v>
      </c>
      <c r="P4" t="s">
        <v>8693</v>
      </c>
      <c r="Q4">
        <v>4</v>
      </c>
      <c r="R4" s="3">
        <f>ARTICULOS_MONDELEZ[[#This Row],[Bulto]]+ARTICULOS_MONDELEZ[[#This Row],[Minimo]]</f>
        <v>16</v>
      </c>
      <c r="S4" t="s">
        <v>38</v>
      </c>
      <c r="T4" t="s">
        <v>27</v>
      </c>
      <c r="U4" t="s">
        <v>8</v>
      </c>
      <c r="V4" t="s">
        <v>9477</v>
      </c>
      <c r="W4" t="s">
        <v>8692</v>
      </c>
      <c r="X4">
        <v>1</v>
      </c>
      <c r="Y4" s="36">
        <v>0</v>
      </c>
      <c r="Z4"/>
      <c r="AB4" s="80">
        <f>ARTICULOS_MONDELEZ[[#This Row],[Costo]]*ARTICULOS_MONDELEZ[[#This Row],[Pedido]]</f>
        <v>0</v>
      </c>
      <c r="AH4" s="2" t="str">
        <f>IF(AND(ARTICULOS_MONDELEZ[[#This Row],[FechaVenc]]=0,ARTICULOS_MONDELEZ[[#This Row],[DiasVenc]]=0),"",ARTICULOS_MONDELEZ[[#This Row],[FechaVenc]]-ARTICULOS_MONDELEZ[[#This Row],[DiasVenc]])</f>
        <v/>
      </c>
      <c r="AO4" s="30" t="s">
        <v>8689</v>
      </c>
    </row>
    <row r="5" spans="1:43" ht="15.75" x14ac:dyDescent="0.25">
      <c r="A5" s="1" t="s">
        <v>9484</v>
      </c>
      <c r="C5" t="str">
        <f t="shared" si="0"/>
        <v>KIO00835620</v>
      </c>
      <c r="D5" t="s">
        <v>8689</v>
      </c>
      <c r="E5" s="1" t="s">
        <v>9485</v>
      </c>
      <c r="F5" s="61">
        <f t="shared" si="1"/>
        <v>617.79999999999995</v>
      </c>
      <c r="G5" s="119">
        <v>0.21</v>
      </c>
      <c r="H5" s="4" t="s">
        <v>8690</v>
      </c>
      <c r="I5">
        <v>12</v>
      </c>
      <c r="J5">
        <v>1</v>
      </c>
      <c r="L5" s="66">
        <f>((ARTICULOS_MONDELEZ[[#This Row],[P. Compra]]*(1+ARTICULOS_MONDELEZ[[#This Row],[IVA]]))/ARTICULOS_MONDELEZ[[#This Row],[UnidFact]])+ARTICULOS_MONDELEZ[[#This Row],[CostoFlete]]</f>
        <v>747.5379999999999</v>
      </c>
      <c r="M5">
        <v>35</v>
      </c>
      <c r="N5" s="68">
        <f>IF(L5&gt;=5,MROUND((L5*(1+(ARTICULOS_MONDELEZ[[#This Row],[IVA]]/100)))/(1-M5/100),50),10)</f>
        <v>1150</v>
      </c>
      <c r="O5" s="3">
        <f>MROUND(ARTICULOS_MONDELEZ[[#This Row],[Precio]]/0.6,50)</f>
        <v>1900</v>
      </c>
      <c r="P5" t="s">
        <v>8693</v>
      </c>
      <c r="Q5">
        <v>4</v>
      </c>
      <c r="R5" s="3">
        <f>ARTICULOS_MONDELEZ[[#This Row],[Bulto]]+ARTICULOS_MONDELEZ[[#This Row],[Minimo]]</f>
        <v>16</v>
      </c>
      <c r="S5" t="s">
        <v>38</v>
      </c>
      <c r="T5" t="s">
        <v>27</v>
      </c>
      <c r="U5" t="s">
        <v>8</v>
      </c>
      <c r="V5" t="s">
        <v>9477</v>
      </c>
      <c r="W5" t="s">
        <v>8692</v>
      </c>
      <c r="X5">
        <v>1</v>
      </c>
      <c r="Y5" s="36">
        <v>0</v>
      </c>
      <c r="Z5"/>
      <c r="AB5" s="80">
        <f>ARTICULOS_MONDELEZ[[#This Row],[Costo]]*ARTICULOS_MONDELEZ[[#This Row],[Pedido]]</f>
        <v>0</v>
      </c>
      <c r="AH5" s="2" t="str">
        <f>IF(AND(ARTICULOS_MONDELEZ[[#This Row],[FechaVenc]]=0,ARTICULOS_MONDELEZ[[#This Row],[DiasVenc]]=0),"",ARTICULOS_MONDELEZ[[#This Row],[FechaVenc]]-ARTICULOS_MONDELEZ[[#This Row],[DiasVenc]])</f>
        <v/>
      </c>
      <c r="AO5" s="30" t="s">
        <v>8689</v>
      </c>
    </row>
    <row r="6" spans="1:43" ht="15.75" x14ac:dyDescent="0.25">
      <c r="A6" s="1" t="s">
        <v>9486</v>
      </c>
      <c r="C6" t="str">
        <f t="shared" si="0"/>
        <v>KIO77976307</v>
      </c>
      <c r="D6" t="s">
        <v>8689</v>
      </c>
      <c r="E6" s="1" t="s">
        <v>9487</v>
      </c>
      <c r="F6" s="61">
        <f t="shared" si="1"/>
        <v>617.79999999999995</v>
      </c>
      <c r="G6" s="119">
        <v>0.21</v>
      </c>
      <c r="H6" s="4" t="s">
        <v>8690</v>
      </c>
      <c r="I6">
        <v>12</v>
      </c>
      <c r="J6">
        <v>1</v>
      </c>
      <c r="L6" s="66">
        <f>((ARTICULOS_MONDELEZ[[#This Row],[P. Compra]]*(1+ARTICULOS_MONDELEZ[[#This Row],[IVA]]))/ARTICULOS_MONDELEZ[[#This Row],[UnidFact]])+ARTICULOS_MONDELEZ[[#This Row],[CostoFlete]]</f>
        <v>747.5379999999999</v>
      </c>
      <c r="M6">
        <v>35</v>
      </c>
      <c r="N6" s="68">
        <f>IF(L6&gt;=5,MROUND((L6*(1+(ARTICULOS_MONDELEZ[[#This Row],[IVA]]/100)))/(1-M6/100),50),10)</f>
        <v>1150</v>
      </c>
      <c r="O6" s="3">
        <f>MROUND(ARTICULOS_MONDELEZ[[#This Row],[Precio]]/0.6,50)</f>
        <v>1900</v>
      </c>
      <c r="P6" t="s">
        <v>8693</v>
      </c>
      <c r="Q6">
        <v>4</v>
      </c>
      <c r="R6" s="3">
        <f>ARTICULOS_MONDELEZ[[#This Row],[Bulto]]+ARTICULOS_MONDELEZ[[#This Row],[Minimo]]</f>
        <v>16</v>
      </c>
      <c r="S6" t="s">
        <v>38</v>
      </c>
      <c r="T6" t="s">
        <v>27</v>
      </c>
      <c r="U6" t="s">
        <v>8</v>
      </c>
      <c r="V6" t="s">
        <v>9488</v>
      </c>
      <c r="W6" t="s">
        <v>8692</v>
      </c>
      <c r="X6">
        <v>1</v>
      </c>
      <c r="Y6" s="36">
        <v>0</v>
      </c>
      <c r="Z6"/>
      <c r="AB6" s="80">
        <f>ARTICULOS_MONDELEZ[[#This Row],[Costo]]*ARTICULOS_MONDELEZ[[#This Row],[Pedido]]</f>
        <v>0</v>
      </c>
      <c r="AH6" s="2" t="str">
        <f>IF(AND(ARTICULOS_MONDELEZ[[#This Row],[FechaVenc]]=0,ARTICULOS_MONDELEZ[[#This Row],[DiasVenc]]=0),"",ARTICULOS_MONDELEZ[[#This Row],[FechaVenc]]-ARTICULOS_MONDELEZ[[#This Row],[DiasVenc]])</f>
        <v/>
      </c>
      <c r="AO6" s="30" t="s">
        <v>8689</v>
      </c>
    </row>
    <row r="7" spans="1:43" ht="15.75" x14ac:dyDescent="0.25">
      <c r="A7" s="1" t="s">
        <v>9489</v>
      </c>
      <c r="C7" t="str">
        <f t="shared" si="0"/>
        <v>KIO77915481</v>
      </c>
      <c r="D7" t="s">
        <v>8689</v>
      </c>
      <c r="E7" s="1" t="s">
        <v>9490</v>
      </c>
      <c r="F7" s="61">
        <f t="shared" si="1"/>
        <v>617.79999999999995</v>
      </c>
      <c r="G7" s="119">
        <v>0.21</v>
      </c>
      <c r="H7" s="4" t="s">
        <v>8690</v>
      </c>
      <c r="I7">
        <v>12</v>
      </c>
      <c r="J7">
        <v>1</v>
      </c>
      <c r="L7" s="66">
        <f>((ARTICULOS_MONDELEZ[[#This Row],[P. Compra]]*(1+ARTICULOS_MONDELEZ[[#This Row],[IVA]]))/ARTICULOS_MONDELEZ[[#This Row],[UnidFact]])+ARTICULOS_MONDELEZ[[#This Row],[CostoFlete]]</f>
        <v>747.5379999999999</v>
      </c>
      <c r="M7">
        <v>35</v>
      </c>
      <c r="N7" s="68">
        <f>IF(L7&gt;=5,MROUND((L7*(1+(ARTICULOS_MONDELEZ[[#This Row],[IVA]]/100)))/(1-M7/100),50),10)</f>
        <v>1150</v>
      </c>
      <c r="O7" s="3">
        <f>MROUND(ARTICULOS_MONDELEZ[[#This Row],[Precio]]/0.6,50)</f>
        <v>1900</v>
      </c>
      <c r="P7" t="s">
        <v>8693</v>
      </c>
      <c r="Q7">
        <v>4</v>
      </c>
      <c r="R7" s="3">
        <f>ARTICULOS_MONDELEZ[[#This Row],[Bulto]]+ARTICULOS_MONDELEZ[[#This Row],[Minimo]]</f>
        <v>16</v>
      </c>
      <c r="S7" t="s">
        <v>38</v>
      </c>
      <c r="T7" t="s">
        <v>27</v>
      </c>
      <c r="U7" t="s">
        <v>8</v>
      </c>
      <c r="V7" t="s">
        <v>9491</v>
      </c>
      <c r="W7" t="s">
        <v>8692</v>
      </c>
      <c r="X7">
        <v>1</v>
      </c>
      <c r="Y7" s="36">
        <v>0</v>
      </c>
      <c r="Z7"/>
      <c r="AB7" s="80">
        <f>ARTICULOS_MONDELEZ[[#This Row],[Costo]]*ARTICULOS_MONDELEZ[[#This Row],[Pedido]]</f>
        <v>0</v>
      </c>
      <c r="AH7" s="2" t="str">
        <f>IF(AND(ARTICULOS_MONDELEZ[[#This Row],[FechaVenc]]=0,ARTICULOS_MONDELEZ[[#This Row],[DiasVenc]]=0),"",ARTICULOS_MONDELEZ[[#This Row],[FechaVenc]]-ARTICULOS_MONDELEZ[[#This Row],[DiasVenc]])</f>
        <v/>
      </c>
      <c r="AO7" s="30" t="s">
        <v>8689</v>
      </c>
    </row>
    <row r="8" spans="1:43" ht="15.75" x14ac:dyDescent="0.25">
      <c r="A8" s="1" t="s">
        <v>9493</v>
      </c>
      <c r="C8" t="str">
        <f t="shared" si="0"/>
        <v>KIO77956699</v>
      </c>
      <c r="D8" t="s">
        <v>8689</v>
      </c>
      <c r="E8" s="1" t="s">
        <v>9494</v>
      </c>
      <c r="F8" s="61">
        <f t="shared" si="1"/>
        <v>617.79999999999995</v>
      </c>
      <c r="G8" s="119">
        <v>0.21</v>
      </c>
      <c r="H8" s="4" t="s">
        <v>8690</v>
      </c>
      <c r="I8">
        <v>12</v>
      </c>
      <c r="J8">
        <v>1</v>
      </c>
      <c r="L8" s="66">
        <f>((ARTICULOS_MONDELEZ[[#This Row],[P. Compra]]*(1+ARTICULOS_MONDELEZ[[#This Row],[IVA]]))/ARTICULOS_MONDELEZ[[#This Row],[UnidFact]])+ARTICULOS_MONDELEZ[[#This Row],[CostoFlete]]</f>
        <v>747.5379999999999</v>
      </c>
      <c r="M8">
        <v>35</v>
      </c>
      <c r="N8" s="68">
        <f>IF(L8&gt;=5,MROUND((L8*(1+(ARTICULOS_MONDELEZ[[#This Row],[IVA]]/100)))/(1-M8/100),50),10)</f>
        <v>1150</v>
      </c>
      <c r="O8" s="3">
        <f>MROUND(ARTICULOS_MONDELEZ[[#This Row],[Precio]]/0.6,50)</f>
        <v>1900</v>
      </c>
      <c r="P8" t="s">
        <v>8693</v>
      </c>
      <c r="Q8">
        <v>4</v>
      </c>
      <c r="R8" s="3">
        <f>ARTICULOS_MONDELEZ[[#This Row],[Bulto]]+ARTICULOS_MONDELEZ[[#This Row],[Minimo]]</f>
        <v>16</v>
      </c>
      <c r="S8" t="s">
        <v>38</v>
      </c>
      <c r="T8" t="s">
        <v>27</v>
      </c>
      <c r="U8" t="s">
        <v>8</v>
      </c>
      <c r="V8" t="s">
        <v>9495</v>
      </c>
      <c r="W8" t="s">
        <v>8692</v>
      </c>
      <c r="X8">
        <v>1</v>
      </c>
      <c r="Y8" s="36">
        <v>0</v>
      </c>
      <c r="Z8"/>
      <c r="AB8" s="80">
        <f>ARTICULOS_MONDELEZ[[#This Row],[Costo]]*ARTICULOS_MONDELEZ[[#This Row],[Pedido]]</f>
        <v>0</v>
      </c>
      <c r="AH8" s="2" t="str">
        <f>IF(AND(ARTICULOS_MONDELEZ[[#This Row],[FechaVenc]]=0,ARTICULOS_MONDELEZ[[#This Row],[DiasVenc]]=0),"",ARTICULOS_MONDELEZ[[#This Row],[FechaVenc]]-ARTICULOS_MONDELEZ[[#This Row],[DiasVenc]])</f>
        <v/>
      </c>
      <c r="AO8" s="30" t="s">
        <v>8689</v>
      </c>
    </row>
    <row r="9" spans="1:43" ht="15.75" x14ac:dyDescent="0.25">
      <c r="A9" s="1" t="s">
        <v>9496</v>
      </c>
      <c r="C9" t="str">
        <f t="shared" si="0"/>
        <v>KIO01802592</v>
      </c>
      <c r="D9" t="s">
        <v>8689</v>
      </c>
      <c r="E9" s="1" t="s">
        <v>9497</v>
      </c>
      <c r="F9" s="61">
        <v>4175.24</v>
      </c>
      <c r="G9" s="119">
        <v>0.21</v>
      </c>
      <c r="H9" s="4" t="s">
        <v>8690</v>
      </c>
      <c r="I9">
        <v>140</v>
      </c>
      <c r="J9">
        <f>ARTICULOS_MONDELEZ[[#This Row],[Bulto]]</f>
        <v>140</v>
      </c>
      <c r="L9" s="66">
        <f>((ARTICULOS_MONDELEZ[[#This Row],[P. Compra]]*(1+ARTICULOS_MONDELEZ[[#This Row],[IVA]]))/ARTICULOS_MONDELEZ[[#This Row],[UnidFact]])+ARTICULOS_MONDELEZ[[#This Row],[CostoFlete]]</f>
        <v>36.086002857142859</v>
      </c>
      <c r="M9">
        <v>50</v>
      </c>
      <c r="N9" s="68">
        <f>IF(L9&gt;=5,MROUND((L9*(1+(ARTICULOS_MONDELEZ[[#This Row],[IVA]]/100)))/(1-M9/100),50),10)</f>
        <v>50</v>
      </c>
      <c r="O9" s="3">
        <f>MROUND(ARTICULOS_MONDELEZ[[#This Row],[Precio]]/0.6,50)</f>
        <v>100</v>
      </c>
      <c r="P9" t="s">
        <v>8693</v>
      </c>
      <c r="Q9">
        <v>20</v>
      </c>
      <c r="R9" s="3">
        <f>ARTICULOS_MONDELEZ[[#This Row],[Bulto]]+ARTICULOS_MONDELEZ[[#This Row],[Minimo]]</f>
        <v>160</v>
      </c>
      <c r="S9" t="s">
        <v>38</v>
      </c>
      <c r="T9" t="s">
        <v>27</v>
      </c>
      <c r="U9" t="s">
        <v>19</v>
      </c>
      <c r="V9" t="s">
        <v>38</v>
      </c>
      <c r="W9" t="s">
        <v>8692</v>
      </c>
      <c r="X9">
        <v>1</v>
      </c>
      <c r="Y9" s="36">
        <v>0</v>
      </c>
      <c r="Z9"/>
      <c r="AB9" s="80">
        <f>ARTICULOS_MONDELEZ[[#This Row],[Costo]]*ARTICULOS_MONDELEZ[[#This Row],[Pedido]]</f>
        <v>0</v>
      </c>
      <c r="AH9" s="2" t="str">
        <f>IF(AND(ARTICULOS_MONDELEZ[[#This Row],[FechaVenc]]=0,ARTICULOS_MONDELEZ[[#This Row],[DiasVenc]]=0),"",ARTICULOS_MONDELEZ[[#This Row],[FechaVenc]]-ARTICULOS_MONDELEZ[[#This Row],[DiasVenc]])</f>
        <v/>
      </c>
      <c r="AO9" s="30" t="s">
        <v>8689</v>
      </c>
    </row>
    <row r="10" spans="1:43" ht="15.75" x14ac:dyDescent="0.25">
      <c r="A10" s="1" t="s">
        <v>9498</v>
      </c>
      <c r="C10" t="str">
        <f t="shared" si="0"/>
        <v>KIO77969118</v>
      </c>
      <c r="D10" t="s">
        <v>8689</v>
      </c>
      <c r="E10" s="1" t="s">
        <v>9499</v>
      </c>
      <c r="F10" s="61">
        <v>6362.62</v>
      </c>
      <c r="G10" s="119">
        <v>0.21</v>
      </c>
      <c r="H10" s="4" t="s">
        <v>8690</v>
      </c>
      <c r="I10">
        <v>20</v>
      </c>
      <c r="J10">
        <f>ARTICULOS_MONDELEZ[[#This Row],[Bulto]]</f>
        <v>20</v>
      </c>
      <c r="L10" s="66">
        <f>((ARTICULOS_MONDELEZ[[#This Row],[P. Compra]]*(1+ARTICULOS_MONDELEZ[[#This Row],[IVA]]))/ARTICULOS_MONDELEZ[[#This Row],[UnidFact]])+ARTICULOS_MONDELEZ[[#This Row],[CostoFlete]]</f>
        <v>384.93851000000001</v>
      </c>
      <c r="M10">
        <v>35</v>
      </c>
      <c r="N10" s="68">
        <f>IF(L10&gt;=5,MROUND((L10*(1+(ARTICULOS_MONDELEZ[[#This Row],[IVA]]/100)))/(1-M10/100),50),10)</f>
        <v>600</v>
      </c>
      <c r="O10" s="3">
        <f>MROUND(ARTICULOS_MONDELEZ[[#This Row],[Precio]]/0.6,50)</f>
        <v>1000</v>
      </c>
      <c r="P10" t="s">
        <v>8693</v>
      </c>
      <c r="Q10">
        <v>4</v>
      </c>
      <c r="R10" s="3">
        <f>ARTICULOS_MONDELEZ[[#This Row],[Bulto]]+ARTICULOS_MONDELEZ[[#This Row],[Minimo]]</f>
        <v>24</v>
      </c>
      <c r="S10" t="s">
        <v>38</v>
      </c>
      <c r="T10" t="s">
        <v>27</v>
      </c>
      <c r="U10" t="s">
        <v>25</v>
      </c>
      <c r="V10" t="s">
        <v>9500</v>
      </c>
      <c r="W10" t="s">
        <v>8692</v>
      </c>
      <c r="X10">
        <v>1</v>
      </c>
      <c r="Y10" s="36">
        <v>14</v>
      </c>
      <c r="Z10"/>
      <c r="AB10" s="80">
        <f>ARTICULOS_MONDELEZ[[#This Row],[Costo]]*ARTICULOS_MONDELEZ[[#This Row],[Pedido]]</f>
        <v>0</v>
      </c>
      <c r="AH10" s="2" t="str">
        <f>IF(AND(ARTICULOS_MONDELEZ[[#This Row],[FechaVenc]]=0,ARTICULOS_MONDELEZ[[#This Row],[DiasVenc]]=0),"",ARTICULOS_MONDELEZ[[#This Row],[FechaVenc]]-ARTICULOS_MONDELEZ[[#This Row],[DiasVenc]])</f>
        <v/>
      </c>
      <c r="AO10" s="30" t="s">
        <v>8689</v>
      </c>
    </row>
    <row r="11" spans="1:43" ht="15.75" x14ac:dyDescent="0.25">
      <c r="A11" s="1" t="s">
        <v>9501</v>
      </c>
      <c r="C11" t="str">
        <f t="shared" si="0"/>
        <v>KIO77969101</v>
      </c>
      <c r="D11" t="s">
        <v>8689</v>
      </c>
      <c r="E11" s="1" t="s">
        <v>9502</v>
      </c>
      <c r="F11" s="61">
        <f>F10</f>
        <v>6362.62</v>
      </c>
      <c r="G11" s="119">
        <v>0.21</v>
      </c>
      <c r="H11" s="4" t="s">
        <v>8690</v>
      </c>
      <c r="I11">
        <v>20</v>
      </c>
      <c r="J11">
        <f>ARTICULOS_MONDELEZ[[#This Row],[Bulto]]</f>
        <v>20</v>
      </c>
      <c r="L11" s="66">
        <f>((ARTICULOS_MONDELEZ[[#This Row],[P. Compra]]*(1+ARTICULOS_MONDELEZ[[#This Row],[IVA]]))/ARTICULOS_MONDELEZ[[#This Row],[UnidFact]])+ARTICULOS_MONDELEZ[[#This Row],[CostoFlete]]</f>
        <v>384.93851000000001</v>
      </c>
      <c r="M11">
        <v>35</v>
      </c>
      <c r="N11" s="68">
        <f>IF(L11&gt;=5,MROUND((L11*(1+(ARTICULOS_MONDELEZ[[#This Row],[IVA]]/100)))/(1-M11/100),50),10)</f>
        <v>600</v>
      </c>
      <c r="O11" s="3">
        <f>MROUND(ARTICULOS_MONDELEZ[[#This Row],[Precio]]/0.6,50)</f>
        <v>1000</v>
      </c>
      <c r="P11" t="s">
        <v>8693</v>
      </c>
      <c r="Q11">
        <v>4</v>
      </c>
      <c r="R11" s="3">
        <f>ARTICULOS_MONDELEZ[[#This Row],[Bulto]]+ARTICULOS_MONDELEZ[[#This Row],[Minimo]]</f>
        <v>24</v>
      </c>
      <c r="S11" t="s">
        <v>38</v>
      </c>
      <c r="T11" t="s">
        <v>27</v>
      </c>
      <c r="U11" t="s">
        <v>25</v>
      </c>
      <c r="V11" t="s">
        <v>9500</v>
      </c>
      <c r="W11" t="s">
        <v>8692</v>
      </c>
      <c r="X11">
        <v>1</v>
      </c>
      <c r="Y11" s="36">
        <v>20</v>
      </c>
      <c r="Z11"/>
      <c r="AB11" s="80">
        <f>ARTICULOS_MONDELEZ[[#This Row],[Costo]]*ARTICULOS_MONDELEZ[[#This Row],[Pedido]]</f>
        <v>0</v>
      </c>
      <c r="AH11" s="2" t="str">
        <f>IF(AND(ARTICULOS_MONDELEZ[[#This Row],[FechaVenc]]=0,ARTICULOS_MONDELEZ[[#This Row],[DiasVenc]]=0),"",ARTICULOS_MONDELEZ[[#This Row],[FechaVenc]]-ARTICULOS_MONDELEZ[[#This Row],[DiasVenc]])</f>
        <v/>
      </c>
      <c r="AO11" s="30" t="s">
        <v>8689</v>
      </c>
    </row>
    <row r="12" spans="1:43" ht="15.75" x14ac:dyDescent="0.25">
      <c r="A12" s="1" t="s">
        <v>9503</v>
      </c>
      <c r="C12" t="str">
        <f t="shared" si="0"/>
        <v>KIO77981844</v>
      </c>
      <c r="D12" t="s">
        <v>8689</v>
      </c>
      <c r="E12" s="1" t="s">
        <v>9504</v>
      </c>
      <c r="F12" s="61">
        <f t="shared" ref="F12:F16" si="2">F11</f>
        <v>6362.62</v>
      </c>
      <c r="G12" s="119">
        <v>0.21</v>
      </c>
      <c r="H12" s="4" t="s">
        <v>8690</v>
      </c>
      <c r="I12">
        <v>20</v>
      </c>
      <c r="J12">
        <f>ARTICULOS_MONDELEZ[[#This Row],[Bulto]]</f>
        <v>20</v>
      </c>
      <c r="L12" s="66">
        <f>((ARTICULOS_MONDELEZ[[#This Row],[P. Compra]]*(1+ARTICULOS_MONDELEZ[[#This Row],[IVA]]))/ARTICULOS_MONDELEZ[[#This Row],[UnidFact]])+ARTICULOS_MONDELEZ[[#This Row],[CostoFlete]]</f>
        <v>384.93851000000001</v>
      </c>
      <c r="M12">
        <v>35</v>
      </c>
      <c r="N12" s="68">
        <f>IF(L12&gt;=5,MROUND((L12*(1+(ARTICULOS_MONDELEZ[[#This Row],[IVA]]/100)))/(1-M12/100),50),10)</f>
        <v>600</v>
      </c>
      <c r="O12" s="3">
        <f>MROUND(ARTICULOS_MONDELEZ[[#This Row],[Precio]]/0.6,50)</f>
        <v>1000</v>
      </c>
      <c r="P12" t="s">
        <v>8693</v>
      </c>
      <c r="Q12">
        <v>4</v>
      </c>
      <c r="R12" s="3">
        <f>ARTICULOS_MONDELEZ[[#This Row],[Bulto]]+ARTICULOS_MONDELEZ[[#This Row],[Minimo]]</f>
        <v>24</v>
      </c>
      <c r="S12" t="s">
        <v>38</v>
      </c>
      <c r="T12" t="s">
        <v>27</v>
      </c>
      <c r="U12" t="s">
        <v>25</v>
      </c>
      <c r="V12" t="s">
        <v>9500</v>
      </c>
      <c r="W12" t="s">
        <v>8692</v>
      </c>
      <c r="X12">
        <v>1</v>
      </c>
      <c r="Y12" s="36">
        <v>0</v>
      </c>
      <c r="Z12"/>
      <c r="AB12" s="80">
        <f>ARTICULOS_MONDELEZ[[#This Row],[Costo]]*ARTICULOS_MONDELEZ[[#This Row],[Pedido]]</f>
        <v>0</v>
      </c>
      <c r="AH12" s="2" t="str">
        <f>IF(AND(ARTICULOS_MONDELEZ[[#This Row],[FechaVenc]]=0,ARTICULOS_MONDELEZ[[#This Row],[DiasVenc]]=0),"",ARTICULOS_MONDELEZ[[#This Row],[FechaVenc]]-ARTICULOS_MONDELEZ[[#This Row],[DiasVenc]])</f>
        <v/>
      </c>
      <c r="AO12" s="30" t="s">
        <v>8689</v>
      </c>
    </row>
    <row r="13" spans="1:43" ht="15.75" x14ac:dyDescent="0.25">
      <c r="A13" s="1" t="s">
        <v>9505</v>
      </c>
      <c r="C13" t="str">
        <f t="shared" si="0"/>
        <v>KIO77969071</v>
      </c>
      <c r="D13" t="s">
        <v>8689</v>
      </c>
      <c r="E13" s="1" t="s">
        <v>9506</v>
      </c>
      <c r="F13" s="61">
        <f t="shared" si="2"/>
        <v>6362.62</v>
      </c>
      <c r="G13" s="119">
        <v>0.21</v>
      </c>
      <c r="H13" s="4" t="s">
        <v>8690</v>
      </c>
      <c r="I13">
        <v>20</v>
      </c>
      <c r="J13">
        <f>ARTICULOS_MONDELEZ[[#This Row],[Bulto]]</f>
        <v>20</v>
      </c>
      <c r="L13" s="66">
        <f>((ARTICULOS_MONDELEZ[[#This Row],[P. Compra]]*(1+ARTICULOS_MONDELEZ[[#This Row],[IVA]]))/ARTICULOS_MONDELEZ[[#This Row],[UnidFact]])+ARTICULOS_MONDELEZ[[#This Row],[CostoFlete]]</f>
        <v>384.93851000000001</v>
      </c>
      <c r="M13">
        <v>35</v>
      </c>
      <c r="N13" s="68">
        <f>IF(L13&gt;=5,MROUND((L13*(1+(ARTICULOS_MONDELEZ[[#This Row],[IVA]]/100)))/(1-M13/100),50),10)</f>
        <v>600</v>
      </c>
      <c r="O13" s="3">
        <f>MROUND(ARTICULOS_MONDELEZ[[#This Row],[Precio]]/0.6,50)</f>
        <v>1000</v>
      </c>
      <c r="P13" t="s">
        <v>8693</v>
      </c>
      <c r="Q13">
        <v>4</v>
      </c>
      <c r="R13" s="3">
        <f>ARTICULOS_MONDELEZ[[#This Row],[Bulto]]+ARTICULOS_MONDELEZ[[#This Row],[Minimo]]</f>
        <v>24</v>
      </c>
      <c r="S13" t="s">
        <v>38</v>
      </c>
      <c r="T13" t="s">
        <v>27</v>
      </c>
      <c r="U13" t="s">
        <v>25</v>
      </c>
      <c r="V13" t="s">
        <v>9500</v>
      </c>
      <c r="W13" t="s">
        <v>8692</v>
      </c>
      <c r="X13">
        <v>1</v>
      </c>
      <c r="Y13" s="36">
        <v>34</v>
      </c>
      <c r="Z13"/>
      <c r="AB13" s="80">
        <f>ARTICULOS_MONDELEZ[[#This Row],[Costo]]*ARTICULOS_MONDELEZ[[#This Row],[Pedido]]</f>
        <v>0</v>
      </c>
      <c r="AH13" s="2" t="str">
        <f>IF(AND(ARTICULOS_MONDELEZ[[#This Row],[FechaVenc]]=0,ARTICULOS_MONDELEZ[[#This Row],[DiasVenc]]=0),"",ARTICULOS_MONDELEZ[[#This Row],[FechaVenc]]-ARTICULOS_MONDELEZ[[#This Row],[DiasVenc]])</f>
        <v/>
      </c>
      <c r="AO13" s="30" t="s">
        <v>8689</v>
      </c>
    </row>
    <row r="14" spans="1:43" ht="15.75" x14ac:dyDescent="0.25">
      <c r="A14" s="1" t="s">
        <v>9507</v>
      </c>
      <c r="C14" t="str">
        <f t="shared" si="0"/>
        <v>KIO77969088</v>
      </c>
      <c r="D14" t="s">
        <v>8689</v>
      </c>
      <c r="E14" s="1" t="s">
        <v>9508</v>
      </c>
      <c r="F14" s="61">
        <f t="shared" si="2"/>
        <v>6362.62</v>
      </c>
      <c r="G14" s="119">
        <v>0.21</v>
      </c>
      <c r="H14" s="4" t="s">
        <v>8690</v>
      </c>
      <c r="I14">
        <v>20</v>
      </c>
      <c r="J14">
        <f>ARTICULOS_MONDELEZ[[#This Row],[Bulto]]</f>
        <v>20</v>
      </c>
      <c r="L14" s="66">
        <f>((ARTICULOS_MONDELEZ[[#This Row],[P. Compra]]*(1+ARTICULOS_MONDELEZ[[#This Row],[IVA]]))/ARTICULOS_MONDELEZ[[#This Row],[UnidFact]])+ARTICULOS_MONDELEZ[[#This Row],[CostoFlete]]</f>
        <v>384.93851000000001</v>
      </c>
      <c r="M14">
        <v>35</v>
      </c>
      <c r="N14" s="68">
        <f>IF(L14&gt;=5,MROUND((L14*(1+(ARTICULOS_MONDELEZ[[#This Row],[IVA]]/100)))/(1-M14/100),50),10)</f>
        <v>600</v>
      </c>
      <c r="O14" s="3">
        <f>MROUND(ARTICULOS_MONDELEZ[[#This Row],[Precio]]/0.6,50)</f>
        <v>1000</v>
      </c>
      <c r="P14" t="s">
        <v>8693</v>
      </c>
      <c r="Q14">
        <v>4</v>
      </c>
      <c r="R14" s="3">
        <f>ARTICULOS_MONDELEZ[[#This Row],[Bulto]]+ARTICULOS_MONDELEZ[[#This Row],[Minimo]]</f>
        <v>24</v>
      </c>
      <c r="S14" t="s">
        <v>38</v>
      </c>
      <c r="T14" t="s">
        <v>27</v>
      </c>
      <c r="U14" t="s">
        <v>25</v>
      </c>
      <c r="V14" t="s">
        <v>9500</v>
      </c>
      <c r="W14" t="s">
        <v>8692</v>
      </c>
      <c r="X14">
        <v>1</v>
      </c>
      <c r="Y14" s="36">
        <v>43</v>
      </c>
      <c r="Z14"/>
      <c r="AB14" s="80">
        <f>ARTICULOS_MONDELEZ[[#This Row],[Costo]]*ARTICULOS_MONDELEZ[[#This Row],[Pedido]]</f>
        <v>0</v>
      </c>
      <c r="AH14" s="2" t="str">
        <f>IF(AND(ARTICULOS_MONDELEZ[[#This Row],[FechaVenc]]=0,ARTICULOS_MONDELEZ[[#This Row],[DiasVenc]]=0),"",ARTICULOS_MONDELEZ[[#This Row],[FechaVenc]]-ARTICULOS_MONDELEZ[[#This Row],[DiasVenc]])</f>
        <v/>
      </c>
      <c r="AO14" s="30" t="s">
        <v>8689</v>
      </c>
    </row>
    <row r="15" spans="1:43" ht="15.75" x14ac:dyDescent="0.25">
      <c r="A15" s="1" t="s">
        <v>9509</v>
      </c>
      <c r="C15" t="str">
        <f t="shared" si="0"/>
        <v>KIO77969095</v>
      </c>
      <c r="D15" t="s">
        <v>8689</v>
      </c>
      <c r="E15" s="1" t="s">
        <v>9510</v>
      </c>
      <c r="F15" s="61">
        <f t="shared" si="2"/>
        <v>6362.62</v>
      </c>
      <c r="G15" s="119">
        <v>0.21</v>
      </c>
      <c r="H15" s="4" t="s">
        <v>8690</v>
      </c>
      <c r="I15">
        <v>20</v>
      </c>
      <c r="J15">
        <f>ARTICULOS_MONDELEZ[[#This Row],[Bulto]]</f>
        <v>20</v>
      </c>
      <c r="L15" s="66">
        <f>((ARTICULOS_MONDELEZ[[#This Row],[P. Compra]]*(1+ARTICULOS_MONDELEZ[[#This Row],[IVA]]))/ARTICULOS_MONDELEZ[[#This Row],[UnidFact]])+ARTICULOS_MONDELEZ[[#This Row],[CostoFlete]]</f>
        <v>384.93851000000001</v>
      </c>
      <c r="M15">
        <v>35</v>
      </c>
      <c r="N15" s="68">
        <f>IF(L15&gt;=5,MROUND((L15*(1+(ARTICULOS_MONDELEZ[[#This Row],[IVA]]/100)))/(1-M15/100),50),10)</f>
        <v>600</v>
      </c>
      <c r="O15" s="3">
        <f>MROUND(ARTICULOS_MONDELEZ[[#This Row],[Precio]]/0.6,50)</f>
        <v>1000</v>
      </c>
      <c r="P15" t="s">
        <v>8693</v>
      </c>
      <c r="Q15">
        <v>4</v>
      </c>
      <c r="R15" s="3">
        <f>ARTICULOS_MONDELEZ[[#This Row],[Bulto]]+ARTICULOS_MONDELEZ[[#This Row],[Minimo]]</f>
        <v>24</v>
      </c>
      <c r="S15" t="s">
        <v>38</v>
      </c>
      <c r="T15" t="s">
        <v>27</v>
      </c>
      <c r="U15" t="s">
        <v>25</v>
      </c>
      <c r="V15" t="s">
        <v>9500</v>
      </c>
      <c r="W15" t="s">
        <v>8692</v>
      </c>
      <c r="X15">
        <v>1</v>
      </c>
      <c r="Y15" s="36">
        <v>28</v>
      </c>
      <c r="Z15"/>
      <c r="AB15" s="80">
        <f>ARTICULOS_MONDELEZ[[#This Row],[Costo]]*ARTICULOS_MONDELEZ[[#This Row],[Pedido]]</f>
        <v>0</v>
      </c>
      <c r="AH15" s="2" t="str">
        <f>IF(AND(ARTICULOS_MONDELEZ[[#This Row],[FechaVenc]]=0,ARTICULOS_MONDELEZ[[#This Row],[DiasVenc]]=0),"",ARTICULOS_MONDELEZ[[#This Row],[FechaVenc]]-ARTICULOS_MONDELEZ[[#This Row],[DiasVenc]])</f>
        <v/>
      </c>
      <c r="AO15" s="30" t="s">
        <v>8689</v>
      </c>
    </row>
    <row r="16" spans="1:43" ht="15.75" x14ac:dyDescent="0.25">
      <c r="A16" s="1" t="s">
        <v>9511</v>
      </c>
      <c r="C16" t="str">
        <f t="shared" si="0"/>
        <v>KIO77987686</v>
      </c>
      <c r="D16" t="s">
        <v>8689</v>
      </c>
      <c r="E16" s="1" t="s">
        <v>9512</v>
      </c>
      <c r="F16" s="61">
        <f t="shared" si="2"/>
        <v>6362.62</v>
      </c>
      <c r="G16" s="119">
        <v>0.21</v>
      </c>
      <c r="H16" s="4" t="s">
        <v>8690</v>
      </c>
      <c r="I16">
        <v>20</v>
      </c>
      <c r="J16">
        <f>ARTICULOS_MONDELEZ[[#This Row],[Bulto]]</f>
        <v>20</v>
      </c>
      <c r="L16" s="66">
        <f>((ARTICULOS_MONDELEZ[[#This Row],[P. Compra]]*(1+ARTICULOS_MONDELEZ[[#This Row],[IVA]]))/ARTICULOS_MONDELEZ[[#This Row],[UnidFact]])+ARTICULOS_MONDELEZ[[#This Row],[CostoFlete]]</f>
        <v>384.93851000000001</v>
      </c>
      <c r="M16">
        <v>35</v>
      </c>
      <c r="N16" s="68">
        <f>IF(L16&gt;=5,MROUND((L16*(1+(ARTICULOS_MONDELEZ[[#This Row],[IVA]]/100)))/(1-M16/100),50),10)</f>
        <v>600</v>
      </c>
      <c r="O16" s="3">
        <f>MROUND(ARTICULOS_MONDELEZ[[#This Row],[Precio]]/0.6,50)</f>
        <v>1000</v>
      </c>
      <c r="P16" t="s">
        <v>8693</v>
      </c>
      <c r="Q16">
        <v>4</v>
      </c>
      <c r="R16" s="3">
        <f>ARTICULOS_MONDELEZ[[#This Row],[Bulto]]+ARTICULOS_MONDELEZ[[#This Row],[Minimo]]</f>
        <v>24</v>
      </c>
      <c r="S16" t="s">
        <v>38</v>
      </c>
      <c r="T16" t="s">
        <v>27</v>
      </c>
      <c r="U16" t="s">
        <v>25</v>
      </c>
      <c r="V16" t="s">
        <v>9500</v>
      </c>
      <c r="W16" t="s">
        <v>8692</v>
      </c>
      <c r="X16">
        <v>1</v>
      </c>
      <c r="Y16" s="36">
        <v>0</v>
      </c>
      <c r="Z16"/>
      <c r="AB16" s="80">
        <f>ARTICULOS_MONDELEZ[[#This Row],[Costo]]*ARTICULOS_MONDELEZ[[#This Row],[Pedido]]</f>
        <v>0</v>
      </c>
      <c r="AH16" s="2" t="str">
        <f>IF(AND(ARTICULOS_MONDELEZ[[#This Row],[FechaVenc]]=0,ARTICULOS_MONDELEZ[[#This Row],[DiasVenc]]=0),"",ARTICULOS_MONDELEZ[[#This Row],[FechaVenc]]-ARTICULOS_MONDELEZ[[#This Row],[DiasVenc]])</f>
        <v/>
      </c>
      <c r="AO16" s="30" t="s">
        <v>8689</v>
      </c>
    </row>
    <row r="17" spans="1:41" ht="15.75" x14ac:dyDescent="0.25">
      <c r="A17" s="1" t="s">
        <v>9513</v>
      </c>
      <c r="C17" t="str">
        <f t="shared" si="0"/>
        <v>KIO01448325</v>
      </c>
      <c r="D17" t="s">
        <v>8689</v>
      </c>
      <c r="E17" s="1" t="s">
        <v>9514</v>
      </c>
      <c r="F17" s="61">
        <v>6069.46</v>
      </c>
      <c r="G17" s="119">
        <v>0.21</v>
      </c>
      <c r="H17" s="4" t="s">
        <v>8690</v>
      </c>
      <c r="I17">
        <v>15</v>
      </c>
      <c r="J17">
        <f>ARTICULOS_MONDELEZ[[#This Row],[Bulto]]</f>
        <v>15</v>
      </c>
      <c r="L17" s="66">
        <f>((ARTICULOS_MONDELEZ[[#This Row],[P. Compra]]*(1+ARTICULOS_MONDELEZ[[#This Row],[IVA]]))/ARTICULOS_MONDELEZ[[#This Row],[UnidFact]])+ARTICULOS_MONDELEZ[[#This Row],[CostoFlete]]</f>
        <v>489.60310666666663</v>
      </c>
      <c r="M17">
        <v>35</v>
      </c>
      <c r="N17" s="68">
        <f>IF(L17&gt;=5,MROUND((L17*(1+(ARTICULOS_MONDELEZ[[#This Row],[IVA]]/100)))/(1-M17/100),50),10)</f>
        <v>750</v>
      </c>
      <c r="O17" s="3">
        <f>MROUND(ARTICULOS_MONDELEZ[[#This Row],[Precio]]/0.6,50)</f>
        <v>1250</v>
      </c>
      <c r="P17" t="s">
        <v>8693</v>
      </c>
      <c r="Q17">
        <v>3</v>
      </c>
      <c r="R17" s="3">
        <f>ARTICULOS_MONDELEZ[[#This Row],[Bulto]]+ARTICULOS_MONDELEZ[[#This Row],[Minimo]]</f>
        <v>18</v>
      </c>
      <c r="S17" t="s">
        <v>38</v>
      </c>
      <c r="T17" t="s">
        <v>27</v>
      </c>
      <c r="U17" t="s">
        <v>25</v>
      </c>
      <c r="V17" t="s">
        <v>9500</v>
      </c>
      <c r="W17" t="s">
        <v>8692</v>
      </c>
      <c r="X17">
        <v>1</v>
      </c>
      <c r="Y17" s="36">
        <v>0</v>
      </c>
      <c r="Z17"/>
      <c r="AB17" s="80">
        <f>ARTICULOS_MONDELEZ[[#This Row],[Costo]]*ARTICULOS_MONDELEZ[[#This Row],[Pedido]]</f>
        <v>0</v>
      </c>
      <c r="AH17" s="2" t="str">
        <f>IF(AND(ARTICULOS_MONDELEZ[[#This Row],[FechaVenc]]=0,ARTICULOS_MONDELEZ[[#This Row],[DiasVenc]]=0),"",ARTICULOS_MONDELEZ[[#This Row],[FechaVenc]]-ARTICULOS_MONDELEZ[[#This Row],[DiasVenc]])</f>
        <v/>
      </c>
      <c r="AO17" s="30" t="s">
        <v>8689</v>
      </c>
    </row>
    <row r="18" spans="1:41" ht="15.75" x14ac:dyDescent="0.25">
      <c r="A18" s="1" t="s">
        <v>9515</v>
      </c>
      <c r="C18" t="str">
        <f t="shared" si="0"/>
        <v>KIO01448288</v>
      </c>
      <c r="D18" t="s">
        <v>8689</v>
      </c>
      <c r="E18" s="1" t="s">
        <v>9516</v>
      </c>
      <c r="F18" s="61">
        <f>F17</f>
        <v>6069.46</v>
      </c>
      <c r="G18" s="119">
        <v>0.21</v>
      </c>
      <c r="H18" s="4" t="s">
        <v>8690</v>
      </c>
      <c r="I18">
        <v>15</v>
      </c>
      <c r="J18">
        <f>ARTICULOS_MONDELEZ[[#This Row],[Bulto]]</f>
        <v>15</v>
      </c>
      <c r="L18" s="66">
        <f>((ARTICULOS_MONDELEZ[[#This Row],[P. Compra]]*(1+ARTICULOS_MONDELEZ[[#This Row],[IVA]]))/ARTICULOS_MONDELEZ[[#This Row],[UnidFact]])+ARTICULOS_MONDELEZ[[#This Row],[CostoFlete]]</f>
        <v>489.60310666666663</v>
      </c>
      <c r="M18">
        <v>35</v>
      </c>
      <c r="N18" s="68">
        <f>IF(L18&gt;=5,MROUND((L18*(1+(ARTICULOS_MONDELEZ[[#This Row],[IVA]]/100)))/(1-M18/100),50),10)</f>
        <v>750</v>
      </c>
      <c r="O18" s="3">
        <f>MROUND(ARTICULOS_MONDELEZ[[#This Row],[Precio]]/0.6,50)</f>
        <v>1250</v>
      </c>
      <c r="P18" t="s">
        <v>8693</v>
      </c>
      <c r="Q18">
        <v>3</v>
      </c>
      <c r="R18" s="3">
        <f>ARTICULOS_MONDELEZ[[#This Row],[Bulto]]+ARTICULOS_MONDELEZ[[#This Row],[Minimo]]</f>
        <v>18</v>
      </c>
      <c r="S18" t="s">
        <v>38</v>
      </c>
      <c r="T18" t="s">
        <v>27</v>
      </c>
      <c r="U18" t="s">
        <v>25</v>
      </c>
      <c r="V18" t="s">
        <v>9500</v>
      </c>
      <c r="W18" t="s">
        <v>8692</v>
      </c>
      <c r="X18">
        <v>1</v>
      </c>
      <c r="Y18" s="36">
        <v>22</v>
      </c>
      <c r="Z18"/>
      <c r="AB18" s="80">
        <f>ARTICULOS_MONDELEZ[[#This Row],[Costo]]*ARTICULOS_MONDELEZ[[#This Row],[Pedido]]</f>
        <v>0</v>
      </c>
      <c r="AH18" s="2" t="str">
        <f>IF(AND(ARTICULOS_MONDELEZ[[#This Row],[FechaVenc]]=0,ARTICULOS_MONDELEZ[[#This Row],[DiasVenc]]=0),"",ARTICULOS_MONDELEZ[[#This Row],[FechaVenc]]-ARTICULOS_MONDELEZ[[#This Row],[DiasVenc]])</f>
        <v/>
      </c>
      <c r="AO18" s="30" t="s">
        <v>8689</v>
      </c>
    </row>
    <row r="19" spans="1:41" ht="15.75" x14ac:dyDescent="0.25">
      <c r="A19" s="1" t="s">
        <v>9517</v>
      </c>
      <c r="C19" t="str">
        <f t="shared" si="0"/>
        <v>KIO01421496</v>
      </c>
      <c r="D19" t="s">
        <v>8689</v>
      </c>
      <c r="E19" s="1" t="s">
        <v>9518</v>
      </c>
      <c r="F19" s="61">
        <f t="shared" ref="F19:F20" si="3">F18</f>
        <v>6069.46</v>
      </c>
      <c r="G19" s="119">
        <v>0.21</v>
      </c>
      <c r="H19" s="4" t="s">
        <v>8690</v>
      </c>
      <c r="I19">
        <v>15</v>
      </c>
      <c r="J19">
        <f>ARTICULOS_MONDELEZ[[#This Row],[Bulto]]</f>
        <v>15</v>
      </c>
      <c r="L19" s="66">
        <f>((ARTICULOS_MONDELEZ[[#This Row],[P. Compra]]*(1+ARTICULOS_MONDELEZ[[#This Row],[IVA]]))/ARTICULOS_MONDELEZ[[#This Row],[UnidFact]])+ARTICULOS_MONDELEZ[[#This Row],[CostoFlete]]</f>
        <v>489.60310666666663</v>
      </c>
      <c r="M19">
        <v>35</v>
      </c>
      <c r="N19" s="68">
        <f>IF(L19&gt;=5,MROUND((L19*(1+(ARTICULOS_MONDELEZ[[#This Row],[IVA]]/100)))/(1-M19/100),50),10)</f>
        <v>750</v>
      </c>
      <c r="O19" s="3">
        <f>MROUND(ARTICULOS_MONDELEZ[[#This Row],[Precio]]/0.6,50)</f>
        <v>1250</v>
      </c>
      <c r="P19" t="s">
        <v>8693</v>
      </c>
      <c r="Q19">
        <v>3</v>
      </c>
      <c r="R19" s="3">
        <f>ARTICULOS_MONDELEZ[[#This Row],[Bulto]]+ARTICULOS_MONDELEZ[[#This Row],[Minimo]]</f>
        <v>18</v>
      </c>
      <c r="S19" t="s">
        <v>38</v>
      </c>
      <c r="T19" t="s">
        <v>27</v>
      </c>
      <c r="U19" t="s">
        <v>25</v>
      </c>
      <c r="V19" t="s">
        <v>9500</v>
      </c>
      <c r="W19" t="s">
        <v>8692</v>
      </c>
      <c r="X19">
        <v>1</v>
      </c>
      <c r="Y19" s="36">
        <v>10</v>
      </c>
      <c r="Z19"/>
      <c r="AB19" s="80">
        <f>ARTICULOS_MONDELEZ[[#This Row],[Costo]]*ARTICULOS_MONDELEZ[[#This Row],[Pedido]]</f>
        <v>0</v>
      </c>
      <c r="AH19" s="2" t="str">
        <f>IF(AND(ARTICULOS_MONDELEZ[[#This Row],[FechaVenc]]=0,ARTICULOS_MONDELEZ[[#This Row],[DiasVenc]]=0),"",ARTICULOS_MONDELEZ[[#This Row],[FechaVenc]]-ARTICULOS_MONDELEZ[[#This Row],[DiasVenc]])</f>
        <v/>
      </c>
      <c r="AO19" s="30" t="s">
        <v>8689</v>
      </c>
    </row>
    <row r="20" spans="1:41" ht="15.75" x14ac:dyDescent="0.25">
      <c r="A20" s="1" t="s">
        <v>9519</v>
      </c>
      <c r="C20" t="str">
        <f t="shared" si="0"/>
        <v>KIO01448226</v>
      </c>
      <c r="D20" t="s">
        <v>8689</v>
      </c>
      <c r="E20" s="1" t="s">
        <v>9520</v>
      </c>
      <c r="F20" s="61">
        <f t="shared" si="3"/>
        <v>6069.46</v>
      </c>
      <c r="G20" s="119">
        <v>0.21</v>
      </c>
      <c r="H20" s="4" t="s">
        <v>8690</v>
      </c>
      <c r="I20">
        <v>15</v>
      </c>
      <c r="J20">
        <f>ARTICULOS_MONDELEZ[[#This Row],[Bulto]]</f>
        <v>15</v>
      </c>
      <c r="L20" s="66">
        <f>((ARTICULOS_MONDELEZ[[#This Row],[P. Compra]]*(1+ARTICULOS_MONDELEZ[[#This Row],[IVA]]))/ARTICULOS_MONDELEZ[[#This Row],[UnidFact]])+ARTICULOS_MONDELEZ[[#This Row],[CostoFlete]]</f>
        <v>489.60310666666663</v>
      </c>
      <c r="M20">
        <v>35</v>
      </c>
      <c r="N20" s="68">
        <f>IF(L20&gt;=5,MROUND((L20*(1+(ARTICULOS_MONDELEZ[[#This Row],[IVA]]/100)))/(1-M20/100),50),10)</f>
        <v>750</v>
      </c>
      <c r="O20" s="3">
        <f>MROUND(ARTICULOS_MONDELEZ[[#This Row],[Precio]]/0.6,50)</f>
        <v>1250</v>
      </c>
      <c r="P20" t="s">
        <v>8693</v>
      </c>
      <c r="Q20">
        <v>3</v>
      </c>
      <c r="R20" s="3">
        <f>ARTICULOS_MONDELEZ[[#This Row],[Bulto]]+ARTICULOS_MONDELEZ[[#This Row],[Minimo]]</f>
        <v>18</v>
      </c>
      <c r="S20" t="s">
        <v>38</v>
      </c>
      <c r="T20" t="s">
        <v>27</v>
      </c>
      <c r="U20" t="s">
        <v>25</v>
      </c>
      <c r="V20" t="s">
        <v>9500</v>
      </c>
      <c r="W20" t="s">
        <v>8692</v>
      </c>
      <c r="X20">
        <v>1</v>
      </c>
      <c r="Y20" s="36">
        <v>23</v>
      </c>
      <c r="Z20"/>
      <c r="AB20" s="80">
        <f>ARTICULOS_MONDELEZ[[#This Row],[Costo]]*ARTICULOS_MONDELEZ[[#This Row],[Pedido]]</f>
        <v>0</v>
      </c>
      <c r="AH20" s="2" t="str">
        <f>IF(AND(ARTICULOS_MONDELEZ[[#This Row],[FechaVenc]]=0,ARTICULOS_MONDELEZ[[#This Row],[DiasVenc]]=0),"",ARTICULOS_MONDELEZ[[#This Row],[FechaVenc]]-ARTICULOS_MONDELEZ[[#This Row],[DiasVenc]])</f>
        <v/>
      </c>
      <c r="AO20" s="30" t="s">
        <v>8689</v>
      </c>
    </row>
    <row r="21" spans="1:41" ht="15.75" x14ac:dyDescent="0.25">
      <c r="A21" s="1" t="s">
        <v>9521</v>
      </c>
      <c r="C21" t="str">
        <f t="shared" si="0"/>
        <v>KIO01457426</v>
      </c>
      <c r="D21" t="s">
        <v>8689</v>
      </c>
      <c r="E21" s="1" t="s">
        <v>9522</v>
      </c>
      <c r="F21" s="61">
        <v>10057.52</v>
      </c>
      <c r="G21" s="119">
        <v>0.21</v>
      </c>
      <c r="H21" s="4" t="s">
        <v>8690</v>
      </c>
      <c r="I21">
        <v>12</v>
      </c>
      <c r="J21">
        <f>ARTICULOS_MONDELEZ[[#This Row],[Bulto]]</f>
        <v>12</v>
      </c>
      <c r="L21" s="66">
        <f>((ARTICULOS_MONDELEZ[[#This Row],[P. Compra]]*(1+ARTICULOS_MONDELEZ[[#This Row],[IVA]]))/ARTICULOS_MONDELEZ[[#This Row],[UnidFact]])+ARTICULOS_MONDELEZ[[#This Row],[CostoFlete]]</f>
        <v>1014.1332666666667</v>
      </c>
      <c r="M21">
        <v>35</v>
      </c>
      <c r="N21" s="68">
        <f>IF(L21&gt;=5,MROUND((L21*(1+(ARTICULOS_MONDELEZ[[#This Row],[IVA]]/100)))/(1-M21/100),50),10)</f>
        <v>1550</v>
      </c>
      <c r="O21" s="3">
        <f>MROUND(ARTICULOS_MONDELEZ[[#This Row],[Precio]]/0.6,50)</f>
        <v>2600</v>
      </c>
      <c r="P21" t="s">
        <v>8693</v>
      </c>
      <c r="Q21">
        <v>2</v>
      </c>
      <c r="R21" s="3">
        <f>ARTICULOS_MONDELEZ[[#This Row],[Bulto]]+ARTICULOS_MONDELEZ[[#This Row],[Minimo]]</f>
        <v>14</v>
      </c>
      <c r="S21" t="s">
        <v>38</v>
      </c>
      <c r="T21" t="s">
        <v>27</v>
      </c>
      <c r="U21" t="s">
        <v>25</v>
      </c>
      <c r="V21" t="s">
        <v>9500</v>
      </c>
      <c r="W21" t="s">
        <v>8692</v>
      </c>
      <c r="X21">
        <v>1</v>
      </c>
      <c r="Y21" s="36">
        <v>14</v>
      </c>
      <c r="Z21"/>
      <c r="AB21" s="80">
        <f>ARTICULOS_MONDELEZ[[#This Row],[Costo]]*ARTICULOS_MONDELEZ[[#This Row],[Pedido]]</f>
        <v>0</v>
      </c>
      <c r="AH21" s="2" t="str">
        <f>IF(AND(ARTICULOS_MONDELEZ[[#This Row],[FechaVenc]]=0,ARTICULOS_MONDELEZ[[#This Row],[DiasVenc]]=0),"",ARTICULOS_MONDELEZ[[#This Row],[FechaVenc]]-ARTICULOS_MONDELEZ[[#This Row],[DiasVenc]])</f>
        <v/>
      </c>
      <c r="AO21" s="30" t="s">
        <v>8689</v>
      </c>
    </row>
    <row r="22" spans="1:41" ht="15.75" x14ac:dyDescent="0.25">
      <c r="A22" s="1" t="s">
        <v>9523</v>
      </c>
      <c r="C22" t="str">
        <f t="shared" si="0"/>
        <v>KIO01457334</v>
      </c>
      <c r="D22" t="s">
        <v>8689</v>
      </c>
      <c r="E22" s="1" t="s">
        <v>9524</v>
      </c>
      <c r="F22" s="61">
        <f>F21</f>
        <v>10057.52</v>
      </c>
      <c r="G22" s="119">
        <v>0.21</v>
      </c>
      <c r="H22" s="4" t="s">
        <v>8690</v>
      </c>
      <c r="I22">
        <v>12</v>
      </c>
      <c r="J22">
        <f>ARTICULOS_MONDELEZ[[#This Row],[Bulto]]</f>
        <v>12</v>
      </c>
      <c r="L22" s="66">
        <f>((ARTICULOS_MONDELEZ[[#This Row],[P. Compra]]*(1+ARTICULOS_MONDELEZ[[#This Row],[IVA]]))/ARTICULOS_MONDELEZ[[#This Row],[UnidFact]])+ARTICULOS_MONDELEZ[[#This Row],[CostoFlete]]</f>
        <v>1014.1332666666667</v>
      </c>
      <c r="M22">
        <v>35</v>
      </c>
      <c r="N22" s="68">
        <f>IF(L22&gt;=5,MROUND((L22*(1+(ARTICULOS_MONDELEZ[[#This Row],[IVA]]/100)))/(1-M22/100),50),10)</f>
        <v>1550</v>
      </c>
      <c r="O22" s="3">
        <f>MROUND(ARTICULOS_MONDELEZ[[#This Row],[Precio]]/0.6,50)</f>
        <v>2600</v>
      </c>
      <c r="P22" t="s">
        <v>8693</v>
      </c>
      <c r="Q22">
        <v>2</v>
      </c>
      <c r="R22" s="3">
        <f>ARTICULOS_MONDELEZ[[#This Row],[Bulto]]+ARTICULOS_MONDELEZ[[#This Row],[Minimo]]</f>
        <v>14</v>
      </c>
      <c r="S22" t="s">
        <v>38</v>
      </c>
      <c r="T22" t="s">
        <v>27</v>
      </c>
      <c r="U22" t="s">
        <v>25</v>
      </c>
      <c r="V22" t="s">
        <v>9500</v>
      </c>
      <c r="W22" t="s">
        <v>8692</v>
      </c>
      <c r="X22">
        <v>1</v>
      </c>
      <c r="Y22" s="36">
        <v>1</v>
      </c>
      <c r="Z22"/>
      <c r="AB22" s="80">
        <f>ARTICULOS_MONDELEZ[[#This Row],[Costo]]*ARTICULOS_MONDELEZ[[#This Row],[Pedido]]</f>
        <v>0</v>
      </c>
      <c r="AH22" s="2" t="str">
        <f>IF(AND(ARTICULOS_MONDELEZ[[#This Row],[FechaVenc]]=0,ARTICULOS_MONDELEZ[[#This Row],[DiasVenc]]=0),"",ARTICULOS_MONDELEZ[[#This Row],[FechaVenc]]-ARTICULOS_MONDELEZ[[#This Row],[DiasVenc]])</f>
        <v/>
      </c>
      <c r="AO22" s="30" t="s">
        <v>8689</v>
      </c>
    </row>
    <row r="23" spans="1:41" ht="15.75" x14ac:dyDescent="0.25">
      <c r="A23" s="1" t="s">
        <v>9525</v>
      </c>
      <c r="C23" t="str">
        <f t="shared" si="0"/>
        <v>KIO01457396</v>
      </c>
      <c r="D23" t="s">
        <v>8689</v>
      </c>
      <c r="E23" s="1" t="s">
        <v>9526</v>
      </c>
      <c r="F23" s="61">
        <f t="shared" ref="F23:F24" si="4">F22</f>
        <v>10057.52</v>
      </c>
      <c r="G23" s="119">
        <v>0.21</v>
      </c>
      <c r="H23" s="4" t="s">
        <v>8690</v>
      </c>
      <c r="I23">
        <v>12</v>
      </c>
      <c r="J23">
        <f>ARTICULOS_MONDELEZ[[#This Row],[Bulto]]</f>
        <v>12</v>
      </c>
      <c r="L23" s="66">
        <f>((ARTICULOS_MONDELEZ[[#This Row],[P. Compra]]*(1+ARTICULOS_MONDELEZ[[#This Row],[IVA]]))/ARTICULOS_MONDELEZ[[#This Row],[UnidFact]])+ARTICULOS_MONDELEZ[[#This Row],[CostoFlete]]</f>
        <v>1014.1332666666667</v>
      </c>
      <c r="M23">
        <v>35</v>
      </c>
      <c r="N23" s="68">
        <f>IF(L23&gt;=5,MROUND((L23*(1+(ARTICULOS_MONDELEZ[[#This Row],[IVA]]/100)))/(1-M23/100),50),10)</f>
        <v>1550</v>
      </c>
      <c r="O23" s="3">
        <f>MROUND(ARTICULOS_MONDELEZ[[#This Row],[Precio]]/0.6,50)</f>
        <v>2600</v>
      </c>
      <c r="P23" t="s">
        <v>8693</v>
      </c>
      <c r="Q23">
        <v>2</v>
      </c>
      <c r="R23" s="3">
        <f>ARTICULOS_MONDELEZ[[#This Row],[Bulto]]+ARTICULOS_MONDELEZ[[#This Row],[Minimo]]</f>
        <v>14</v>
      </c>
      <c r="S23" t="s">
        <v>38</v>
      </c>
      <c r="T23" t="s">
        <v>27</v>
      </c>
      <c r="U23" t="s">
        <v>25</v>
      </c>
      <c r="V23" t="s">
        <v>9500</v>
      </c>
      <c r="W23" t="s">
        <v>8692</v>
      </c>
      <c r="X23">
        <v>1</v>
      </c>
      <c r="Y23" s="36">
        <v>0</v>
      </c>
      <c r="Z23"/>
      <c r="AB23" s="80">
        <f>ARTICULOS_MONDELEZ[[#This Row],[Costo]]*ARTICULOS_MONDELEZ[[#This Row],[Pedido]]</f>
        <v>0</v>
      </c>
      <c r="AH23" s="2" t="str">
        <f>IF(AND(ARTICULOS_MONDELEZ[[#This Row],[FechaVenc]]=0,ARTICULOS_MONDELEZ[[#This Row],[DiasVenc]]=0),"",ARTICULOS_MONDELEZ[[#This Row],[FechaVenc]]-ARTICULOS_MONDELEZ[[#This Row],[DiasVenc]])</f>
        <v/>
      </c>
      <c r="AO23" s="30" t="s">
        <v>8689</v>
      </c>
    </row>
    <row r="24" spans="1:41" ht="15.75" x14ac:dyDescent="0.25">
      <c r="A24" s="1" t="s">
        <v>9527</v>
      </c>
      <c r="C24" t="str">
        <f t="shared" si="0"/>
        <v>KIO01457457</v>
      </c>
      <c r="D24" t="s">
        <v>8689</v>
      </c>
      <c r="E24" s="1" t="s">
        <v>9528</v>
      </c>
      <c r="F24" s="61">
        <f t="shared" si="4"/>
        <v>10057.52</v>
      </c>
      <c r="G24" s="119">
        <v>0.21</v>
      </c>
      <c r="H24" s="4" t="s">
        <v>8690</v>
      </c>
      <c r="I24">
        <v>12</v>
      </c>
      <c r="J24">
        <f>ARTICULOS_MONDELEZ[[#This Row],[Bulto]]</f>
        <v>12</v>
      </c>
      <c r="L24" s="66">
        <f>((ARTICULOS_MONDELEZ[[#This Row],[P. Compra]]*(1+ARTICULOS_MONDELEZ[[#This Row],[IVA]]))/ARTICULOS_MONDELEZ[[#This Row],[UnidFact]])+ARTICULOS_MONDELEZ[[#This Row],[CostoFlete]]</f>
        <v>1014.1332666666667</v>
      </c>
      <c r="M24">
        <v>35</v>
      </c>
      <c r="N24" s="68">
        <f>IF(L24&gt;=5,MROUND((L24*(1+(ARTICULOS_MONDELEZ[[#This Row],[IVA]]/100)))/(1-M24/100),50),10)</f>
        <v>1550</v>
      </c>
      <c r="O24" s="3">
        <f>MROUND(ARTICULOS_MONDELEZ[[#This Row],[Precio]]/0.6,50)</f>
        <v>2600</v>
      </c>
      <c r="P24" t="s">
        <v>8693</v>
      </c>
      <c r="Q24">
        <v>2</v>
      </c>
      <c r="R24" s="3">
        <f>ARTICULOS_MONDELEZ[[#This Row],[Bulto]]+ARTICULOS_MONDELEZ[[#This Row],[Minimo]]</f>
        <v>14</v>
      </c>
      <c r="S24" t="s">
        <v>38</v>
      </c>
      <c r="T24" t="s">
        <v>27</v>
      </c>
      <c r="U24" t="s">
        <v>25</v>
      </c>
      <c r="V24" t="s">
        <v>9500</v>
      </c>
      <c r="W24" t="s">
        <v>8692</v>
      </c>
      <c r="X24">
        <v>1</v>
      </c>
      <c r="Y24" s="36">
        <v>0</v>
      </c>
      <c r="Z24"/>
      <c r="AB24" s="80">
        <f>ARTICULOS_MONDELEZ[[#This Row],[Costo]]*ARTICULOS_MONDELEZ[[#This Row],[Pedido]]</f>
        <v>0</v>
      </c>
      <c r="AH24" s="2" t="str">
        <f>IF(AND(ARTICULOS_MONDELEZ[[#This Row],[FechaVenc]]=0,ARTICULOS_MONDELEZ[[#This Row],[DiasVenc]]=0),"",ARTICULOS_MONDELEZ[[#This Row],[FechaVenc]]-ARTICULOS_MONDELEZ[[#This Row],[DiasVenc]])</f>
        <v/>
      </c>
      <c r="AO24" s="30" t="s">
        <v>8689</v>
      </c>
    </row>
    <row r="25" spans="1:41" ht="15.75" x14ac:dyDescent="0.25">
      <c r="A25" s="24" t="s">
        <v>9529</v>
      </c>
      <c r="C25" t="str">
        <f t="shared" si="0"/>
        <v>KIO77982360</v>
      </c>
      <c r="D25" t="s">
        <v>8689</v>
      </c>
      <c r="E25" s="1" t="s">
        <v>9530</v>
      </c>
      <c r="F25" s="61">
        <v>3404.84</v>
      </c>
      <c r="G25" s="119">
        <v>0.21</v>
      </c>
      <c r="H25" s="4" t="s">
        <v>8690</v>
      </c>
      <c r="I25">
        <v>60</v>
      </c>
      <c r="J25">
        <f>ARTICULOS_MONDELEZ[[#This Row],[Bulto]]</f>
        <v>60</v>
      </c>
      <c r="L25" s="66">
        <f>((ARTICULOS_MONDELEZ[[#This Row],[P. Compra]]*(1+ARTICULOS_MONDELEZ[[#This Row],[IVA]]))/ARTICULOS_MONDELEZ[[#This Row],[UnidFact]])+ARTICULOS_MONDELEZ[[#This Row],[CostoFlete]]</f>
        <v>68.664273333333327</v>
      </c>
      <c r="M25">
        <v>50</v>
      </c>
      <c r="N25" s="68">
        <f>IF(L25&gt;=5,MROUND((L25*(1+(ARTICULOS_MONDELEZ[[#This Row],[IVA]]/100)))/(1-M25/100),50),10)</f>
        <v>150</v>
      </c>
      <c r="O25" s="3">
        <f>MROUND(ARTICULOS_MONDELEZ[[#This Row],[Precio]]/0.6,50)</f>
        <v>250</v>
      </c>
      <c r="P25" t="s">
        <v>8693</v>
      </c>
      <c r="Q25">
        <v>10</v>
      </c>
      <c r="R25" s="3">
        <f>ARTICULOS_MONDELEZ[[#This Row],[Bulto]]+ARTICULOS_MONDELEZ[[#This Row],[Minimo]]</f>
        <v>70</v>
      </c>
      <c r="S25" t="s">
        <v>38</v>
      </c>
      <c r="T25" t="s">
        <v>27</v>
      </c>
      <c r="U25" t="s">
        <v>25</v>
      </c>
      <c r="V25" t="s">
        <v>9531</v>
      </c>
      <c r="W25" t="s">
        <v>8692</v>
      </c>
      <c r="X25">
        <v>1</v>
      </c>
      <c r="Y25" s="36">
        <v>24</v>
      </c>
      <c r="Z25"/>
      <c r="AB25" s="80">
        <f>ARTICULOS_MONDELEZ[[#This Row],[Costo]]*ARTICULOS_MONDELEZ[[#This Row],[Pedido]]</f>
        <v>0</v>
      </c>
      <c r="AH25" s="2" t="str">
        <f>IF(AND(ARTICULOS_MONDELEZ[[#This Row],[FechaVenc]]=0,ARTICULOS_MONDELEZ[[#This Row],[DiasVenc]]=0),"",ARTICULOS_MONDELEZ[[#This Row],[FechaVenc]]-ARTICULOS_MONDELEZ[[#This Row],[DiasVenc]])</f>
        <v/>
      </c>
      <c r="AO25" s="30" t="s">
        <v>8689</v>
      </c>
    </row>
    <row r="26" spans="1:41" ht="15.75" x14ac:dyDescent="0.25">
      <c r="A26" s="1" t="s">
        <v>9532</v>
      </c>
      <c r="C26" t="str">
        <f t="shared" si="0"/>
        <v>KIO77982346</v>
      </c>
      <c r="D26" t="s">
        <v>8689</v>
      </c>
      <c r="E26" s="1" t="s">
        <v>9533</v>
      </c>
      <c r="F26" s="61">
        <f>F25</f>
        <v>3404.84</v>
      </c>
      <c r="G26" s="119">
        <v>0.21</v>
      </c>
      <c r="H26" s="4" t="s">
        <v>8690</v>
      </c>
      <c r="I26">
        <v>60</v>
      </c>
      <c r="J26">
        <f>ARTICULOS_MONDELEZ[[#This Row],[Bulto]]</f>
        <v>60</v>
      </c>
      <c r="L26" s="66">
        <f>((ARTICULOS_MONDELEZ[[#This Row],[P. Compra]]*(1+ARTICULOS_MONDELEZ[[#This Row],[IVA]]))/ARTICULOS_MONDELEZ[[#This Row],[UnidFact]])+ARTICULOS_MONDELEZ[[#This Row],[CostoFlete]]</f>
        <v>68.664273333333327</v>
      </c>
      <c r="M26">
        <v>50</v>
      </c>
      <c r="N26" s="68">
        <f>IF(L26&gt;=5,MROUND((L26*(1+(ARTICULOS_MONDELEZ[[#This Row],[IVA]]/100)))/(1-M26/100),50),10)</f>
        <v>150</v>
      </c>
      <c r="O26" s="3">
        <f>MROUND(ARTICULOS_MONDELEZ[[#This Row],[Precio]]/0.6,50)</f>
        <v>250</v>
      </c>
      <c r="P26" t="s">
        <v>8693</v>
      </c>
      <c r="Q26">
        <v>10</v>
      </c>
      <c r="R26" s="3">
        <f>ARTICULOS_MONDELEZ[[#This Row],[Bulto]]+ARTICULOS_MONDELEZ[[#This Row],[Minimo]]</f>
        <v>70</v>
      </c>
      <c r="S26" t="s">
        <v>38</v>
      </c>
      <c r="T26" t="s">
        <v>27</v>
      </c>
      <c r="U26" t="s">
        <v>25</v>
      </c>
      <c r="V26" t="s">
        <v>9531</v>
      </c>
      <c r="W26" t="s">
        <v>8692</v>
      </c>
      <c r="X26">
        <v>1</v>
      </c>
      <c r="Y26" s="36">
        <v>0</v>
      </c>
      <c r="Z26"/>
      <c r="AB26" s="80">
        <f>ARTICULOS_MONDELEZ[[#This Row],[Costo]]*ARTICULOS_MONDELEZ[[#This Row],[Pedido]]</f>
        <v>0</v>
      </c>
      <c r="AH26" s="2" t="str">
        <f>IF(AND(ARTICULOS_MONDELEZ[[#This Row],[FechaVenc]]=0,ARTICULOS_MONDELEZ[[#This Row],[DiasVenc]]=0),"",ARTICULOS_MONDELEZ[[#This Row],[FechaVenc]]-ARTICULOS_MONDELEZ[[#This Row],[DiasVenc]])</f>
        <v/>
      </c>
      <c r="AO26" s="30" t="s">
        <v>8689</v>
      </c>
    </row>
    <row r="27" spans="1:41" ht="15.75" x14ac:dyDescent="0.25">
      <c r="A27" s="24" t="s">
        <v>9534</v>
      </c>
      <c r="C27" t="str">
        <f t="shared" si="0"/>
        <v>KIO77982353</v>
      </c>
      <c r="D27" t="s">
        <v>8689</v>
      </c>
      <c r="E27" s="1" t="s">
        <v>9535</v>
      </c>
      <c r="F27" s="61">
        <f t="shared" ref="F27:F28" si="5">F26</f>
        <v>3404.84</v>
      </c>
      <c r="G27" s="119">
        <v>0.21</v>
      </c>
      <c r="H27" s="4" t="s">
        <v>8690</v>
      </c>
      <c r="I27">
        <v>60</v>
      </c>
      <c r="J27">
        <f>ARTICULOS_MONDELEZ[[#This Row],[Bulto]]</f>
        <v>60</v>
      </c>
      <c r="L27" s="66">
        <f>((ARTICULOS_MONDELEZ[[#This Row],[P. Compra]]*(1+ARTICULOS_MONDELEZ[[#This Row],[IVA]]))/ARTICULOS_MONDELEZ[[#This Row],[UnidFact]])+ARTICULOS_MONDELEZ[[#This Row],[CostoFlete]]</f>
        <v>68.664273333333327</v>
      </c>
      <c r="M27">
        <v>50</v>
      </c>
      <c r="N27" s="68">
        <f>IF(L27&gt;=5,MROUND((L27*(1+(ARTICULOS_MONDELEZ[[#This Row],[IVA]]/100)))/(1-M27/100),50),10)</f>
        <v>150</v>
      </c>
      <c r="O27" s="3">
        <f>MROUND(ARTICULOS_MONDELEZ[[#This Row],[Precio]]/0.6,50)</f>
        <v>250</v>
      </c>
      <c r="P27" t="s">
        <v>8693</v>
      </c>
      <c r="Q27">
        <v>10</v>
      </c>
      <c r="R27" s="3">
        <f>ARTICULOS_MONDELEZ[[#This Row],[Bulto]]+ARTICULOS_MONDELEZ[[#This Row],[Minimo]]</f>
        <v>70</v>
      </c>
      <c r="S27" t="s">
        <v>38</v>
      </c>
      <c r="T27" t="s">
        <v>27</v>
      </c>
      <c r="U27" t="s">
        <v>25</v>
      </c>
      <c r="V27" t="s">
        <v>9531</v>
      </c>
      <c r="W27" t="s">
        <v>8692</v>
      </c>
      <c r="X27">
        <v>1</v>
      </c>
      <c r="Y27" s="36">
        <v>38</v>
      </c>
      <c r="Z27"/>
      <c r="AB27" s="80">
        <f>ARTICULOS_MONDELEZ[[#This Row],[Costo]]*ARTICULOS_MONDELEZ[[#This Row],[Pedido]]</f>
        <v>0</v>
      </c>
      <c r="AH27" s="2" t="str">
        <f>IF(AND(ARTICULOS_MONDELEZ[[#This Row],[FechaVenc]]=0,ARTICULOS_MONDELEZ[[#This Row],[DiasVenc]]=0),"",ARTICULOS_MONDELEZ[[#This Row],[FechaVenc]]-ARTICULOS_MONDELEZ[[#This Row],[DiasVenc]])</f>
        <v/>
      </c>
      <c r="AO27" s="30" t="s">
        <v>8689</v>
      </c>
    </row>
    <row r="28" spans="1:41" ht="15.75" x14ac:dyDescent="0.25">
      <c r="A28" s="1" t="s">
        <v>9536</v>
      </c>
      <c r="C28" t="str">
        <f t="shared" si="0"/>
        <v>KIO77982338</v>
      </c>
      <c r="D28" t="s">
        <v>8689</v>
      </c>
      <c r="E28" s="1" t="s">
        <v>9537</v>
      </c>
      <c r="F28" s="61">
        <f t="shared" si="5"/>
        <v>3404.84</v>
      </c>
      <c r="G28" s="119">
        <v>0.21</v>
      </c>
      <c r="H28" s="4" t="s">
        <v>8690</v>
      </c>
      <c r="I28">
        <v>60</v>
      </c>
      <c r="J28">
        <f>ARTICULOS_MONDELEZ[[#This Row],[Bulto]]</f>
        <v>60</v>
      </c>
      <c r="L28" s="66">
        <f>((ARTICULOS_MONDELEZ[[#This Row],[P. Compra]]*(1+ARTICULOS_MONDELEZ[[#This Row],[IVA]]))/ARTICULOS_MONDELEZ[[#This Row],[UnidFact]])+ARTICULOS_MONDELEZ[[#This Row],[CostoFlete]]</f>
        <v>68.664273333333327</v>
      </c>
      <c r="M28">
        <v>50</v>
      </c>
      <c r="N28" s="68">
        <f>IF(L28&gt;=5,MROUND((L28*(1+(ARTICULOS_MONDELEZ[[#This Row],[IVA]]/100)))/(1-M28/100),50),10)</f>
        <v>150</v>
      </c>
      <c r="O28" s="3">
        <f>MROUND(ARTICULOS_MONDELEZ[[#This Row],[Precio]]/0.6,50)</f>
        <v>250</v>
      </c>
      <c r="P28" t="s">
        <v>8693</v>
      </c>
      <c r="Q28">
        <v>10</v>
      </c>
      <c r="R28" s="3">
        <f>ARTICULOS_MONDELEZ[[#This Row],[Bulto]]+ARTICULOS_MONDELEZ[[#This Row],[Minimo]]</f>
        <v>70</v>
      </c>
      <c r="S28" t="s">
        <v>38</v>
      </c>
      <c r="T28" t="s">
        <v>27</v>
      </c>
      <c r="U28" t="s">
        <v>25</v>
      </c>
      <c r="V28" t="s">
        <v>9531</v>
      </c>
      <c r="W28" t="s">
        <v>8692</v>
      </c>
      <c r="X28">
        <v>1</v>
      </c>
      <c r="Y28" s="36">
        <v>3</v>
      </c>
      <c r="Z28"/>
      <c r="AB28" s="80">
        <f>ARTICULOS_MONDELEZ[[#This Row],[Costo]]*ARTICULOS_MONDELEZ[[#This Row],[Pedido]]</f>
        <v>0</v>
      </c>
      <c r="AH28" s="2" t="str">
        <f>IF(AND(ARTICULOS_MONDELEZ[[#This Row],[FechaVenc]]=0,ARTICULOS_MONDELEZ[[#This Row],[DiasVenc]]=0),"",ARTICULOS_MONDELEZ[[#This Row],[FechaVenc]]-ARTICULOS_MONDELEZ[[#This Row],[DiasVenc]])</f>
        <v/>
      </c>
      <c r="AO28" s="30" t="s">
        <v>8689</v>
      </c>
    </row>
    <row r="29" spans="1:41" ht="15.75" x14ac:dyDescent="0.25">
      <c r="A29" s="1" t="s">
        <v>9538</v>
      </c>
      <c r="C29" t="str">
        <f t="shared" si="0"/>
        <v>KIO77971630</v>
      </c>
      <c r="D29" t="s">
        <v>8689</v>
      </c>
      <c r="E29" s="1" t="s">
        <v>9539</v>
      </c>
      <c r="F29" s="61">
        <v>3972.71</v>
      </c>
      <c r="G29" s="119">
        <v>0.21</v>
      </c>
      <c r="H29" s="4" t="s">
        <v>8690</v>
      </c>
      <c r="I29">
        <v>13</v>
      </c>
      <c r="J29">
        <f>ARTICULOS_MONDELEZ[[#This Row],[Bulto]]</f>
        <v>13</v>
      </c>
      <c r="L29" s="66">
        <f>((ARTICULOS_MONDELEZ[[#This Row],[P. Compra]]*(1+ARTICULOS_MONDELEZ[[#This Row],[IVA]]))/ARTICULOS_MONDELEZ[[#This Row],[UnidFact]])+ARTICULOS_MONDELEZ[[#This Row],[CostoFlete]]</f>
        <v>369.76762307692303</v>
      </c>
      <c r="M29">
        <v>35</v>
      </c>
      <c r="N29" s="68">
        <f>IF(L29&gt;=5,MROUND((L29*(1+(ARTICULOS_MONDELEZ[[#This Row],[IVA]]/100)))/(1-M29/100),50),10)</f>
        <v>550</v>
      </c>
      <c r="O29" s="3">
        <f>MROUND(ARTICULOS_MONDELEZ[[#This Row],[Precio]]/0.6,50)</f>
        <v>900</v>
      </c>
      <c r="P29" t="s">
        <v>8693</v>
      </c>
      <c r="Q29">
        <v>5</v>
      </c>
      <c r="R29" s="3">
        <f>ARTICULOS_MONDELEZ[[#This Row],[Bulto]]+ARTICULOS_MONDELEZ[[#This Row],[Minimo]]</f>
        <v>18</v>
      </c>
      <c r="S29" t="s">
        <v>38</v>
      </c>
      <c r="T29" t="s">
        <v>27</v>
      </c>
      <c r="U29" t="s">
        <v>28</v>
      </c>
      <c r="V29" t="s">
        <v>9477</v>
      </c>
      <c r="W29" t="s">
        <v>8692</v>
      </c>
      <c r="X29">
        <v>1</v>
      </c>
      <c r="Y29" s="36">
        <v>0</v>
      </c>
      <c r="Z29"/>
      <c r="AB29" s="80">
        <f>ARTICULOS_MONDELEZ[[#This Row],[Costo]]*ARTICULOS_MONDELEZ[[#This Row],[Pedido]]</f>
        <v>0</v>
      </c>
      <c r="AH29" s="2" t="str">
        <f>IF(AND(ARTICULOS_MONDELEZ[[#This Row],[FechaVenc]]=0,ARTICULOS_MONDELEZ[[#This Row],[DiasVenc]]=0),"",ARTICULOS_MONDELEZ[[#This Row],[FechaVenc]]-ARTICULOS_MONDELEZ[[#This Row],[DiasVenc]])</f>
        <v/>
      </c>
      <c r="AO29" s="30" t="s">
        <v>8689</v>
      </c>
    </row>
    <row r="30" spans="1:41" ht="15.75" x14ac:dyDescent="0.25">
      <c r="A30" s="1" t="s">
        <v>9540</v>
      </c>
      <c r="C30" t="str">
        <f t="shared" si="0"/>
        <v>KIO01818692</v>
      </c>
      <c r="D30" t="s">
        <v>8689</v>
      </c>
      <c r="E30" s="1" t="s">
        <v>9541</v>
      </c>
      <c r="F30" s="61">
        <v>3481.91</v>
      </c>
      <c r="G30" s="119">
        <v>0.21</v>
      </c>
      <c r="H30" s="4" t="s">
        <v>8690</v>
      </c>
      <c r="I30">
        <v>1</v>
      </c>
      <c r="J30">
        <f>ARTICULOS_MONDELEZ[[#This Row],[Bulto]]</f>
        <v>1</v>
      </c>
      <c r="L30" s="66">
        <f>((ARTICULOS_MONDELEZ[[#This Row],[P. Compra]]*(1+ARTICULOS_MONDELEZ[[#This Row],[IVA]]))/ARTICULOS_MONDELEZ[[#This Row],[UnidFact]])+ARTICULOS_MONDELEZ[[#This Row],[CostoFlete]]</f>
        <v>4213.1111000000001</v>
      </c>
      <c r="M30">
        <v>35</v>
      </c>
      <c r="N30" s="68">
        <f>IF(L30&gt;=5,MROUND((L30*(1+(ARTICULOS_MONDELEZ[[#This Row],[IVA]]/100)))/(1-M30/100),50),10)</f>
        <v>6500</v>
      </c>
      <c r="O30" s="3">
        <f>MROUND(ARTICULOS_MONDELEZ[[#This Row],[Precio]]/0.6,50)</f>
        <v>10850</v>
      </c>
      <c r="P30" t="s">
        <v>8693</v>
      </c>
      <c r="Q30">
        <v>2</v>
      </c>
      <c r="R30" s="3">
        <f>ARTICULOS_MONDELEZ[[#This Row],[Bulto]]+ARTICULOS_MONDELEZ[[#This Row],[Minimo]]</f>
        <v>3</v>
      </c>
      <c r="S30" t="s">
        <v>38</v>
      </c>
      <c r="T30" t="s">
        <v>27</v>
      </c>
      <c r="U30" t="s">
        <v>28</v>
      </c>
      <c r="V30" t="s">
        <v>9542</v>
      </c>
      <c r="W30" t="s">
        <v>8692</v>
      </c>
      <c r="X30">
        <v>1</v>
      </c>
      <c r="Y30" s="36">
        <v>2</v>
      </c>
      <c r="Z30"/>
      <c r="AB30" s="80">
        <f>ARTICULOS_MONDELEZ[[#This Row],[Costo]]*ARTICULOS_MONDELEZ[[#This Row],[Pedido]]</f>
        <v>0</v>
      </c>
      <c r="AH30" s="2" t="str">
        <f>IF(AND(ARTICULOS_MONDELEZ[[#This Row],[FechaVenc]]=0,ARTICULOS_MONDELEZ[[#This Row],[DiasVenc]]=0),"",ARTICULOS_MONDELEZ[[#This Row],[FechaVenc]]-ARTICULOS_MONDELEZ[[#This Row],[DiasVenc]])</f>
        <v/>
      </c>
      <c r="AO30" s="30" t="s">
        <v>8689</v>
      </c>
    </row>
    <row r="31" spans="1:41" ht="15.75" x14ac:dyDescent="0.25">
      <c r="A31" s="1" t="s">
        <v>9543</v>
      </c>
      <c r="C31" t="str">
        <f t="shared" si="0"/>
        <v>KIO01818609</v>
      </c>
      <c r="D31" t="s">
        <v>8689</v>
      </c>
      <c r="E31" s="1" t="s">
        <v>9544</v>
      </c>
      <c r="F31" s="61">
        <v>713.65</v>
      </c>
      <c r="G31" s="119">
        <v>0.21</v>
      </c>
      <c r="H31" s="4" t="s">
        <v>8690</v>
      </c>
      <c r="I31">
        <v>12</v>
      </c>
      <c r="J31">
        <v>1</v>
      </c>
      <c r="L31" s="66">
        <f>((ARTICULOS_MONDELEZ[[#This Row],[P. Compra]]*(1+ARTICULOS_MONDELEZ[[#This Row],[IVA]]))/ARTICULOS_MONDELEZ[[#This Row],[UnidFact]])+ARTICULOS_MONDELEZ[[#This Row],[CostoFlete]]</f>
        <v>863.51649999999995</v>
      </c>
      <c r="M31">
        <v>35</v>
      </c>
      <c r="N31" s="68">
        <f>IF(L31&gt;=5,MROUND((L31*(1+(ARTICULOS_MONDELEZ[[#This Row],[IVA]]/100)))/(1-M31/100),50),10)</f>
        <v>1350</v>
      </c>
      <c r="O31" s="3">
        <f>MROUND(ARTICULOS_MONDELEZ[[#This Row],[Precio]]/0.6,50)</f>
        <v>2250</v>
      </c>
      <c r="P31" t="s">
        <v>8693</v>
      </c>
      <c r="Q31">
        <v>4</v>
      </c>
      <c r="R31" s="3">
        <f>ARTICULOS_MONDELEZ[[#This Row],[Bulto]]+ARTICULOS_MONDELEZ[[#This Row],[Minimo]]</f>
        <v>16</v>
      </c>
      <c r="S31" t="s">
        <v>38</v>
      </c>
      <c r="T31" t="s">
        <v>27</v>
      </c>
      <c r="U31" t="s">
        <v>28</v>
      </c>
      <c r="V31" t="s">
        <v>9542</v>
      </c>
      <c r="W31" t="s">
        <v>8692</v>
      </c>
      <c r="X31">
        <v>1</v>
      </c>
      <c r="Y31" s="36">
        <v>0</v>
      </c>
      <c r="Z31"/>
      <c r="AB31" s="80">
        <f>ARTICULOS_MONDELEZ[[#This Row],[Costo]]*ARTICULOS_MONDELEZ[[#This Row],[Pedido]]</f>
        <v>0</v>
      </c>
      <c r="AH31" s="2" t="str">
        <f>IF(AND(ARTICULOS_MONDELEZ[[#This Row],[FechaVenc]]=0,ARTICULOS_MONDELEZ[[#This Row],[DiasVenc]]=0),"",ARTICULOS_MONDELEZ[[#This Row],[FechaVenc]]-ARTICULOS_MONDELEZ[[#This Row],[DiasVenc]])</f>
        <v/>
      </c>
      <c r="AO31" s="30" t="s">
        <v>8689</v>
      </c>
    </row>
    <row r="32" spans="1:41" ht="15.75" x14ac:dyDescent="0.25">
      <c r="A32" s="1" t="s">
        <v>9545</v>
      </c>
      <c r="C32" t="str">
        <f t="shared" si="0"/>
        <v>KIO01818579</v>
      </c>
      <c r="D32" t="s">
        <v>8689</v>
      </c>
      <c r="E32" s="1" t="s">
        <v>9546</v>
      </c>
      <c r="F32" s="61">
        <f>F31</f>
        <v>713.65</v>
      </c>
      <c r="G32" s="119">
        <v>0.21</v>
      </c>
      <c r="H32" s="4" t="s">
        <v>8690</v>
      </c>
      <c r="I32">
        <v>12</v>
      </c>
      <c r="J32">
        <v>1</v>
      </c>
      <c r="L32" s="66">
        <f>((ARTICULOS_MONDELEZ[[#This Row],[P. Compra]]*(1+ARTICULOS_MONDELEZ[[#This Row],[IVA]]))/ARTICULOS_MONDELEZ[[#This Row],[UnidFact]])+ARTICULOS_MONDELEZ[[#This Row],[CostoFlete]]</f>
        <v>863.51649999999995</v>
      </c>
      <c r="M32">
        <v>35</v>
      </c>
      <c r="N32" s="68">
        <f>IF(L32&gt;=5,MROUND((L32*(1+(ARTICULOS_MONDELEZ[[#This Row],[IVA]]/100)))/(1-M32/100),50),10)</f>
        <v>1350</v>
      </c>
      <c r="O32" s="3">
        <f>MROUND(ARTICULOS_MONDELEZ[[#This Row],[Precio]]/0.6,50)</f>
        <v>2250</v>
      </c>
      <c r="P32" t="s">
        <v>8693</v>
      </c>
      <c r="Q32">
        <v>4</v>
      </c>
      <c r="R32" s="3">
        <f>ARTICULOS_MONDELEZ[[#This Row],[Bulto]]+ARTICULOS_MONDELEZ[[#This Row],[Minimo]]</f>
        <v>16</v>
      </c>
      <c r="S32" t="s">
        <v>38</v>
      </c>
      <c r="T32" t="s">
        <v>27</v>
      </c>
      <c r="U32" t="s">
        <v>28</v>
      </c>
      <c r="V32" t="s">
        <v>9542</v>
      </c>
      <c r="W32" t="s">
        <v>8692</v>
      </c>
      <c r="X32">
        <v>1</v>
      </c>
      <c r="Y32" s="36">
        <v>6</v>
      </c>
      <c r="Z32"/>
      <c r="AB32" s="80">
        <f>ARTICULOS_MONDELEZ[[#This Row],[Costo]]*ARTICULOS_MONDELEZ[[#This Row],[Pedido]]</f>
        <v>0</v>
      </c>
      <c r="AH32" s="2" t="str">
        <f>IF(AND(ARTICULOS_MONDELEZ[[#This Row],[FechaVenc]]=0,ARTICULOS_MONDELEZ[[#This Row],[DiasVenc]]=0),"",ARTICULOS_MONDELEZ[[#This Row],[FechaVenc]]-ARTICULOS_MONDELEZ[[#This Row],[DiasVenc]])</f>
        <v/>
      </c>
      <c r="AO32" s="30" t="s">
        <v>8689</v>
      </c>
    </row>
    <row r="33" spans="1:41" ht="15.75" x14ac:dyDescent="0.25">
      <c r="A33" s="1" t="s">
        <v>9547</v>
      </c>
      <c r="C33" t="str">
        <f t="shared" si="0"/>
        <v>KIO01818654</v>
      </c>
      <c r="D33" t="s">
        <v>8689</v>
      </c>
      <c r="E33" s="1" t="s">
        <v>9548</v>
      </c>
      <c r="F33" s="61">
        <v>713.65</v>
      </c>
      <c r="G33" s="119">
        <v>0.21</v>
      </c>
      <c r="H33" s="4" t="s">
        <v>8690</v>
      </c>
      <c r="I33">
        <v>12</v>
      </c>
      <c r="J33">
        <v>1</v>
      </c>
      <c r="L33" s="66">
        <f>((ARTICULOS_MONDELEZ[[#This Row],[P. Compra]]*(1+ARTICULOS_MONDELEZ[[#This Row],[IVA]]))/ARTICULOS_MONDELEZ[[#This Row],[UnidFact]])+ARTICULOS_MONDELEZ[[#This Row],[CostoFlete]]</f>
        <v>863.51649999999995</v>
      </c>
      <c r="M33">
        <v>35</v>
      </c>
      <c r="N33" s="68">
        <f>IF(L33&gt;=5,MROUND((L33*(1+(ARTICULOS_MONDELEZ[[#This Row],[IVA]]/100)))/(1-M33/100),50),10)</f>
        <v>1350</v>
      </c>
      <c r="O33" s="3">
        <f>MROUND(ARTICULOS_MONDELEZ[[#This Row],[Precio]]/0.6,50)</f>
        <v>2250</v>
      </c>
      <c r="P33" t="s">
        <v>8693</v>
      </c>
      <c r="Q33">
        <v>4</v>
      </c>
      <c r="R33" s="3">
        <f>ARTICULOS_MONDELEZ[[#This Row],[Bulto]]+ARTICULOS_MONDELEZ[[#This Row],[Minimo]]</f>
        <v>16</v>
      </c>
      <c r="S33" t="s">
        <v>38</v>
      </c>
      <c r="T33" t="s">
        <v>27</v>
      </c>
      <c r="U33" t="s">
        <v>28</v>
      </c>
      <c r="V33" t="s">
        <v>9542</v>
      </c>
      <c r="W33" t="s">
        <v>8692</v>
      </c>
      <c r="X33">
        <v>1</v>
      </c>
      <c r="Y33" s="36">
        <v>3</v>
      </c>
      <c r="Z33"/>
      <c r="AB33" s="80">
        <f>ARTICULOS_MONDELEZ[[#This Row],[Costo]]*ARTICULOS_MONDELEZ[[#This Row],[Pedido]]</f>
        <v>0</v>
      </c>
      <c r="AH33" s="2" t="str">
        <f>IF(AND(ARTICULOS_MONDELEZ[[#This Row],[FechaVenc]]=0,ARTICULOS_MONDELEZ[[#This Row],[DiasVenc]]=0),"",ARTICULOS_MONDELEZ[[#This Row],[FechaVenc]]-ARTICULOS_MONDELEZ[[#This Row],[DiasVenc]])</f>
        <v/>
      </c>
      <c r="AO33" s="30" t="s">
        <v>8689</v>
      </c>
    </row>
    <row r="34" spans="1:41" ht="15.75" x14ac:dyDescent="0.25">
      <c r="A34" s="1" t="s">
        <v>9549</v>
      </c>
      <c r="C34" t="str">
        <f t="shared" ref="C34:C66" si="6">CONCATENATE(LEFT(T34,3),RIGHT(A34,8))</f>
        <v>KIO01807405</v>
      </c>
      <c r="D34" t="s">
        <v>8689</v>
      </c>
      <c r="E34" s="1" t="s">
        <v>9550</v>
      </c>
      <c r="F34" s="61">
        <v>1771.74</v>
      </c>
      <c r="G34" s="119">
        <v>0.21</v>
      </c>
      <c r="H34" s="4" t="s">
        <v>8690</v>
      </c>
      <c r="I34">
        <v>6</v>
      </c>
      <c r="J34">
        <v>1</v>
      </c>
      <c r="L34" s="66">
        <f>((ARTICULOS_MONDELEZ[[#This Row],[P. Compra]]*(1+ARTICULOS_MONDELEZ[[#This Row],[IVA]]))/ARTICULOS_MONDELEZ[[#This Row],[UnidFact]])+ARTICULOS_MONDELEZ[[#This Row],[CostoFlete]]</f>
        <v>2143.8053999999997</v>
      </c>
      <c r="M34">
        <v>35</v>
      </c>
      <c r="N34" s="68">
        <f>IF(L34&gt;=5,MROUND((L34*(1+(ARTICULOS_MONDELEZ[[#This Row],[IVA]]/100)))/(1-M34/100),50),10)</f>
        <v>3300</v>
      </c>
      <c r="O34" s="3">
        <f>MROUND(ARTICULOS_MONDELEZ[[#This Row],[Precio]]/0.6,50)</f>
        <v>5500</v>
      </c>
      <c r="P34" t="s">
        <v>8693</v>
      </c>
      <c r="Q34">
        <v>2</v>
      </c>
      <c r="R34" s="3">
        <f>ARTICULOS_MONDELEZ[[#This Row],[Bulto]]+ARTICULOS_MONDELEZ[[#This Row],[Minimo]]</f>
        <v>8</v>
      </c>
      <c r="S34" t="s">
        <v>38</v>
      </c>
      <c r="T34" t="s">
        <v>27</v>
      </c>
      <c r="U34" t="s">
        <v>28</v>
      </c>
      <c r="V34" t="s">
        <v>9542</v>
      </c>
      <c r="W34" t="s">
        <v>8692</v>
      </c>
      <c r="X34">
        <v>1</v>
      </c>
      <c r="Y34" s="36">
        <v>0</v>
      </c>
      <c r="Z34"/>
      <c r="AB34" s="80">
        <f>ARTICULOS_MONDELEZ[[#This Row],[Costo]]*ARTICULOS_MONDELEZ[[#This Row],[Pedido]]</f>
        <v>0</v>
      </c>
      <c r="AH34" s="2" t="str">
        <f>IF(AND(ARTICULOS_MONDELEZ[[#This Row],[FechaVenc]]=0,ARTICULOS_MONDELEZ[[#This Row],[DiasVenc]]=0),"",ARTICULOS_MONDELEZ[[#This Row],[FechaVenc]]-ARTICULOS_MONDELEZ[[#This Row],[DiasVenc]])</f>
        <v/>
      </c>
      <c r="AO34" s="30" t="s">
        <v>8689</v>
      </c>
    </row>
    <row r="35" spans="1:41" ht="15.75" x14ac:dyDescent="0.25">
      <c r="A35" s="1" t="s">
        <v>9551</v>
      </c>
      <c r="C35" t="str">
        <f t="shared" si="6"/>
        <v>KIO01818739</v>
      </c>
      <c r="D35" t="s">
        <v>8689</v>
      </c>
      <c r="E35" s="1" t="s">
        <v>9552</v>
      </c>
      <c r="F35" s="61">
        <f>F34</f>
        <v>1771.74</v>
      </c>
      <c r="G35" s="119">
        <v>0.21</v>
      </c>
      <c r="H35" s="4" t="s">
        <v>8690</v>
      </c>
      <c r="I35">
        <v>6</v>
      </c>
      <c r="J35">
        <v>1</v>
      </c>
      <c r="L35" s="66">
        <f>((ARTICULOS_MONDELEZ[[#This Row],[P. Compra]]*(1+ARTICULOS_MONDELEZ[[#This Row],[IVA]]))/ARTICULOS_MONDELEZ[[#This Row],[UnidFact]])+ARTICULOS_MONDELEZ[[#This Row],[CostoFlete]]</f>
        <v>2143.8053999999997</v>
      </c>
      <c r="M35">
        <v>35</v>
      </c>
      <c r="N35" s="68">
        <f>IF(L35&gt;=5,MROUND((L35*(1+(ARTICULOS_MONDELEZ[[#This Row],[IVA]]/100)))/(1-M35/100),50),10)</f>
        <v>3300</v>
      </c>
      <c r="O35" s="3">
        <f>MROUND(ARTICULOS_MONDELEZ[[#This Row],[Precio]]/0.6,50)</f>
        <v>5500</v>
      </c>
      <c r="P35" t="s">
        <v>8693</v>
      </c>
      <c r="Q35">
        <v>2</v>
      </c>
      <c r="R35" s="3">
        <f>ARTICULOS_MONDELEZ[[#This Row],[Bulto]]+ARTICULOS_MONDELEZ[[#This Row],[Minimo]]</f>
        <v>8</v>
      </c>
      <c r="S35" t="s">
        <v>38</v>
      </c>
      <c r="T35" t="s">
        <v>27</v>
      </c>
      <c r="U35" t="s">
        <v>28</v>
      </c>
      <c r="V35" t="s">
        <v>9542</v>
      </c>
      <c r="W35" t="s">
        <v>8692</v>
      </c>
      <c r="X35">
        <v>1</v>
      </c>
      <c r="Y35" s="36">
        <v>0</v>
      </c>
      <c r="Z35"/>
      <c r="AB35" s="80">
        <f>ARTICULOS_MONDELEZ[[#This Row],[Costo]]*ARTICULOS_MONDELEZ[[#This Row],[Pedido]]</f>
        <v>0</v>
      </c>
      <c r="AH35" s="2" t="str">
        <f>IF(AND(ARTICULOS_MONDELEZ[[#This Row],[FechaVenc]]=0,ARTICULOS_MONDELEZ[[#This Row],[DiasVenc]]=0),"",ARTICULOS_MONDELEZ[[#This Row],[FechaVenc]]-ARTICULOS_MONDELEZ[[#This Row],[DiasVenc]])</f>
        <v/>
      </c>
      <c r="AO35" s="30" t="s">
        <v>8689</v>
      </c>
    </row>
    <row r="36" spans="1:41" ht="15.75" x14ac:dyDescent="0.25">
      <c r="A36" s="1" t="s">
        <v>9553</v>
      </c>
      <c r="C36" t="str">
        <f t="shared" si="6"/>
        <v>KIO01818715</v>
      </c>
      <c r="D36" t="s">
        <v>8689</v>
      </c>
      <c r="E36" s="1" t="s">
        <v>9554</v>
      </c>
      <c r="F36" s="61">
        <f>F35</f>
        <v>1771.74</v>
      </c>
      <c r="G36" s="119">
        <v>0.21</v>
      </c>
      <c r="H36" s="4" t="s">
        <v>8690</v>
      </c>
      <c r="I36">
        <v>6</v>
      </c>
      <c r="J36">
        <v>1</v>
      </c>
      <c r="L36" s="66">
        <f>((ARTICULOS_MONDELEZ[[#This Row],[P. Compra]]*(1+ARTICULOS_MONDELEZ[[#This Row],[IVA]]))/ARTICULOS_MONDELEZ[[#This Row],[UnidFact]])+ARTICULOS_MONDELEZ[[#This Row],[CostoFlete]]</f>
        <v>2143.8053999999997</v>
      </c>
      <c r="M36">
        <v>35</v>
      </c>
      <c r="N36" s="68">
        <f>IF(L36&gt;=5,MROUND((L36*(1+(ARTICULOS_MONDELEZ[[#This Row],[IVA]]/100)))/(1-M36/100),50),10)</f>
        <v>3300</v>
      </c>
      <c r="O36" s="3">
        <f>MROUND(ARTICULOS_MONDELEZ[[#This Row],[Precio]]/0.6,50)</f>
        <v>5500</v>
      </c>
      <c r="P36" t="s">
        <v>8693</v>
      </c>
      <c r="Q36">
        <v>2</v>
      </c>
      <c r="R36" s="3">
        <f>ARTICULOS_MONDELEZ[[#This Row],[Bulto]]+ARTICULOS_MONDELEZ[[#This Row],[Minimo]]</f>
        <v>8</v>
      </c>
      <c r="S36" t="s">
        <v>38</v>
      </c>
      <c r="T36" t="s">
        <v>27</v>
      </c>
      <c r="U36" t="s">
        <v>28</v>
      </c>
      <c r="V36" t="s">
        <v>9542</v>
      </c>
      <c r="W36" t="s">
        <v>8692</v>
      </c>
      <c r="X36">
        <v>1</v>
      </c>
      <c r="Y36" s="36">
        <v>0</v>
      </c>
      <c r="Z36"/>
      <c r="AB36" s="80">
        <f>ARTICULOS_MONDELEZ[[#This Row],[Costo]]*ARTICULOS_MONDELEZ[[#This Row],[Pedido]]</f>
        <v>0</v>
      </c>
      <c r="AH36" s="2" t="str">
        <f>IF(AND(ARTICULOS_MONDELEZ[[#This Row],[FechaVenc]]=0,ARTICULOS_MONDELEZ[[#This Row],[DiasVenc]]=0),"",ARTICULOS_MONDELEZ[[#This Row],[FechaVenc]]-ARTICULOS_MONDELEZ[[#This Row],[DiasVenc]])</f>
        <v/>
      </c>
      <c r="AO36" s="30" t="s">
        <v>8689</v>
      </c>
    </row>
    <row r="37" spans="1:41" ht="15.75" x14ac:dyDescent="0.25">
      <c r="A37" s="1" t="s">
        <v>9555</v>
      </c>
      <c r="C37" t="str">
        <f t="shared" si="6"/>
        <v>KIO77939425</v>
      </c>
      <c r="D37" t="s">
        <v>8689</v>
      </c>
      <c r="E37" s="1" t="s">
        <v>9556</v>
      </c>
      <c r="F37" s="61">
        <v>854.03</v>
      </c>
      <c r="G37" s="119">
        <v>0.21</v>
      </c>
      <c r="H37" s="4" t="s">
        <v>8690</v>
      </c>
      <c r="I37">
        <v>6</v>
      </c>
      <c r="J37">
        <v>1</v>
      </c>
      <c r="L37" s="66">
        <f>((ARTICULOS_MONDELEZ[[#This Row],[P. Compra]]*(1+ARTICULOS_MONDELEZ[[#This Row],[IVA]]))/ARTICULOS_MONDELEZ[[#This Row],[UnidFact]])+ARTICULOS_MONDELEZ[[#This Row],[CostoFlete]]</f>
        <v>1033.3762999999999</v>
      </c>
      <c r="M37">
        <v>35</v>
      </c>
      <c r="N37" s="68">
        <f>IF(L37&gt;=5,MROUND((L37*(1+(ARTICULOS_MONDELEZ[[#This Row],[IVA]]/100)))/(1-M37/100),50),10)</f>
        <v>1600</v>
      </c>
      <c r="O37" s="3">
        <f>MROUND(ARTICULOS_MONDELEZ[[#This Row],[Precio]]/0.6,50)</f>
        <v>2650</v>
      </c>
      <c r="P37" t="s">
        <v>8693</v>
      </c>
      <c r="Q37">
        <v>2</v>
      </c>
      <c r="R37" s="3">
        <f>ARTICULOS_MONDELEZ[[#This Row],[Bulto]]+ARTICULOS_MONDELEZ[[#This Row],[Minimo]]</f>
        <v>8</v>
      </c>
      <c r="S37" t="s">
        <v>38</v>
      </c>
      <c r="T37" t="s">
        <v>27</v>
      </c>
      <c r="U37" t="s">
        <v>28</v>
      </c>
      <c r="V37" t="s">
        <v>9557</v>
      </c>
      <c r="W37" t="s">
        <v>8692</v>
      </c>
      <c r="X37">
        <v>1</v>
      </c>
      <c r="Y37" s="36">
        <v>2</v>
      </c>
      <c r="Z37"/>
      <c r="AB37" s="80">
        <f>ARTICULOS_MONDELEZ[[#This Row],[Costo]]*ARTICULOS_MONDELEZ[[#This Row],[Pedido]]</f>
        <v>0</v>
      </c>
      <c r="AH37" s="2" t="str">
        <f>IF(AND(ARTICULOS_MONDELEZ[[#This Row],[FechaVenc]]=0,ARTICULOS_MONDELEZ[[#This Row],[DiasVenc]]=0),"",ARTICULOS_MONDELEZ[[#This Row],[FechaVenc]]-ARTICULOS_MONDELEZ[[#This Row],[DiasVenc]])</f>
        <v/>
      </c>
      <c r="AO37" s="30" t="s">
        <v>8689</v>
      </c>
    </row>
    <row r="38" spans="1:41" ht="15.75" x14ac:dyDescent="0.25">
      <c r="A38" s="1" t="s">
        <v>9558</v>
      </c>
      <c r="C38" t="str">
        <f t="shared" si="6"/>
        <v>KIO77933898</v>
      </c>
      <c r="D38" t="s">
        <v>8689</v>
      </c>
      <c r="E38" s="1" t="s">
        <v>9559</v>
      </c>
      <c r="F38" s="61">
        <f>F37</f>
        <v>854.03</v>
      </c>
      <c r="G38" s="119">
        <v>0.21</v>
      </c>
      <c r="H38" s="4" t="s">
        <v>8690</v>
      </c>
      <c r="I38">
        <v>6</v>
      </c>
      <c r="J38">
        <v>1</v>
      </c>
      <c r="L38" s="66">
        <f>((ARTICULOS_MONDELEZ[[#This Row],[P. Compra]]*(1+ARTICULOS_MONDELEZ[[#This Row],[IVA]]))/ARTICULOS_MONDELEZ[[#This Row],[UnidFact]])+ARTICULOS_MONDELEZ[[#This Row],[CostoFlete]]</f>
        <v>1033.3762999999999</v>
      </c>
      <c r="M38">
        <v>35</v>
      </c>
      <c r="N38" s="68">
        <f>IF(L38&gt;=5,MROUND((L38*(1+(ARTICULOS_MONDELEZ[[#This Row],[IVA]]/100)))/(1-M38/100),50),10)</f>
        <v>1600</v>
      </c>
      <c r="O38" s="3">
        <f>MROUND(ARTICULOS_MONDELEZ[[#This Row],[Precio]]/0.6,50)</f>
        <v>2650</v>
      </c>
      <c r="P38" t="s">
        <v>8693</v>
      </c>
      <c r="Q38">
        <v>2</v>
      </c>
      <c r="R38" s="3">
        <f>ARTICULOS_MONDELEZ[[#This Row],[Bulto]]+ARTICULOS_MONDELEZ[[#This Row],[Minimo]]</f>
        <v>8</v>
      </c>
      <c r="S38" t="s">
        <v>38</v>
      </c>
      <c r="T38" t="s">
        <v>27</v>
      </c>
      <c r="U38" t="s">
        <v>28</v>
      </c>
      <c r="V38" t="s">
        <v>9557</v>
      </c>
      <c r="W38" t="s">
        <v>8692</v>
      </c>
      <c r="X38">
        <v>1</v>
      </c>
      <c r="Y38" s="36">
        <v>0</v>
      </c>
      <c r="Z38"/>
      <c r="AB38" s="80">
        <f>ARTICULOS_MONDELEZ[[#This Row],[Costo]]*ARTICULOS_MONDELEZ[[#This Row],[Pedido]]</f>
        <v>0</v>
      </c>
      <c r="AH38" s="2" t="str">
        <f>IF(AND(ARTICULOS_MONDELEZ[[#This Row],[FechaVenc]]=0,ARTICULOS_MONDELEZ[[#This Row],[DiasVenc]]=0),"",ARTICULOS_MONDELEZ[[#This Row],[FechaVenc]]-ARTICULOS_MONDELEZ[[#This Row],[DiasVenc]])</f>
        <v/>
      </c>
      <c r="AO38" s="30" t="s">
        <v>8689</v>
      </c>
    </row>
    <row r="39" spans="1:41" ht="15.75" x14ac:dyDescent="0.25">
      <c r="A39" s="1" t="s">
        <v>9560</v>
      </c>
      <c r="C39" t="str">
        <f t="shared" si="6"/>
        <v>KIO80024248</v>
      </c>
      <c r="D39" t="s">
        <v>8689</v>
      </c>
      <c r="E39" s="1" t="s">
        <v>9561</v>
      </c>
      <c r="F39" s="61">
        <f t="shared" ref="F39:F42" si="7">F38</f>
        <v>854.03</v>
      </c>
      <c r="G39" s="119">
        <v>0.21</v>
      </c>
      <c r="H39" s="4" t="s">
        <v>8690</v>
      </c>
      <c r="I39">
        <v>6</v>
      </c>
      <c r="J39">
        <v>1</v>
      </c>
      <c r="L39" s="66">
        <f>((ARTICULOS_MONDELEZ[[#This Row],[P. Compra]]*(1+ARTICULOS_MONDELEZ[[#This Row],[IVA]]))/ARTICULOS_MONDELEZ[[#This Row],[UnidFact]])+ARTICULOS_MONDELEZ[[#This Row],[CostoFlete]]</f>
        <v>1033.3762999999999</v>
      </c>
      <c r="M39">
        <v>35</v>
      </c>
      <c r="N39" s="68">
        <f>IF(L39&gt;=5,MROUND((L39*(1+(ARTICULOS_MONDELEZ[[#This Row],[IVA]]/100)))/(1-M39/100),50),10)</f>
        <v>1600</v>
      </c>
      <c r="O39" s="3">
        <f>MROUND(ARTICULOS_MONDELEZ[[#This Row],[Precio]]/0.6,50)</f>
        <v>2650</v>
      </c>
      <c r="P39" t="s">
        <v>8693</v>
      </c>
      <c r="Q39">
        <v>2</v>
      </c>
      <c r="R39" s="3">
        <f>ARTICULOS_MONDELEZ[[#This Row],[Bulto]]+ARTICULOS_MONDELEZ[[#This Row],[Minimo]]</f>
        <v>8</v>
      </c>
      <c r="S39" t="s">
        <v>38</v>
      </c>
      <c r="T39" t="s">
        <v>27</v>
      </c>
      <c r="U39" t="s">
        <v>28</v>
      </c>
      <c r="V39" t="s">
        <v>9557</v>
      </c>
      <c r="W39" t="s">
        <v>8692</v>
      </c>
      <c r="X39">
        <v>1</v>
      </c>
      <c r="Y39" s="36">
        <v>0</v>
      </c>
      <c r="Z39"/>
      <c r="AB39" s="80">
        <f>ARTICULOS_MONDELEZ[[#This Row],[Costo]]*ARTICULOS_MONDELEZ[[#This Row],[Pedido]]</f>
        <v>0</v>
      </c>
      <c r="AH39" s="2" t="str">
        <f>IF(AND(ARTICULOS_MONDELEZ[[#This Row],[FechaVenc]]=0,ARTICULOS_MONDELEZ[[#This Row],[DiasVenc]]=0),"",ARTICULOS_MONDELEZ[[#This Row],[FechaVenc]]-ARTICULOS_MONDELEZ[[#This Row],[DiasVenc]])</f>
        <v/>
      </c>
      <c r="AO39" s="30" t="s">
        <v>8689</v>
      </c>
    </row>
    <row r="40" spans="1:41" ht="15.75" x14ac:dyDescent="0.25">
      <c r="A40" s="1" t="s">
        <v>9562</v>
      </c>
      <c r="C40" t="str">
        <f t="shared" si="6"/>
        <v>KIO77909497</v>
      </c>
      <c r="D40" t="s">
        <v>8689</v>
      </c>
      <c r="E40" s="1" t="s">
        <v>9563</v>
      </c>
      <c r="F40" s="61">
        <f t="shared" si="7"/>
        <v>854.03</v>
      </c>
      <c r="G40" s="119">
        <v>0.21</v>
      </c>
      <c r="H40" s="4" t="s">
        <v>8690</v>
      </c>
      <c r="I40">
        <v>6</v>
      </c>
      <c r="J40">
        <v>1</v>
      </c>
      <c r="L40" s="66">
        <f>((ARTICULOS_MONDELEZ[[#This Row],[P. Compra]]*(1+ARTICULOS_MONDELEZ[[#This Row],[IVA]]))/ARTICULOS_MONDELEZ[[#This Row],[UnidFact]])+ARTICULOS_MONDELEZ[[#This Row],[CostoFlete]]</f>
        <v>1033.3762999999999</v>
      </c>
      <c r="M40">
        <v>35</v>
      </c>
      <c r="N40" s="68">
        <f>IF(L40&gt;=5,MROUND((L40*(1+(ARTICULOS_MONDELEZ[[#This Row],[IVA]]/100)))/(1-M40/100),50),10)</f>
        <v>1600</v>
      </c>
      <c r="O40" s="3">
        <f>MROUND(ARTICULOS_MONDELEZ[[#This Row],[Precio]]/0.6,50)</f>
        <v>2650</v>
      </c>
      <c r="P40" t="s">
        <v>8693</v>
      </c>
      <c r="Q40">
        <v>2</v>
      </c>
      <c r="R40" s="3">
        <f>ARTICULOS_MONDELEZ[[#This Row],[Bulto]]+ARTICULOS_MONDELEZ[[#This Row],[Minimo]]</f>
        <v>8</v>
      </c>
      <c r="S40" t="s">
        <v>38</v>
      </c>
      <c r="T40" t="s">
        <v>27</v>
      </c>
      <c r="U40" t="s">
        <v>28</v>
      </c>
      <c r="V40" t="s">
        <v>9557</v>
      </c>
      <c r="W40" t="s">
        <v>8692</v>
      </c>
      <c r="X40">
        <v>1</v>
      </c>
      <c r="Y40" s="36">
        <v>0</v>
      </c>
      <c r="Z40"/>
      <c r="AB40" s="80">
        <f>ARTICULOS_MONDELEZ[[#This Row],[Costo]]*ARTICULOS_MONDELEZ[[#This Row],[Pedido]]</f>
        <v>0</v>
      </c>
      <c r="AH40" s="2" t="str">
        <f>IF(AND(ARTICULOS_MONDELEZ[[#This Row],[FechaVenc]]=0,ARTICULOS_MONDELEZ[[#This Row],[DiasVenc]]=0),"",ARTICULOS_MONDELEZ[[#This Row],[FechaVenc]]-ARTICULOS_MONDELEZ[[#This Row],[DiasVenc]])</f>
        <v/>
      </c>
      <c r="AO40" s="30" t="s">
        <v>8689</v>
      </c>
    </row>
    <row r="41" spans="1:41" ht="15.75" x14ac:dyDescent="0.25">
      <c r="A41" s="1" t="s">
        <v>9564</v>
      </c>
      <c r="C41" t="str">
        <f t="shared" si="6"/>
        <v>KIO77917911</v>
      </c>
      <c r="D41" t="s">
        <v>8689</v>
      </c>
      <c r="E41" s="1" t="s">
        <v>9565</v>
      </c>
      <c r="F41" s="61">
        <f t="shared" si="7"/>
        <v>854.03</v>
      </c>
      <c r="G41" s="119">
        <v>0.21</v>
      </c>
      <c r="H41" s="4" t="s">
        <v>8690</v>
      </c>
      <c r="I41">
        <v>6</v>
      </c>
      <c r="J41">
        <v>1</v>
      </c>
      <c r="L41" s="66">
        <f>((ARTICULOS_MONDELEZ[[#This Row],[P. Compra]]*(1+ARTICULOS_MONDELEZ[[#This Row],[IVA]]))/ARTICULOS_MONDELEZ[[#This Row],[UnidFact]])+ARTICULOS_MONDELEZ[[#This Row],[CostoFlete]]</f>
        <v>1033.3762999999999</v>
      </c>
      <c r="M41">
        <v>35</v>
      </c>
      <c r="N41" s="68">
        <f>IF(L41&gt;=5,MROUND((L41*(1+(ARTICULOS_MONDELEZ[[#This Row],[IVA]]/100)))/(1-M41/100),50),10)</f>
        <v>1600</v>
      </c>
      <c r="O41" s="3">
        <f>MROUND(ARTICULOS_MONDELEZ[[#This Row],[Precio]]/0.6,50)</f>
        <v>2650</v>
      </c>
      <c r="P41" t="s">
        <v>8693</v>
      </c>
      <c r="Q41">
        <v>2</v>
      </c>
      <c r="R41" s="3">
        <f>ARTICULOS_MONDELEZ[[#This Row],[Bulto]]+ARTICULOS_MONDELEZ[[#This Row],[Minimo]]</f>
        <v>8</v>
      </c>
      <c r="S41" t="s">
        <v>38</v>
      </c>
      <c r="T41" t="s">
        <v>27</v>
      </c>
      <c r="U41" t="s">
        <v>28</v>
      </c>
      <c r="V41" t="s">
        <v>9557</v>
      </c>
      <c r="W41" t="s">
        <v>8692</v>
      </c>
      <c r="X41">
        <v>1</v>
      </c>
      <c r="Y41" s="36">
        <v>0</v>
      </c>
      <c r="Z41"/>
      <c r="AB41" s="80">
        <f>ARTICULOS_MONDELEZ[[#This Row],[Costo]]*ARTICULOS_MONDELEZ[[#This Row],[Pedido]]</f>
        <v>0</v>
      </c>
      <c r="AH41" s="2" t="str">
        <f>IF(AND(ARTICULOS_MONDELEZ[[#This Row],[FechaVenc]]=0,ARTICULOS_MONDELEZ[[#This Row],[DiasVenc]]=0),"",ARTICULOS_MONDELEZ[[#This Row],[FechaVenc]]-ARTICULOS_MONDELEZ[[#This Row],[DiasVenc]])</f>
        <v/>
      </c>
      <c r="AO41" s="30" t="s">
        <v>8689</v>
      </c>
    </row>
    <row r="42" spans="1:41" ht="15.75" x14ac:dyDescent="0.25">
      <c r="A42" s="1" t="s">
        <v>9566</v>
      </c>
      <c r="C42" t="str">
        <f t="shared" si="6"/>
        <v>KIO80024569</v>
      </c>
      <c r="D42" t="s">
        <v>8689</v>
      </c>
      <c r="E42" s="1" t="s">
        <v>9567</v>
      </c>
      <c r="F42" s="61">
        <f t="shared" si="7"/>
        <v>854.03</v>
      </c>
      <c r="G42" s="119">
        <v>0.21</v>
      </c>
      <c r="H42" s="4" t="s">
        <v>8690</v>
      </c>
      <c r="I42">
        <v>6</v>
      </c>
      <c r="J42">
        <v>1</v>
      </c>
      <c r="L42" s="66">
        <f>((ARTICULOS_MONDELEZ[[#This Row],[P. Compra]]*(1+ARTICULOS_MONDELEZ[[#This Row],[IVA]]))/ARTICULOS_MONDELEZ[[#This Row],[UnidFact]])+ARTICULOS_MONDELEZ[[#This Row],[CostoFlete]]</f>
        <v>1033.3762999999999</v>
      </c>
      <c r="M42">
        <v>35</v>
      </c>
      <c r="N42" s="68">
        <f>IF(L42&gt;=5,MROUND((L42*(1+(ARTICULOS_MONDELEZ[[#This Row],[IVA]]/100)))/(1-M42/100),50),10)</f>
        <v>1600</v>
      </c>
      <c r="O42" s="3">
        <f>MROUND(ARTICULOS_MONDELEZ[[#This Row],[Precio]]/0.6,50)</f>
        <v>2650</v>
      </c>
      <c r="P42" t="s">
        <v>8693</v>
      </c>
      <c r="Q42">
        <v>2</v>
      </c>
      <c r="R42" s="3">
        <f>ARTICULOS_MONDELEZ[[#This Row],[Bulto]]+ARTICULOS_MONDELEZ[[#This Row],[Minimo]]</f>
        <v>8</v>
      </c>
      <c r="S42" t="s">
        <v>38</v>
      </c>
      <c r="T42" t="s">
        <v>27</v>
      </c>
      <c r="U42" t="s">
        <v>28</v>
      </c>
      <c r="V42" t="s">
        <v>9557</v>
      </c>
      <c r="W42" t="s">
        <v>8692</v>
      </c>
      <c r="X42">
        <v>1</v>
      </c>
      <c r="Y42" s="36">
        <v>0</v>
      </c>
      <c r="Z42"/>
      <c r="AB42" s="80">
        <f>ARTICULOS_MONDELEZ[[#This Row],[Costo]]*ARTICULOS_MONDELEZ[[#This Row],[Pedido]]</f>
        <v>0</v>
      </c>
      <c r="AH42" s="2" t="str">
        <f>IF(AND(ARTICULOS_MONDELEZ[[#This Row],[FechaVenc]]=0,ARTICULOS_MONDELEZ[[#This Row],[DiasVenc]]=0),"",ARTICULOS_MONDELEZ[[#This Row],[FechaVenc]]-ARTICULOS_MONDELEZ[[#This Row],[DiasVenc]])</f>
        <v/>
      </c>
      <c r="AO42" s="30" t="s">
        <v>8689</v>
      </c>
    </row>
    <row r="43" spans="1:41" ht="15.75" x14ac:dyDescent="0.25">
      <c r="A43" s="1" t="s">
        <v>9568</v>
      </c>
      <c r="C43" t="str">
        <f t="shared" si="6"/>
        <v>KIO80024262</v>
      </c>
      <c r="D43" t="s">
        <v>8689</v>
      </c>
      <c r="E43" s="1" t="s">
        <v>9569</v>
      </c>
      <c r="F43" s="61">
        <v>1987.52</v>
      </c>
      <c r="G43" s="119">
        <v>0.21</v>
      </c>
      <c r="H43" s="4" t="s">
        <v>8690</v>
      </c>
      <c r="I43">
        <v>6</v>
      </c>
      <c r="J43">
        <v>1</v>
      </c>
      <c r="L43" s="66">
        <f>((ARTICULOS_MONDELEZ[[#This Row],[P. Compra]]*(1+ARTICULOS_MONDELEZ[[#This Row],[IVA]]))/ARTICULOS_MONDELEZ[[#This Row],[UnidFact]])+ARTICULOS_MONDELEZ[[#This Row],[CostoFlete]]</f>
        <v>2404.8991999999998</v>
      </c>
      <c r="M43">
        <v>35</v>
      </c>
      <c r="N43" s="68">
        <f>IF(L43&gt;=5,MROUND((L43*(1+(ARTICULOS_MONDELEZ[[#This Row],[IVA]]/100)))/(1-M43/100),50),10)</f>
        <v>3700</v>
      </c>
      <c r="O43" s="3">
        <f>MROUND(ARTICULOS_MONDELEZ[[#This Row],[Precio]]/0.6,50)</f>
        <v>6150</v>
      </c>
      <c r="P43" t="s">
        <v>8693</v>
      </c>
      <c r="Q43">
        <v>2</v>
      </c>
      <c r="R43" s="3">
        <f>ARTICULOS_MONDELEZ[[#This Row],[Bulto]]+ARTICULOS_MONDELEZ[[#This Row],[Minimo]]</f>
        <v>8</v>
      </c>
      <c r="S43" t="s">
        <v>38</v>
      </c>
      <c r="T43" t="s">
        <v>27</v>
      </c>
      <c r="U43" t="s">
        <v>28</v>
      </c>
      <c r="V43" t="s">
        <v>9557</v>
      </c>
      <c r="W43" t="s">
        <v>8692</v>
      </c>
      <c r="X43">
        <v>1</v>
      </c>
      <c r="Y43" s="36">
        <v>0</v>
      </c>
      <c r="Z43"/>
      <c r="AB43" s="80">
        <f>ARTICULOS_MONDELEZ[[#This Row],[Costo]]*ARTICULOS_MONDELEZ[[#This Row],[Pedido]]</f>
        <v>0</v>
      </c>
      <c r="AH43" s="2" t="str">
        <f>IF(AND(ARTICULOS_MONDELEZ[[#This Row],[FechaVenc]]=0,ARTICULOS_MONDELEZ[[#This Row],[DiasVenc]]=0),"",ARTICULOS_MONDELEZ[[#This Row],[FechaVenc]]-ARTICULOS_MONDELEZ[[#This Row],[DiasVenc]])</f>
        <v/>
      </c>
      <c r="AO43" s="30" t="s">
        <v>8689</v>
      </c>
    </row>
    <row r="44" spans="1:41" ht="15.75" x14ac:dyDescent="0.25">
      <c r="A44" s="1" t="s">
        <v>9570</v>
      </c>
      <c r="C44" t="str">
        <f t="shared" si="6"/>
        <v>KIO80005612</v>
      </c>
      <c r="D44" t="s">
        <v>8689</v>
      </c>
      <c r="E44" s="1" t="s">
        <v>9571</v>
      </c>
      <c r="F44" s="61">
        <f>F43</f>
        <v>1987.52</v>
      </c>
      <c r="G44" s="119">
        <v>0.21</v>
      </c>
      <c r="H44" s="4" t="s">
        <v>8690</v>
      </c>
      <c r="I44">
        <v>6</v>
      </c>
      <c r="J44">
        <v>1</v>
      </c>
      <c r="L44" s="66">
        <f>((ARTICULOS_MONDELEZ[[#This Row],[P. Compra]]*(1+ARTICULOS_MONDELEZ[[#This Row],[IVA]]))/ARTICULOS_MONDELEZ[[#This Row],[UnidFact]])+ARTICULOS_MONDELEZ[[#This Row],[CostoFlete]]</f>
        <v>2404.8991999999998</v>
      </c>
      <c r="M44">
        <v>35</v>
      </c>
      <c r="N44" s="68">
        <f>IF(L44&gt;=5,MROUND((L44*(1+(ARTICULOS_MONDELEZ[[#This Row],[IVA]]/100)))/(1-M44/100),50),10)</f>
        <v>3700</v>
      </c>
      <c r="O44" s="3">
        <f>MROUND(ARTICULOS_MONDELEZ[[#This Row],[Precio]]/0.6,50)</f>
        <v>6150</v>
      </c>
      <c r="P44" t="s">
        <v>8693</v>
      </c>
      <c r="Q44">
        <v>2</v>
      </c>
      <c r="R44" s="3">
        <f>ARTICULOS_MONDELEZ[[#This Row],[Bulto]]+ARTICULOS_MONDELEZ[[#This Row],[Minimo]]</f>
        <v>8</v>
      </c>
      <c r="S44" t="s">
        <v>38</v>
      </c>
      <c r="T44" t="s">
        <v>27</v>
      </c>
      <c r="U44" t="s">
        <v>28</v>
      </c>
      <c r="V44" t="s">
        <v>9557</v>
      </c>
      <c r="W44" t="s">
        <v>8692</v>
      </c>
      <c r="X44">
        <v>1</v>
      </c>
      <c r="Y44" s="36">
        <v>9</v>
      </c>
      <c r="Z44"/>
      <c r="AB44" s="80">
        <f>ARTICULOS_MONDELEZ[[#This Row],[Costo]]*ARTICULOS_MONDELEZ[[#This Row],[Pedido]]</f>
        <v>0</v>
      </c>
      <c r="AH44" s="2" t="str">
        <f>IF(AND(ARTICULOS_MONDELEZ[[#This Row],[FechaVenc]]=0,ARTICULOS_MONDELEZ[[#This Row],[DiasVenc]]=0),"",ARTICULOS_MONDELEZ[[#This Row],[FechaVenc]]-ARTICULOS_MONDELEZ[[#This Row],[DiasVenc]])</f>
        <v/>
      </c>
      <c r="AO44" s="30" t="s">
        <v>8689</v>
      </c>
    </row>
    <row r="45" spans="1:41" ht="15.75" x14ac:dyDescent="0.25">
      <c r="A45" s="1" t="s">
        <v>9572</v>
      </c>
      <c r="C45" t="str">
        <f t="shared" si="6"/>
        <v>KIO80024521</v>
      </c>
      <c r="D45" t="s">
        <v>8689</v>
      </c>
      <c r="E45" s="1" t="s">
        <v>9573</v>
      </c>
      <c r="F45" s="61">
        <f>F44</f>
        <v>1987.52</v>
      </c>
      <c r="G45" s="119">
        <v>0.21</v>
      </c>
      <c r="H45" s="4" t="s">
        <v>8690</v>
      </c>
      <c r="I45">
        <v>6</v>
      </c>
      <c r="J45">
        <v>1</v>
      </c>
      <c r="L45" s="66">
        <f>((ARTICULOS_MONDELEZ[[#This Row],[P. Compra]]*(1+ARTICULOS_MONDELEZ[[#This Row],[IVA]]))/ARTICULOS_MONDELEZ[[#This Row],[UnidFact]])+ARTICULOS_MONDELEZ[[#This Row],[CostoFlete]]</f>
        <v>2404.8991999999998</v>
      </c>
      <c r="M45">
        <v>35</v>
      </c>
      <c r="N45" s="68">
        <f>IF(L45&gt;=5,MROUND((L45*(1+(ARTICULOS_MONDELEZ[[#This Row],[IVA]]/100)))/(1-M45/100),50),10)</f>
        <v>3700</v>
      </c>
      <c r="O45" s="3">
        <f>MROUND(ARTICULOS_MONDELEZ[[#This Row],[Precio]]/0.6,50)</f>
        <v>6150</v>
      </c>
      <c r="P45" t="s">
        <v>8693</v>
      </c>
      <c r="Q45">
        <v>2</v>
      </c>
      <c r="R45" s="3">
        <f>ARTICULOS_MONDELEZ[[#This Row],[Bulto]]+ARTICULOS_MONDELEZ[[#This Row],[Minimo]]</f>
        <v>8</v>
      </c>
      <c r="S45" t="s">
        <v>38</v>
      </c>
      <c r="T45" t="s">
        <v>27</v>
      </c>
      <c r="U45" t="s">
        <v>28</v>
      </c>
      <c r="V45" t="s">
        <v>9557</v>
      </c>
      <c r="W45" t="s">
        <v>8692</v>
      </c>
      <c r="X45">
        <v>1</v>
      </c>
      <c r="Y45" s="36">
        <v>0</v>
      </c>
      <c r="Z45"/>
      <c r="AB45" s="80">
        <f>ARTICULOS_MONDELEZ[[#This Row],[Costo]]*ARTICULOS_MONDELEZ[[#This Row],[Pedido]]</f>
        <v>0</v>
      </c>
      <c r="AH45" s="2" t="str">
        <f>IF(AND(ARTICULOS_MONDELEZ[[#This Row],[FechaVenc]]=0,ARTICULOS_MONDELEZ[[#This Row],[DiasVenc]]=0),"",ARTICULOS_MONDELEZ[[#This Row],[FechaVenc]]-ARTICULOS_MONDELEZ[[#This Row],[DiasVenc]])</f>
        <v/>
      </c>
      <c r="AO45" s="30" t="s">
        <v>8689</v>
      </c>
    </row>
    <row r="46" spans="1:41" ht="15.75" x14ac:dyDescent="0.25">
      <c r="A46" s="1" t="s">
        <v>9574</v>
      </c>
      <c r="C46" t="str">
        <f t="shared" si="6"/>
        <v>KIO77969330</v>
      </c>
      <c r="D46" t="s">
        <v>8689</v>
      </c>
      <c r="E46" s="1" t="s">
        <v>9575</v>
      </c>
      <c r="F46" s="61">
        <v>6741.76</v>
      </c>
      <c r="G46" s="119">
        <v>0.21</v>
      </c>
      <c r="H46" s="4" t="s">
        <v>8690</v>
      </c>
      <c r="I46">
        <v>24</v>
      </c>
      <c r="J46">
        <v>24</v>
      </c>
      <c r="L46" s="66">
        <f>((ARTICULOS_MONDELEZ[[#This Row],[P. Compra]]*(1+ARTICULOS_MONDELEZ[[#This Row],[IVA]]))/ARTICULOS_MONDELEZ[[#This Row],[UnidFact]])+ARTICULOS_MONDELEZ[[#This Row],[CostoFlete]]</f>
        <v>339.89706666666666</v>
      </c>
      <c r="M46">
        <v>35</v>
      </c>
      <c r="N46" s="68">
        <f>IF(L46&gt;=5,MROUND((L46*(1+(ARTICULOS_MONDELEZ[[#This Row],[IVA]]/100)))/(1-M46/100),50),10)</f>
        <v>500</v>
      </c>
      <c r="O46" s="3">
        <f>MROUND(ARTICULOS_MONDELEZ[[#This Row],[Precio]]/0.6,50)</f>
        <v>850</v>
      </c>
      <c r="P46" t="s">
        <v>8693</v>
      </c>
      <c r="Q46">
        <v>2</v>
      </c>
      <c r="R46" s="3">
        <f>ARTICULOS_MONDELEZ[[#This Row],[Bulto]]+ARTICULOS_MONDELEZ[[#This Row],[Minimo]]</f>
        <v>26</v>
      </c>
      <c r="S46" t="s">
        <v>38</v>
      </c>
      <c r="T46" t="s">
        <v>27</v>
      </c>
      <c r="U46" t="s">
        <v>28</v>
      </c>
      <c r="V46" t="s">
        <v>9557</v>
      </c>
      <c r="W46" t="s">
        <v>8692</v>
      </c>
      <c r="X46">
        <v>1</v>
      </c>
      <c r="Y46" s="36">
        <v>0</v>
      </c>
      <c r="Z46"/>
      <c r="AB46" s="80">
        <f>ARTICULOS_MONDELEZ[[#This Row],[Costo]]*ARTICULOS_MONDELEZ[[#This Row],[Pedido]]</f>
        <v>0</v>
      </c>
      <c r="AH46" s="2" t="str">
        <f>IF(AND(ARTICULOS_MONDELEZ[[#This Row],[FechaVenc]]=0,ARTICULOS_MONDELEZ[[#This Row],[DiasVenc]]=0),"",ARTICULOS_MONDELEZ[[#This Row],[FechaVenc]]-ARTICULOS_MONDELEZ[[#This Row],[DiasVenc]])</f>
        <v/>
      </c>
      <c r="AO46" s="30" t="s">
        <v>8689</v>
      </c>
    </row>
    <row r="47" spans="1:41" ht="15.75" x14ac:dyDescent="0.25">
      <c r="A47" s="1" t="s">
        <v>9576</v>
      </c>
      <c r="C47" t="str">
        <f t="shared" si="6"/>
        <v>KIO01812652</v>
      </c>
      <c r="D47" t="s">
        <v>8689</v>
      </c>
      <c r="E47" s="1" t="s">
        <v>9577</v>
      </c>
      <c r="F47" s="61">
        <v>1066.68</v>
      </c>
      <c r="G47" s="119">
        <v>0.21</v>
      </c>
      <c r="H47" s="4" t="s">
        <v>8690</v>
      </c>
      <c r="I47">
        <v>6</v>
      </c>
      <c r="J47">
        <v>1</v>
      </c>
      <c r="L47" s="66">
        <f>((ARTICULOS_MONDELEZ[[#This Row],[P. Compra]]*(1+ARTICULOS_MONDELEZ[[#This Row],[IVA]]))/ARTICULOS_MONDELEZ[[#This Row],[UnidFact]])+ARTICULOS_MONDELEZ[[#This Row],[CostoFlete]]</f>
        <v>1290.6828</v>
      </c>
      <c r="M47">
        <v>35</v>
      </c>
      <c r="N47" s="68">
        <f>IF(L47&gt;=5,MROUND((L47*(1+(ARTICULOS_MONDELEZ[[#This Row],[IVA]]/100)))/(1-M47/100),50),10)</f>
        <v>2000</v>
      </c>
      <c r="O47" s="3">
        <f>MROUND(ARTICULOS_MONDELEZ[[#This Row],[Precio]]/0.6,50)</f>
        <v>3350</v>
      </c>
      <c r="P47" t="s">
        <v>8693</v>
      </c>
      <c r="Q47">
        <v>2</v>
      </c>
      <c r="R47" s="3">
        <f>ARTICULOS_MONDELEZ[[#This Row],[Bulto]]+ARTICULOS_MONDELEZ[[#This Row],[Minimo]]</f>
        <v>8</v>
      </c>
      <c r="S47" t="s">
        <v>38</v>
      </c>
      <c r="T47" t="s">
        <v>27</v>
      </c>
      <c r="U47" t="s">
        <v>28</v>
      </c>
      <c r="V47" t="s">
        <v>9578</v>
      </c>
      <c r="W47" t="s">
        <v>8692</v>
      </c>
      <c r="X47">
        <v>1</v>
      </c>
      <c r="Y47" s="36">
        <v>0</v>
      </c>
      <c r="Z47"/>
      <c r="AB47" s="80">
        <f>ARTICULOS_MONDELEZ[[#This Row],[Costo]]*ARTICULOS_MONDELEZ[[#This Row],[Pedido]]</f>
        <v>0</v>
      </c>
      <c r="AH47" s="2" t="str">
        <f>IF(AND(ARTICULOS_MONDELEZ[[#This Row],[FechaVenc]]=0,ARTICULOS_MONDELEZ[[#This Row],[DiasVenc]]=0),"",ARTICULOS_MONDELEZ[[#This Row],[FechaVenc]]-ARTICULOS_MONDELEZ[[#This Row],[DiasVenc]])</f>
        <v/>
      </c>
      <c r="AO47" s="30" t="s">
        <v>8689</v>
      </c>
    </row>
    <row r="48" spans="1:41" ht="15.75" x14ac:dyDescent="0.25">
      <c r="A48" s="1" t="s">
        <v>9579</v>
      </c>
      <c r="C48" t="str">
        <f t="shared" si="6"/>
        <v>KIO01816384</v>
      </c>
      <c r="D48" t="s">
        <v>8689</v>
      </c>
      <c r="E48" s="1" t="s">
        <v>9580</v>
      </c>
      <c r="F48" s="61">
        <v>5920.47</v>
      </c>
      <c r="G48" s="119">
        <v>0.21</v>
      </c>
      <c r="H48" s="4" t="s">
        <v>8690</v>
      </c>
      <c r="I48">
        <v>16</v>
      </c>
      <c r="J48">
        <v>16</v>
      </c>
      <c r="L48" s="66">
        <f>((ARTICULOS_MONDELEZ[[#This Row],[P. Compra]]*(1+ARTICULOS_MONDELEZ[[#This Row],[IVA]]))/ARTICULOS_MONDELEZ[[#This Row],[UnidFact]])+ARTICULOS_MONDELEZ[[#This Row],[CostoFlete]]</f>
        <v>447.73554375000003</v>
      </c>
      <c r="M48">
        <v>35</v>
      </c>
      <c r="N48" s="68">
        <f>IF(L48&gt;=5,MROUND((L48*(1+(ARTICULOS_MONDELEZ[[#This Row],[IVA]]/100)))/(1-M48/100),50),10)</f>
        <v>700</v>
      </c>
      <c r="O48" s="3">
        <f>MROUND(ARTICULOS_MONDELEZ[[#This Row],[Precio]]/0.6,50)</f>
        <v>1150</v>
      </c>
      <c r="P48" t="s">
        <v>8693</v>
      </c>
      <c r="Q48">
        <v>4</v>
      </c>
      <c r="R48" s="3">
        <f>ARTICULOS_MONDELEZ[[#This Row],[Bulto]]+ARTICULOS_MONDELEZ[[#This Row],[Minimo]]</f>
        <v>20</v>
      </c>
      <c r="S48" t="s">
        <v>38</v>
      </c>
      <c r="T48" t="s">
        <v>27</v>
      </c>
      <c r="U48" t="s">
        <v>28</v>
      </c>
      <c r="V48" t="s">
        <v>9578</v>
      </c>
      <c r="W48" t="s">
        <v>8692</v>
      </c>
      <c r="X48">
        <v>1</v>
      </c>
      <c r="Y48" s="36">
        <v>0</v>
      </c>
      <c r="Z48"/>
      <c r="AB48" s="80">
        <f>ARTICULOS_MONDELEZ[[#This Row],[Costo]]*ARTICULOS_MONDELEZ[[#This Row],[Pedido]]</f>
        <v>0</v>
      </c>
      <c r="AH48" s="2" t="str">
        <f>IF(AND(ARTICULOS_MONDELEZ[[#This Row],[FechaVenc]]=0,ARTICULOS_MONDELEZ[[#This Row],[DiasVenc]]=0),"",ARTICULOS_MONDELEZ[[#This Row],[FechaVenc]]-ARTICULOS_MONDELEZ[[#This Row],[DiasVenc]])</f>
        <v/>
      </c>
      <c r="AO48" s="30" t="s">
        <v>8689</v>
      </c>
    </row>
    <row r="49" spans="1:41" ht="15.75" x14ac:dyDescent="0.25">
      <c r="A49" s="1" t="s">
        <v>9581</v>
      </c>
      <c r="C49" t="str">
        <f t="shared" si="6"/>
        <v>KIO01816414</v>
      </c>
      <c r="D49" t="s">
        <v>8689</v>
      </c>
      <c r="E49" s="1" t="s">
        <v>9582</v>
      </c>
      <c r="F49" s="61">
        <v>533.98</v>
      </c>
      <c r="G49" s="119">
        <v>0.21</v>
      </c>
      <c r="H49" s="4" t="s">
        <v>8690</v>
      </c>
      <c r="I49">
        <v>6</v>
      </c>
      <c r="J49">
        <v>1</v>
      </c>
      <c r="L49" s="66">
        <f>((ARTICULOS_MONDELEZ[[#This Row],[P. Compra]]*(1+ARTICULOS_MONDELEZ[[#This Row],[IVA]]))/ARTICULOS_MONDELEZ[[#This Row],[UnidFact]])+ARTICULOS_MONDELEZ[[#This Row],[CostoFlete]]</f>
        <v>646.11580000000004</v>
      </c>
      <c r="M49">
        <v>35</v>
      </c>
      <c r="N49" s="68">
        <f>IF(L49&gt;=5,MROUND((L49*(1+(ARTICULOS_MONDELEZ[[#This Row],[IVA]]/100)))/(1-M49/100),50),10)</f>
        <v>1000</v>
      </c>
      <c r="O49" s="3">
        <f>MROUND(ARTICULOS_MONDELEZ[[#This Row],[Precio]]/0.6,50)</f>
        <v>1650</v>
      </c>
      <c r="P49" t="s">
        <v>8693</v>
      </c>
      <c r="Q49">
        <v>2</v>
      </c>
      <c r="R49" s="3">
        <f>ARTICULOS_MONDELEZ[[#This Row],[Bulto]]+ARTICULOS_MONDELEZ[[#This Row],[Minimo]]</f>
        <v>8</v>
      </c>
      <c r="S49" t="s">
        <v>38</v>
      </c>
      <c r="T49" t="s">
        <v>27</v>
      </c>
      <c r="U49" t="s">
        <v>28</v>
      </c>
      <c r="V49" t="s">
        <v>9578</v>
      </c>
      <c r="W49" t="s">
        <v>8692</v>
      </c>
      <c r="X49">
        <v>1</v>
      </c>
      <c r="Y49" s="36">
        <v>0</v>
      </c>
      <c r="Z49"/>
      <c r="AB49" s="80">
        <f>ARTICULOS_MONDELEZ[[#This Row],[Costo]]*ARTICULOS_MONDELEZ[[#This Row],[Pedido]]</f>
        <v>0</v>
      </c>
      <c r="AH49" s="2" t="str">
        <f>IF(AND(ARTICULOS_MONDELEZ[[#This Row],[FechaVenc]]=0,ARTICULOS_MONDELEZ[[#This Row],[DiasVenc]]=0),"",ARTICULOS_MONDELEZ[[#This Row],[FechaVenc]]-ARTICULOS_MONDELEZ[[#This Row],[DiasVenc]])</f>
        <v/>
      </c>
      <c r="AO49" s="30" t="s">
        <v>8689</v>
      </c>
    </row>
    <row r="50" spans="1:41" ht="15.75" x14ac:dyDescent="0.25">
      <c r="A50" s="1" t="s">
        <v>9583</v>
      </c>
      <c r="C50" t="str">
        <f t="shared" si="6"/>
        <v>KIO01816445</v>
      </c>
      <c r="D50" t="s">
        <v>8689</v>
      </c>
      <c r="E50" s="1" t="s">
        <v>9584</v>
      </c>
      <c r="F50" s="61">
        <v>625.35</v>
      </c>
      <c r="G50" s="119">
        <v>0.21</v>
      </c>
      <c r="H50" s="4" t="s">
        <v>8690</v>
      </c>
      <c r="I50">
        <v>6</v>
      </c>
      <c r="J50">
        <v>1</v>
      </c>
      <c r="L50" s="66">
        <f>((ARTICULOS_MONDELEZ[[#This Row],[P. Compra]]*(1+ARTICULOS_MONDELEZ[[#This Row],[IVA]]))/ARTICULOS_MONDELEZ[[#This Row],[UnidFact]])+ARTICULOS_MONDELEZ[[#This Row],[CostoFlete]]</f>
        <v>756.67349999999999</v>
      </c>
      <c r="M50">
        <v>35</v>
      </c>
      <c r="N50" s="68">
        <f>IF(L50&gt;=5,MROUND((L50*(1+(ARTICULOS_MONDELEZ[[#This Row],[IVA]]/100)))/(1-M50/100),50),10)</f>
        <v>1150</v>
      </c>
      <c r="O50" s="3">
        <f>MROUND(ARTICULOS_MONDELEZ[[#This Row],[Precio]]/0.6,50)</f>
        <v>1900</v>
      </c>
      <c r="P50" t="s">
        <v>8693</v>
      </c>
      <c r="Q50">
        <v>2</v>
      </c>
      <c r="R50" s="3">
        <f>ARTICULOS_MONDELEZ[[#This Row],[Bulto]]+ARTICULOS_MONDELEZ[[#This Row],[Minimo]]</f>
        <v>8</v>
      </c>
      <c r="S50" t="s">
        <v>38</v>
      </c>
      <c r="T50" t="s">
        <v>27</v>
      </c>
      <c r="U50" t="s">
        <v>28</v>
      </c>
      <c r="V50" t="s">
        <v>9578</v>
      </c>
      <c r="W50" t="s">
        <v>8692</v>
      </c>
      <c r="X50">
        <v>1</v>
      </c>
      <c r="Y50" s="36">
        <v>0</v>
      </c>
      <c r="Z50"/>
      <c r="AB50" s="80">
        <f>ARTICULOS_MONDELEZ[[#This Row],[Costo]]*ARTICULOS_MONDELEZ[[#This Row],[Pedido]]</f>
        <v>0</v>
      </c>
      <c r="AH50" s="2" t="str">
        <f>IF(AND(ARTICULOS_MONDELEZ[[#This Row],[FechaVenc]]=0,ARTICULOS_MONDELEZ[[#This Row],[DiasVenc]]=0),"",ARTICULOS_MONDELEZ[[#This Row],[FechaVenc]]-ARTICULOS_MONDELEZ[[#This Row],[DiasVenc]])</f>
        <v/>
      </c>
      <c r="AO50" s="30" t="s">
        <v>8689</v>
      </c>
    </row>
    <row r="51" spans="1:41" ht="15.75" x14ac:dyDescent="0.25">
      <c r="A51" s="1" t="s">
        <v>9585</v>
      </c>
      <c r="C51" t="str">
        <f t="shared" si="6"/>
        <v>KIO01812676</v>
      </c>
      <c r="D51" t="s">
        <v>8689</v>
      </c>
      <c r="E51" s="1" t="s">
        <v>9586</v>
      </c>
      <c r="F51" s="61">
        <v>1262.42</v>
      </c>
      <c r="G51" s="119">
        <v>0.21</v>
      </c>
      <c r="H51" s="4" t="s">
        <v>8690</v>
      </c>
      <c r="I51">
        <v>6</v>
      </c>
      <c r="J51">
        <v>1</v>
      </c>
      <c r="L51" s="66">
        <f>((ARTICULOS_MONDELEZ[[#This Row],[P. Compra]]*(1+ARTICULOS_MONDELEZ[[#This Row],[IVA]]))/ARTICULOS_MONDELEZ[[#This Row],[UnidFact]])+ARTICULOS_MONDELEZ[[#This Row],[CostoFlete]]</f>
        <v>1527.5282</v>
      </c>
      <c r="M51">
        <v>35</v>
      </c>
      <c r="N51" s="68">
        <f>IF(L51&gt;=5,MROUND((L51*(1+(ARTICULOS_MONDELEZ[[#This Row],[IVA]]/100)))/(1-M51/100),50),10)</f>
        <v>2350</v>
      </c>
      <c r="O51" s="3">
        <f>MROUND(ARTICULOS_MONDELEZ[[#This Row],[Precio]]/0.6,50)</f>
        <v>3900</v>
      </c>
      <c r="P51" t="s">
        <v>8693</v>
      </c>
      <c r="Q51">
        <v>2</v>
      </c>
      <c r="R51" s="3">
        <f>ARTICULOS_MONDELEZ[[#This Row],[Bulto]]+ARTICULOS_MONDELEZ[[#This Row],[Minimo]]</f>
        <v>8</v>
      </c>
      <c r="S51" t="s">
        <v>38</v>
      </c>
      <c r="T51" t="s">
        <v>27</v>
      </c>
      <c r="U51" t="s">
        <v>28</v>
      </c>
      <c r="V51" t="s">
        <v>9578</v>
      </c>
      <c r="W51" t="s">
        <v>8692</v>
      </c>
      <c r="X51">
        <v>1</v>
      </c>
      <c r="Y51" s="36">
        <v>0</v>
      </c>
      <c r="Z51"/>
      <c r="AB51" s="80">
        <f>ARTICULOS_MONDELEZ[[#This Row],[Costo]]*ARTICULOS_MONDELEZ[[#This Row],[Pedido]]</f>
        <v>0</v>
      </c>
      <c r="AH51" s="2" t="str">
        <f>IF(AND(ARTICULOS_MONDELEZ[[#This Row],[FechaVenc]]=0,ARTICULOS_MONDELEZ[[#This Row],[DiasVenc]]=0),"",ARTICULOS_MONDELEZ[[#This Row],[FechaVenc]]-ARTICULOS_MONDELEZ[[#This Row],[DiasVenc]])</f>
        <v/>
      </c>
      <c r="AO51" s="30" t="s">
        <v>8689</v>
      </c>
    </row>
    <row r="52" spans="1:41" ht="15.75" x14ac:dyDescent="0.25">
      <c r="A52" s="1" t="s">
        <v>9587</v>
      </c>
      <c r="C52" t="str">
        <f t="shared" si="6"/>
        <v>KIO10795625</v>
      </c>
      <c r="D52" t="s">
        <v>8689</v>
      </c>
      <c r="E52" s="1" t="s">
        <v>9588</v>
      </c>
      <c r="F52" s="61">
        <v>420.22</v>
      </c>
      <c r="G52" s="119">
        <v>0.21</v>
      </c>
      <c r="H52" s="4" t="s">
        <v>8690</v>
      </c>
      <c r="I52">
        <v>6</v>
      </c>
      <c r="J52">
        <v>1</v>
      </c>
      <c r="L52" s="66">
        <f>((ARTICULOS_MONDELEZ[[#This Row],[P. Compra]]*(1+ARTICULOS_MONDELEZ[[#This Row],[IVA]]))/ARTICULOS_MONDELEZ[[#This Row],[UnidFact]])+ARTICULOS_MONDELEZ[[#This Row],[CostoFlete]]</f>
        <v>508.46620000000001</v>
      </c>
      <c r="M52">
        <v>35</v>
      </c>
      <c r="N52" s="68">
        <f>IF(L52&gt;=5,MROUND((L52*(1+(ARTICULOS_MONDELEZ[[#This Row],[IVA]]/100)))/(1-M52/100),50),10)</f>
        <v>800</v>
      </c>
      <c r="O52" s="3">
        <f>MROUND(ARTICULOS_MONDELEZ[[#This Row],[Precio]]/0.6,50)</f>
        <v>1350</v>
      </c>
      <c r="P52" t="s">
        <v>8693</v>
      </c>
      <c r="Q52">
        <v>2</v>
      </c>
      <c r="R52" s="3">
        <f>ARTICULOS_MONDELEZ[[#This Row],[Bulto]]+ARTICULOS_MONDELEZ[[#This Row],[Minimo]]</f>
        <v>8</v>
      </c>
      <c r="S52" t="s">
        <v>38</v>
      </c>
      <c r="T52" t="s">
        <v>27</v>
      </c>
      <c r="U52" t="s">
        <v>28</v>
      </c>
      <c r="V52" t="s">
        <v>9477</v>
      </c>
      <c r="W52" t="s">
        <v>8692</v>
      </c>
      <c r="X52">
        <v>1</v>
      </c>
      <c r="Y52" s="36">
        <v>15</v>
      </c>
      <c r="Z52"/>
      <c r="AB52" s="80">
        <f>ARTICULOS_MONDELEZ[[#This Row],[Costo]]*ARTICULOS_MONDELEZ[[#This Row],[Pedido]]</f>
        <v>0</v>
      </c>
      <c r="AH52" s="2" t="str">
        <f>IF(AND(ARTICULOS_MONDELEZ[[#This Row],[FechaVenc]]=0,ARTICULOS_MONDELEZ[[#This Row],[DiasVenc]]=0),"",ARTICULOS_MONDELEZ[[#This Row],[FechaVenc]]-ARTICULOS_MONDELEZ[[#This Row],[DiasVenc]])</f>
        <v/>
      </c>
      <c r="AO52" s="30" t="s">
        <v>8689</v>
      </c>
    </row>
    <row r="53" spans="1:41" ht="15.75" x14ac:dyDescent="0.25">
      <c r="A53" s="1" t="s">
        <v>9589</v>
      </c>
      <c r="C53" t="str">
        <f t="shared" si="6"/>
        <v>KIO10795908</v>
      </c>
      <c r="D53" t="s">
        <v>8689</v>
      </c>
      <c r="E53" s="1" t="s">
        <v>9590</v>
      </c>
      <c r="F53" s="61">
        <f>F52</f>
        <v>420.22</v>
      </c>
      <c r="G53" s="119">
        <v>0.21</v>
      </c>
      <c r="H53" s="4" t="s">
        <v>8690</v>
      </c>
      <c r="I53">
        <v>6</v>
      </c>
      <c r="J53">
        <v>1</v>
      </c>
      <c r="L53" s="66">
        <f>((ARTICULOS_MONDELEZ[[#This Row],[P. Compra]]*(1+ARTICULOS_MONDELEZ[[#This Row],[IVA]]))/ARTICULOS_MONDELEZ[[#This Row],[UnidFact]])+ARTICULOS_MONDELEZ[[#This Row],[CostoFlete]]</f>
        <v>508.46620000000001</v>
      </c>
      <c r="M53">
        <v>35</v>
      </c>
      <c r="N53" s="68">
        <f>IF(L53&gt;=5,MROUND((L53*(1+(ARTICULOS_MONDELEZ[[#This Row],[IVA]]/100)))/(1-M53/100),50),10)</f>
        <v>800</v>
      </c>
      <c r="O53" s="3">
        <f>MROUND(ARTICULOS_MONDELEZ[[#This Row],[Precio]]/0.6,50)</f>
        <v>1350</v>
      </c>
      <c r="P53" t="s">
        <v>8693</v>
      </c>
      <c r="Q53">
        <v>2</v>
      </c>
      <c r="R53" s="3">
        <f>ARTICULOS_MONDELEZ[[#This Row],[Bulto]]+ARTICULOS_MONDELEZ[[#This Row],[Minimo]]</f>
        <v>8</v>
      </c>
      <c r="S53" t="s">
        <v>38</v>
      </c>
      <c r="T53" t="s">
        <v>27</v>
      </c>
      <c r="U53" t="s">
        <v>28</v>
      </c>
      <c r="V53" t="s">
        <v>9477</v>
      </c>
      <c r="W53" t="s">
        <v>8692</v>
      </c>
      <c r="X53">
        <v>1</v>
      </c>
      <c r="Y53" s="36">
        <v>0</v>
      </c>
      <c r="Z53"/>
      <c r="AB53" s="80">
        <f>ARTICULOS_MONDELEZ[[#This Row],[Costo]]*ARTICULOS_MONDELEZ[[#This Row],[Pedido]]</f>
        <v>0</v>
      </c>
      <c r="AH53" s="2" t="str">
        <f>IF(AND(ARTICULOS_MONDELEZ[[#This Row],[FechaVenc]]=0,ARTICULOS_MONDELEZ[[#This Row],[DiasVenc]]=0),"",ARTICULOS_MONDELEZ[[#This Row],[FechaVenc]]-ARTICULOS_MONDELEZ[[#This Row],[DiasVenc]])</f>
        <v/>
      </c>
      <c r="AO53" s="30" t="s">
        <v>8689</v>
      </c>
    </row>
    <row r="54" spans="1:41" ht="15.75" x14ac:dyDescent="0.25">
      <c r="A54" s="1" t="s">
        <v>9591</v>
      </c>
      <c r="C54" t="str">
        <f t="shared" si="6"/>
        <v>KIO10745620</v>
      </c>
      <c r="D54" t="s">
        <v>8689</v>
      </c>
      <c r="E54" s="1" t="s">
        <v>9592</v>
      </c>
      <c r="F54" s="61">
        <v>1379.67</v>
      </c>
      <c r="G54" s="119">
        <v>0.21</v>
      </c>
      <c r="H54" s="4" t="s">
        <v>8690</v>
      </c>
      <c r="I54">
        <v>6</v>
      </c>
      <c r="J54">
        <v>1</v>
      </c>
      <c r="L54" s="66">
        <f>((ARTICULOS_MONDELEZ[[#This Row],[P. Compra]]*(1+ARTICULOS_MONDELEZ[[#This Row],[IVA]]))/ARTICULOS_MONDELEZ[[#This Row],[UnidFact]])+ARTICULOS_MONDELEZ[[#This Row],[CostoFlete]]</f>
        <v>1669.4007000000001</v>
      </c>
      <c r="M54">
        <v>35</v>
      </c>
      <c r="N54" s="68">
        <f>IF(L54&gt;=5,MROUND((L54*(1+(ARTICULOS_MONDELEZ[[#This Row],[IVA]]/100)))/(1-M54/100),50),10)</f>
        <v>2550</v>
      </c>
      <c r="O54" s="3">
        <f>MROUND(ARTICULOS_MONDELEZ[[#This Row],[Precio]]/0.6,50)</f>
        <v>4250</v>
      </c>
      <c r="P54" t="s">
        <v>8693</v>
      </c>
      <c r="Q54">
        <v>2</v>
      </c>
      <c r="R54" s="3">
        <f>ARTICULOS_MONDELEZ[[#This Row],[Bulto]]+ARTICULOS_MONDELEZ[[#This Row],[Minimo]]</f>
        <v>8</v>
      </c>
      <c r="S54" t="s">
        <v>38</v>
      </c>
      <c r="T54" t="s">
        <v>27</v>
      </c>
      <c r="U54" t="s">
        <v>28</v>
      </c>
      <c r="V54" t="s">
        <v>9477</v>
      </c>
      <c r="W54" t="s">
        <v>8692</v>
      </c>
      <c r="X54">
        <v>1</v>
      </c>
      <c r="Y54" s="36">
        <v>0</v>
      </c>
      <c r="Z54"/>
      <c r="AB54" s="80">
        <f>ARTICULOS_MONDELEZ[[#This Row],[Costo]]*ARTICULOS_MONDELEZ[[#This Row],[Pedido]]</f>
        <v>0</v>
      </c>
      <c r="AH54" s="2" t="str">
        <f>IF(AND(ARTICULOS_MONDELEZ[[#This Row],[FechaVenc]]=0,ARTICULOS_MONDELEZ[[#This Row],[DiasVenc]]=0),"",ARTICULOS_MONDELEZ[[#This Row],[FechaVenc]]-ARTICULOS_MONDELEZ[[#This Row],[DiasVenc]])</f>
        <v/>
      </c>
      <c r="AO54" s="30" t="s">
        <v>8689</v>
      </c>
    </row>
    <row r="55" spans="1:41" ht="15.75" x14ac:dyDescent="0.25">
      <c r="A55" s="1" t="s">
        <v>9593</v>
      </c>
      <c r="C55" t="str">
        <f t="shared" si="6"/>
        <v>KIO10745583</v>
      </c>
      <c r="D55" t="s">
        <v>8689</v>
      </c>
      <c r="E55" s="1" t="s">
        <v>9594</v>
      </c>
      <c r="F55" s="61">
        <f>F54</f>
        <v>1379.67</v>
      </c>
      <c r="G55" s="119">
        <v>0.21</v>
      </c>
      <c r="H55" s="4" t="s">
        <v>8690</v>
      </c>
      <c r="I55">
        <v>6</v>
      </c>
      <c r="J55">
        <v>1</v>
      </c>
      <c r="L55" s="66">
        <f>((ARTICULOS_MONDELEZ[[#This Row],[P. Compra]]*(1+ARTICULOS_MONDELEZ[[#This Row],[IVA]]))/ARTICULOS_MONDELEZ[[#This Row],[UnidFact]])+ARTICULOS_MONDELEZ[[#This Row],[CostoFlete]]</f>
        <v>1669.4007000000001</v>
      </c>
      <c r="M55">
        <v>35</v>
      </c>
      <c r="N55" s="68">
        <f>IF(L55&gt;=5,MROUND((L55*(1+(ARTICULOS_MONDELEZ[[#This Row],[IVA]]/100)))/(1-M55/100),50),10)</f>
        <v>2550</v>
      </c>
      <c r="O55" s="3">
        <f>MROUND(ARTICULOS_MONDELEZ[[#This Row],[Precio]]/0.6,50)</f>
        <v>4250</v>
      </c>
      <c r="P55" t="s">
        <v>8693</v>
      </c>
      <c r="Q55">
        <v>2</v>
      </c>
      <c r="R55" s="3">
        <f>ARTICULOS_MONDELEZ[[#This Row],[Bulto]]+ARTICULOS_MONDELEZ[[#This Row],[Minimo]]</f>
        <v>8</v>
      </c>
      <c r="S55" t="s">
        <v>38</v>
      </c>
      <c r="T55" t="s">
        <v>27</v>
      </c>
      <c r="U55" t="s">
        <v>28</v>
      </c>
      <c r="V55" t="s">
        <v>9477</v>
      </c>
      <c r="W55" t="s">
        <v>8692</v>
      </c>
      <c r="X55">
        <v>1</v>
      </c>
      <c r="Y55" s="36">
        <v>0</v>
      </c>
      <c r="Z55"/>
      <c r="AB55" s="80">
        <f>ARTICULOS_MONDELEZ[[#This Row],[Costo]]*ARTICULOS_MONDELEZ[[#This Row],[Pedido]]</f>
        <v>0</v>
      </c>
      <c r="AH55" s="2" t="str">
        <f>IF(AND(ARTICULOS_MONDELEZ[[#This Row],[FechaVenc]]=0,ARTICULOS_MONDELEZ[[#This Row],[DiasVenc]]=0),"",ARTICULOS_MONDELEZ[[#This Row],[FechaVenc]]-ARTICULOS_MONDELEZ[[#This Row],[DiasVenc]])</f>
        <v/>
      </c>
      <c r="AO55" s="30" t="s">
        <v>8689</v>
      </c>
    </row>
    <row r="56" spans="1:41" ht="15.75" x14ac:dyDescent="0.25">
      <c r="A56" s="1" t="s">
        <v>9595</v>
      </c>
      <c r="C56" t="str">
        <f t="shared" si="6"/>
        <v>KIO10745132</v>
      </c>
      <c r="D56" t="s">
        <v>8689</v>
      </c>
      <c r="E56" s="1" t="s">
        <v>9596</v>
      </c>
      <c r="F56" s="61">
        <f t="shared" ref="F56:F58" si="8">F55</f>
        <v>1379.67</v>
      </c>
      <c r="G56" s="119">
        <v>0.21</v>
      </c>
      <c r="H56" s="4" t="s">
        <v>8690</v>
      </c>
      <c r="I56">
        <v>6</v>
      </c>
      <c r="J56">
        <v>1</v>
      </c>
      <c r="L56" s="66">
        <f>((ARTICULOS_MONDELEZ[[#This Row],[P. Compra]]*(1+ARTICULOS_MONDELEZ[[#This Row],[IVA]]))/ARTICULOS_MONDELEZ[[#This Row],[UnidFact]])+ARTICULOS_MONDELEZ[[#This Row],[CostoFlete]]</f>
        <v>1669.4007000000001</v>
      </c>
      <c r="M56">
        <v>35</v>
      </c>
      <c r="N56" s="68">
        <f>IF(L56&gt;=5,MROUND((L56*(1+(ARTICULOS_MONDELEZ[[#This Row],[IVA]]/100)))/(1-M56/100),50),10)</f>
        <v>2550</v>
      </c>
      <c r="O56" s="3">
        <f>MROUND(ARTICULOS_MONDELEZ[[#This Row],[Precio]]/0.6,50)</f>
        <v>4250</v>
      </c>
      <c r="P56" t="s">
        <v>8693</v>
      </c>
      <c r="Q56">
        <v>2</v>
      </c>
      <c r="R56" s="3">
        <f>ARTICULOS_MONDELEZ[[#This Row],[Bulto]]+ARTICULOS_MONDELEZ[[#This Row],[Minimo]]</f>
        <v>8</v>
      </c>
      <c r="S56" t="s">
        <v>38</v>
      </c>
      <c r="T56" t="s">
        <v>27</v>
      </c>
      <c r="U56" t="s">
        <v>28</v>
      </c>
      <c r="V56" t="s">
        <v>9477</v>
      </c>
      <c r="W56" t="s">
        <v>8692</v>
      </c>
      <c r="X56">
        <v>1</v>
      </c>
      <c r="Y56" s="36">
        <v>0</v>
      </c>
      <c r="Z56"/>
      <c r="AB56" s="80">
        <f>ARTICULOS_MONDELEZ[[#This Row],[Costo]]*ARTICULOS_MONDELEZ[[#This Row],[Pedido]]</f>
        <v>0</v>
      </c>
      <c r="AH56" s="2" t="str">
        <f>IF(AND(ARTICULOS_MONDELEZ[[#This Row],[FechaVenc]]=0,ARTICULOS_MONDELEZ[[#This Row],[DiasVenc]]=0),"",ARTICULOS_MONDELEZ[[#This Row],[FechaVenc]]-ARTICULOS_MONDELEZ[[#This Row],[DiasVenc]])</f>
        <v/>
      </c>
      <c r="AO56" s="30" t="s">
        <v>8689</v>
      </c>
    </row>
    <row r="57" spans="1:41" ht="15.75" x14ac:dyDescent="0.25">
      <c r="A57" s="1" t="s">
        <v>9597</v>
      </c>
      <c r="C57" t="str">
        <f t="shared" si="6"/>
        <v>KIO10745293</v>
      </c>
      <c r="D57" t="s">
        <v>8689</v>
      </c>
      <c r="E57" s="1" t="s">
        <v>9598</v>
      </c>
      <c r="F57" s="61">
        <f t="shared" si="8"/>
        <v>1379.67</v>
      </c>
      <c r="G57" s="119">
        <v>0.21</v>
      </c>
      <c r="H57" s="4" t="s">
        <v>8690</v>
      </c>
      <c r="I57">
        <v>6</v>
      </c>
      <c r="J57">
        <v>1</v>
      </c>
      <c r="L57" s="66">
        <f>((ARTICULOS_MONDELEZ[[#This Row],[P. Compra]]*(1+ARTICULOS_MONDELEZ[[#This Row],[IVA]]))/ARTICULOS_MONDELEZ[[#This Row],[UnidFact]])+ARTICULOS_MONDELEZ[[#This Row],[CostoFlete]]</f>
        <v>1669.4007000000001</v>
      </c>
      <c r="M57">
        <v>35</v>
      </c>
      <c r="N57" s="68">
        <f>IF(L57&gt;=5,MROUND((L57*(1+(ARTICULOS_MONDELEZ[[#This Row],[IVA]]/100)))/(1-M57/100),50),10)</f>
        <v>2550</v>
      </c>
      <c r="O57" s="3">
        <f>MROUND(ARTICULOS_MONDELEZ[[#This Row],[Precio]]/0.6,50)</f>
        <v>4250</v>
      </c>
      <c r="P57" t="s">
        <v>8693</v>
      </c>
      <c r="Q57">
        <v>2</v>
      </c>
      <c r="R57" s="3">
        <f>ARTICULOS_MONDELEZ[[#This Row],[Bulto]]+ARTICULOS_MONDELEZ[[#This Row],[Minimo]]</f>
        <v>8</v>
      </c>
      <c r="S57" t="s">
        <v>38</v>
      </c>
      <c r="T57" t="s">
        <v>27</v>
      </c>
      <c r="U57" t="s">
        <v>28</v>
      </c>
      <c r="V57" t="s">
        <v>9477</v>
      </c>
      <c r="W57" t="s">
        <v>8692</v>
      </c>
      <c r="X57">
        <v>1</v>
      </c>
      <c r="Y57" s="36">
        <v>0</v>
      </c>
      <c r="Z57"/>
      <c r="AB57" s="80">
        <f>ARTICULOS_MONDELEZ[[#This Row],[Costo]]*ARTICULOS_MONDELEZ[[#This Row],[Pedido]]</f>
        <v>0</v>
      </c>
      <c r="AH57" s="2" t="str">
        <f>IF(AND(ARTICULOS_MONDELEZ[[#This Row],[FechaVenc]]=0,ARTICULOS_MONDELEZ[[#This Row],[DiasVenc]]=0),"",ARTICULOS_MONDELEZ[[#This Row],[FechaVenc]]-ARTICULOS_MONDELEZ[[#This Row],[DiasVenc]])</f>
        <v/>
      </c>
      <c r="AO57" s="30" t="s">
        <v>8689</v>
      </c>
    </row>
    <row r="58" spans="1:41" ht="15.75" x14ac:dyDescent="0.25">
      <c r="A58" s="1" t="s">
        <v>9599</v>
      </c>
      <c r="C58" t="str">
        <f t="shared" si="6"/>
        <v>KIO10745224</v>
      </c>
      <c r="D58" t="s">
        <v>8689</v>
      </c>
      <c r="E58" s="1" t="s">
        <v>9600</v>
      </c>
      <c r="F58" s="61">
        <f t="shared" si="8"/>
        <v>1379.67</v>
      </c>
      <c r="G58" s="119">
        <v>0.21</v>
      </c>
      <c r="H58" s="4" t="s">
        <v>8690</v>
      </c>
      <c r="I58">
        <v>6</v>
      </c>
      <c r="J58">
        <v>1</v>
      </c>
      <c r="L58" s="66">
        <f>((ARTICULOS_MONDELEZ[[#This Row],[P. Compra]]*(1+ARTICULOS_MONDELEZ[[#This Row],[IVA]]))/ARTICULOS_MONDELEZ[[#This Row],[UnidFact]])+ARTICULOS_MONDELEZ[[#This Row],[CostoFlete]]</f>
        <v>1669.4007000000001</v>
      </c>
      <c r="M58">
        <v>35</v>
      </c>
      <c r="N58" s="68">
        <f>IF(L58&gt;=5,MROUND((L58*(1+(ARTICULOS_MONDELEZ[[#This Row],[IVA]]/100)))/(1-M58/100),50),10)</f>
        <v>2550</v>
      </c>
      <c r="O58" s="3">
        <f>MROUND(ARTICULOS_MONDELEZ[[#This Row],[Precio]]/0.6,50)</f>
        <v>4250</v>
      </c>
      <c r="P58" t="s">
        <v>8693</v>
      </c>
      <c r="Q58">
        <v>2</v>
      </c>
      <c r="R58" s="3">
        <f>ARTICULOS_MONDELEZ[[#This Row],[Bulto]]+ARTICULOS_MONDELEZ[[#This Row],[Minimo]]</f>
        <v>8</v>
      </c>
      <c r="S58" t="s">
        <v>38</v>
      </c>
      <c r="T58" t="s">
        <v>27</v>
      </c>
      <c r="U58" t="s">
        <v>28</v>
      </c>
      <c r="V58" t="s">
        <v>9477</v>
      </c>
      <c r="W58" t="s">
        <v>8692</v>
      </c>
      <c r="X58">
        <v>1</v>
      </c>
      <c r="Y58" s="36">
        <v>5</v>
      </c>
      <c r="Z58"/>
      <c r="AB58" s="80">
        <f>ARTICULOS_MONDELEZ[[#This Row],[Costo]]*ARTICULOS_MONDELEZ[[#This Row],[Pedido]]</f>
        <v>0</v>
      </c>
      <c r="AH58" s="2" t="str">
        <f>IF(AND(ARTICULOS_MONDELEZ[[#This Row],[FechaVenc]]=0,ARTICULOS_MONDELEZ[[#This Row],[DiasVenc]]=0),"",ARTICULOS_MONDELEZ[[#This Row],[FechaVenc]]-ARTICULOS_MONDELEZ[[#This Row],[DiasVenc]])</f>
        <v/>
      </c>
      <c r="AO58" s="30" t="s">
        <v>8689</v>
      </c>
    </row>
    <row r="59" spans="1:41" ht="15.75" x14ac:dyDescent="0.25">
      <c r="A59" s="1" t="s">
        <v>9601</v>
      </c>
      <c r="C59" t="str">
        <f t="shared" si="6"/>
        <v>KIO00844967</v>
      </c>
      <c r="D59" t="s">
        <v>8689</v>
      </c>
      <c r="E59" s="1" t="s">
        <v>9602</v>
      </c>
      <c r="F59" s="61">
        <v>1521.25</v>
      </c>
      <c r="G59" s="119">
        <v>0.21</v>
      </c>
      <c r="H59" s="4" t="s">
        <v>8690</v>
      </c>
      <c r="I59">
        <v>6</v>
      </c>
      <c r="J59">
        <v>1</v>
      </c>
      <c r="L59" s="66">
        <f>((ARTICULOS_MONDELEZ[[#This Row],[P. Compra]]*(1+ARTICULOS_MONDELEZ[[#This Row],[IVA]]))/ARTICULOS_MONDELEZ[[#This Row],[UnidFact]])+ARTICULOS_MONDELEZ[[#This Row],[CostoFlete]]</f>
        <v>1840.7124999999999</v>
      </c>
      <c r="M59">
        <v>35</v>
      </c>
      <c r="N59" s="68">
        <f>IF(L59&gt;=5,MROUND((L59*(1+(ARTICULOS_MONDELEZ[[#This Row],[IVA]]/100)))/(1-M59/100),50),10)</f>
        <v>2850</v>
      </c>
      <c r="O59" s="3">
        <f>MROUND(ARTICULOS_MONDELEZ[[#This Row],[Precio]]/0.6,50)</f>
        <v>4750</v>
      </c>
      <c r="P59" t="s">
        <v>8693</v>
      </c>
      <c r="Q59">
        <v>1</v>
      </c>
      <c r="R59" s="3">
        <f>ARTICULOS_MONDELEZ[[#This Row],[Bulto]]+ARTICULOS_MONDELEZ[[#This Row],[Minimo]]</f>
        <v>7</v>
      </c>
      <c r="S59" t="s">
        <v>38</v>
      </c>
      <c r="T59" t="s">
        <v>27</v>
      </c>
      <c r="U59" t="s">
        <v>28</v>
      </c>
      <c r="V59" t="s">
        <v>9477</v>
      </c>
      <c r="W59" t="s">
        <v>8692</v>
      </c>
      <c r="X59">
        <v>1</v>
      </c>
      <c r="Y59" s="36">
        <v>0</v>
      </c>
      <c r="Z59"/>
      <c r="AB59" s="80">
        <f>ARTICULOS_MONDELEZ[[#This Row],[Costo]]*ARTICULOS_MONDELEZ[[#This Row],[Pedido]]</f>
        <v>0</v>
      </c>
      <c r="AH59" s="2" t="str">
        <f>IF(AND(ARTICULOS_MONDELEZ[[#This Row],[FechaVenc]]=0,ARTICULOS_MONDELEZ[[#This Row],[DiasVenc]]=0),"",ARTICULOS_MONDELEZ[[#This Row],[FechaVenc]]-ARTICULOS_MONDELEZ[[#This Row],[DiasVenc]])</f>
        <v/>
      </c>
      <c r="AO59" s="30" t="s">
        <v>8689</v>
      </c>
    </row>
    <row r="60" spans="1:41" ht="15.75" x14ac:dyDescent="0.25">
      <c r="A60" s="1" t="s">
        <v>9603</v>
      </c>
      <c r="C60" t="str">
        <f t="shared" si="6"/>
        <v>KIO00844943</v>
      </c>
      <c r="D60" t="s">
        <v>8689</v>
      </c>
      <c r="E60" s="1" t="s">
        <v>9604</v>
      </c>
      <c r="F60" s="61">
        <f>F59</f>
        <v>1521.25</v>
      </c>
      <c r="G60" s="119">
        <v>0.21</v>
      </c>
      <c r="H60" s="4" t="s">
        <v>8690</v>
      </c>
      <c r="I60">
        <v>6</v>
      </c>
      <c r="J60">
        <v>1</v>
      </c>
      <c r="L60" s="66">
        <f>((ARTICULOS_MONDELEZ[[#This Row],[P. Compra]]*(1+ARTICULOS_MONDELEZ[[#This Row],[IVA]]))/ARTICULOS_MONDELEZ[[#This Row],[UnidFact]])+ARTICULOS_MONDELEZ[[#This Row],[CostoFlete]]</f>
        <v>1840.7124999999999</v>
      </c>
      <c r="M60">
        <v>35</v>
      </c>
      <c r="N60" s="68">
        <f>IF(L60&gt;=5,MROUND((L60*(1+(ARTICULOS_MONDELEZ[[#This Row],[IVA]]/100)))/(1-M60/100),50),10)</f>
        <v>2850</v>
      </c>
      <c r="O60" s="3">
        <f>MROUND(ARTICULOS_MONDELEZ[[#This Row],[Precio]]/0.6,50)</f>
        <v>4750</v>
      </c>
      <c r="P60" t="s">
        <v>8693</v>
      </c>
      <c r="Q60">
        <v>1</v>
      </c>
      <c r="R60" s="3">
        <f>ARTICULOS_MONDELEZ[[#This Row],[Bulto]]+ARTICULOS_MONDELEZ[[#This Row],[Minimo]]</f>
        <v>7</v>
      </c>
      <c r="S60" t="s">
        <v>38</v>
      </c>
      <c r="T60" t="s">
        <v>27</v>
      </c>
      <c r="U60" t="s">
        <v>28</v>
      </c>
      <c r="V60" t="s">
        <v>9477</v>
      </c>
      <c r="W60" t="s">
        <v>8692</v>
      </c>
      <c r="X60">
        <v>1</v>
      </c>
      <c r="Y60" s="36">
        <v>1</v>
      </c>
      <c r="Z60"/>
      <c r="AB60" s="80">
        <f>ARTICULOS_MONDELEZ[[#This Row],[Costo]]*ARTICULOS_MONDELEZ[[#This Row],[Pedido]]</f>
        <v>0</v>
      </c>
      <c r="AH60" s="2" t="str">
        <f>IF(AND(ARTICULOS_MONDELEZ[[#This Row],[FechaVenc]]=0,ARTICULOS_MONDELEZ[[#This Row],[DiasVenc]]=0),"",ARTICULOS_MONDELEZ[[#This Row],[FechaVenc]]-ARTICULOS_MONDELEZ[[#This Row],[DiasVenc]])</f>
        <v/>
      </c>
      <c r="AO60" s="30" t="s">
        <v>8689</v>
      </c>
    </row>
    <row r="61" spans="1:41" ht="15.75" x14ac:dyDescent="0.25">
      <c r="A61" s="1" t="s">
        <v>9605</v>
      </c>
      <c r="C61" t="str">
        <f t="shared" si="6"/>
        <v>KIO10609885</v>
      </c>
      <c r="D61" t="s">
        <v>8689</v>
      </c>
      <c r="E61" s="1" t="s">
        <v>9606</v>
      </c>
      <c r="F61" s="61">
        <v>2544.5700000000002</v>
      </c>
      <c r="G61" s="119">
        <v>0.21</v>
      </c>
      <c r="H61" s="4" t="s">
        <v>8690</v>
      </c>
      <c r="I61">
        <v>6</v>
      </c>
      <c r="J61">
        <v>1</v>
      </c>
      <c r="L61" s="66">
        <f>((ARTICULOS_MONDELEZ[[#This Row],[P. Compra]]*(1+ARTICULOS_MONDELEZ[[#This Row],[IVA]]))/ARTICULOS_MONDELEZ[[#This Row],[UnidFact]])+ARTICULOS_MONDELEZ[[#This Row],[CostoFlete]]</f>
        <v>3078.9297000000001</v>
      </c>
      <c r="M61">
        <v>35</v>
      </c>
      <c r="N61" s="68">
        <f>IF(L61&gt;=5,MROUND((L61*(1+(ARTICULOS_MONDELEZ[[#This Row],[IVA]]/100)))/(1-M61/100),50),10)</f>
        <v>4750</v>
      </c>
      <c r="O61" s="3">
        <f>MROUND(ARTICULOS_MONDELEZ[[#This Row],[Precio]]/0.6,50)</f>
        <v>7900</v>
      </c>
      <c r="P61" t="s">
        <v>8693</v>
      </c>
      <c r="Q61">
        <v>1</v>
      </c>
      <c r="R61" s="3">
        <f>ARTICULOS_MONDELEZ[[#This Row],[Bulto]]+ARTICULOS_MONDELEZ[[#This Row],[Minimo]]</f>
        <v>7</v>
      </c>
      <c r="S61" t="s">
        <v>38</v>
      </c>
      <c r="T61" t="s">
        <v>27</v>
      </c>
      <c r="U61" t="s">
        <v>28</v>
      </c>
      <c r="V61" t="s">
        <v>9477</v>
      </c>
      <c r="W61" t="s">
        <v>8692</v>
      </c>
      <c r="X61">
        <v>1</v>
      </c>
      <c r="Y61" s="36">
        <v>0</v>
      </c>
      <c r="Z61"/>
      <c r="AB61" s="80">
        <f>ARTICULOS_MONDELEZ[[#This Row],[Costo]]*ARTICULOS_MONDELEZ[[#This Row],[Pedido]]</f>
        <v>0</v>
      </c>
      <c r="AH61" s="2" t="str">
        <f>IF(AND(ARTICULOS_MONDELEZ[[#This Row],[FechaVenc]]=0,ARTICULOS_MONDELEZ[[#This Row],[DiasVenc]]=0),"",ARTICULOS_MONDELEZ[[#This Row],[FechaVenc]]-ARTICULOS_MONDELEZ[[#This Row],[DiasVenc]])</f>
        <v/>
      </c>
      <c r="AO61" s="30" t="s">
        <v>8689</v>
      </c>
    </row>
    <row r="62" spans="1:41" ht="15.75" x14ac:dyDescent="0.25">
      <c r="A62" s="1" t="s">
        <v>9607</v>
      </c>
      <c r="C62" t="str">
        <f t="shared" si="6"/>
        <v>KIO10609908</v>
      </c>
      <c r="D62" t="s">
        <v>8689</v>
      </c>
      <c r="E62" s="1" t="s">
        <v>9608</v>
      </c>
      <c r="F62" s="61">
        <f>F61</f>
        <v>2544.5700000000002</v>
      </c>
      <c r="G62" s="119">
        <v>0.21</v>
      </c>
      <c r="H62" s="4" t="s">
        <v>8690</v>
      </c>
      <c r="I62">
        <v>6</v>
      </c>
      <c r="J62">
        <v>1</v>
      </c>
      <c r="L62" s="66">
        <f>((ARTICULOS_MONDELEZ[[#This Row],[P. Compra]]*(1+ARTICULOS_MONDELEZ[[#This Row],[IVA]]))/ARTICULOS_MONDELEZ[[#This Row],[UnidFact]])+ARTICULOS_MONDELEZ[[#This Row],[CostoFlete]]</f>
        <v>3078.9297000000001</v>
      </c>
      <c r="M62">
        <v>35</v>
      </c>
      <c r="N62" s="68">
        <f>IF(L62&gt;=5,MROUND((L62*(1+(ARTICULOS_MONDELEZ[[#This Row],[IVA]]/100)))/(1-M62/100),50),10)</f>
        <v>4750</v>
      </c>
      <c r="O62" s="3">
        <f>MROUND(ARTICULOS_MONDELEZ[[#This Row],[Precio]]/0.6,50)</f>
        <v>7900</v>
      </c>
      <c r="P62" t="s">
        <v>8693</v>
      </c>
      <c r="Q62">
        <v>1</v>
      </c>
      <c r="R62" s="3">
        <f>ARTICULOS_MONDELEZ[[#This Row],[Bulto]]+ARTICULOS_MONDELEZ[[#This Row],[Minimo]]</f>
        <v>7</v>
      </c>
      <c r="S62" t="s">
        <v>38</v>
      </c>
      <c r="T62" t="s">
        <v>27</v>
      </c>
      <c r="U62" t="s">
        <v>28</v>
      </c>
      <c r="V62" t="s">
        <v>9477</v>
      </c>
      <c r="W62" t="s">
        <v>8692</v>
      </c>
      <c r="X62">
        <v>1</v>
      </c>
      <c r="Y62" s="36">
        <v>0</v>
      </c>
      <c r="Z62"/>
      <c r="AB62" s="80">
        <f>ARTICULOS_MONDELEZ[[#This Row],[Costo]]*ARTICULOS_MONDELEZ[[#This Row],[Pedido]]</f>
        <v>0</v>
      </c>
      <c r="AH62" s="2" t="str">
        <f>IF(AND(ARTICULOS_MONDELEZ[[#This Row],[FechaVenc]]=0,ARTICULOS_MONDELEZ[[#This Row],[DiasVenc]]=0),"",ARTICULOS_MONDELEZ[[#This Row],[FechaVenc]]-ARTICULOS_MONDELEZ[[#This Row],[DiasVenc]])</f>
        <v/>
      </c>
      <c r="AO62" s="30" t="s">
        <v>8689</v>
      </c>
    </row>
    <row r="63" spans="1:41" ht="15.75" x14ac:dyDescent="0.25">
      <c r="A63" s="1" t="s">
        <v>9609</v>
      </c>
      <c r="C63" t="str">
        <f t="shared" si="6"/>
        <v>KIO01492717</v>
      </c>
      <c r="D63" t="s">
        <v>8689</v>
      </c>
      <c r="E63" s="1" t="s">
        <v>9610</v>
      </c>
      <c r="F63" s="61">
        <v>782.94</v>
      </c>
      <c r="G63" s="119">
        <v>0.21</v>
      </c>
      <c r="H63" s="4" t="s">
        <v>8690</v>
      </c>
      <c r="I63">
        <v>6</v>
      </c>
      <c r="J63">
        <v>1</v>
      </c>
      <c r="L63" s="66">
        <f>((ARTICULOS_MONDELEZ[[#This Row],[P. Compra]]*(1+ARTICULOS_MONDELEZ[[#This Row],[IVA]]))/ARTICULOS_MONDELEZ[[#This Row],[UnidFact]])+ARTICULOS_MONDELEZ[[#This Row],[CostoFlete]]</f>
        <v>947.35739999999998</v>
      </c>
      <c r="M63">
        <v>35</v>
      </c>
      <c r="N63" s="68">
        <f>IF(L63&gt;=5,MROUND((L63*(1+(ARTICULOS_MONDELEZ[[#This Row],[IVA]]/100)))/(1-M63/100),50),10)</f>
        <v>1450</v>
      </c>
      <c r="O63" s="3">
        <f>MROUND(ARTICULOS_MONDELEZ[[#This Row],[Precio]]/0.6,50)</f>
        <v>2400</v>
      </c>
      <c r="P63" t="s">
        <v>8693</v>
      </c>
      <c r="Q63">
        <v>2</v>
      </c>
      <c r="R63" s="3">
        <f>ARTICULOS_MONDELEZ[[#This Row],[Bulto]]+ARTICULOS_MONDELEZ[[#This Row],[Minimo]]</f>
        <v>8</v>
      </c>
      <c r="S63" t="s">
        <v>38</v>
      </c>
      <c r="T63" t="s">
        <v>27</v>
      </c>
      <c r="U63" t="s">
        <v>28</v>
      </c>
      <c r="V63" t="s">
        <v>9477</v>
      </c>
      <c r="W63" t="s">
        <v>8692</v>
      </c>
      <c r="X63">
        <v>1</v>
      </c>
      <c r="Y63" s="36">
        <v>0</v>
      </c>
      <c r="Z63"/>
      <c r="AB63" s="80">
        <f>ARTICULOS_MONDELEZ[[#This Row],[Costo]]*ARTICULOS_MONDELEZ[[#This Row],[Pedido]]</f>
        <v>0</v>
      </c>
      <c r="AH63" s="2" t="str">
        <f>IF(AND(ARTICULOS_MONDELEZ[[#This Row],[FechaVenc]]=0,ARTICULOS_MONDELEZ[[#This Row],[DiasVenc]]=0),"",ARTICULOS_MONDELEZ[[#This Row],[FechaVenc]]-ARTICULOS_MONDELEZ[[#This Row],[DiasVenc]])</f>
        <v/>
      </c>
      <c r="AO63" s="30" t="s">
        <v>8689</v>
      </c>
    </row>
    <row r="64" spans="1:41" ht="15.75" x14ac:dyDescent="0.25">
      <c r="A64" s="1" t="s">
        <v>9611</v>
      </c>
      <c r="C64" t="str">
        <f t="shared" si="6"/>
        <v>KIO01492465</v>
      </c>
      <c r="D64" t="s">
        <v>8689</v>
      </c>
      <c r="E64" s="1" t="s">
        <v>9612</v>
      </c>
      <c r="F64" s="61">
        <f>F63</f>
        <v>782.94</v>
      </c>
      <c r="G64" s="119">
        <v>0.21</v>
      </c>
      <c r="H64" s="4" t="s">
        <v>8690</v>
      </c>
      <c r="I64">
        <v>6</v>
      </c>
      <c r="J64">
        <v>1</v>
      </c>
      <c r="L64" s="66">
        <f>((ARTICULOS_MONDELEZ[[#This Row],[P. Compra]]*(1+ARTICULOS_MONDELEZ[[#This Row],[IVA]]))/ARTICULOS_MONDELEZ[[#This Row],[UnidFact]])+ARTICULOS_MONDELEZ[[#This Row],[CostoFlete]]</f>
        <v>947.35739999999998</v>
      </c>
      <c r="M64">
        <v>35</v>
      </c>
      <c r="N64" s="68">
        <f>IF(L64&gt;=5,MROUND((L64*(1+(ARTICULOS_MONDELEZ[[#This Row],[IVA]]/100)))/(1-M64/100),50),10)</f>
        <v>1450</v>
      </c>
      <c r="O64" s="3">
        <f>MROUND(ARTICULOS_MONDELEZ[[#This Row],[Precio]]/0.6,50)</f>
        <v>2400</v>
      </c>
      <c r="P64" t="s">
        <v>8693</v>
      </c>
      <c r="Q64">
        <v>2</v>
      </c>
      <c r="R64" s="3">
        <f>ARTICULOS_MONDELEZ[[#This Row],[Bulto]]+ARTICULOS_MONDELEZ[[#This Row],[Minimo]]</f>
        <v>8</v>
      </c>
      <c r="S64" t="s">
        <v>38</v>
      </c>
      <c r="T64" t="s">
        <v>27</v>
      </c>
      <c r="U64" t="s">
        <v>28</v>
      </c>
      <c r="V64" t="s">
        <v>9477</v>
      </c>
      <c r="W64" t="s">
        <v>8692</v>
      </c>
      <c r="X64">
        <v>1</v>
      </c>
      <c r="Y64" s="36">
        <v>0</v>
      </c>
      <c r="Z64"/>
      <c r="AB64" s="80">
        <f>ARTICULOS_MONDELEZ[[#This Row],[Costo]]*ARTICULOS_MONDELEZ[[#This Row],[Pedido]]</f>
        <v>0</v>
      </c>
      <c r="AH64" s="2" t="str">
        <f>IF(AND(ARTICULOS_MONDELEZ[[#This Row],[FechaVenc]]=0,ARTICULOS_MONDELEZ[[#This Row],[DiasVenc]]=0),"",ARTICULOS_MONDELEZ[[#This Row],[FechaVenc]]-ARTICULOS_MONDELEZ[[#This Row],[DiasVenc]])</f>
        <v/>
      </c>
      <c r="AO64" s="30" t="s">
        <v>8689</v>
      </c>
    </row>
    <row r="65" spans="1:41" ht="15.75" x14ac:dyDescent="0.25">
      <c r="A65" s="1" t="s">
        <v>12569</v>
      </c>
      <c r="C65" t="str">
        <f t="shared" ref="C65" si="9">CONCATENATE(LEFT(T65,3),RIGHT(A65,8))</f>
        <v>KIO10828606</v>
      </c>
      <c r="D65" t="s">
        <v>8689</v>
      </c>
      <c r="E65" s="1" t="s">
        <v>12570</v>
      </c>
      <c r="F65" s="61">
        <v>1028.47</v>
      </c>
      <c r="G65" s="119">
        <v>0.21</v>
      </c>
      <c r="H65" s="4" t="s">
        <v>8690</v>
      </c>
      <c r="I65">
        <v>6</v>
      </c>
      <c r="J65">
        <v>1</v>
      </c>
      <c r="L65" s="66">
        <f>((ARTICULOS_MONDELEZ[[#This Row],[P. Compra]]*(1+ARTICULOS_MONDELEZ[[#This Row],[IVA]]))/ARTICULOS_MONDELEZ[[#This Row],[UnidFact]])+ARTICULOS_MONDELEZ[[#This Row],[CostoFlete]]</f>
        <v>1244.4486999999999</v>
      </c>
      <c r="M65">
        <v>35</v>
      </c>
      <c r="N65" s="68">
        <f>IF(L65&gt;=5,MROUND((L65*(1+(ARTICULOS_MONDELEZ[[#This Row],[IVA]]/100)))/(1-M65/100),50),10)</f>
        <v>1900</v>
      </c>
      <c r="O65" s="3">
        <f>MROUND(ARTICULOS_MONDELEZ[[#This Row],[Precio]]/0.6,50)</f>
        <v>3150</v>
      </c>
      <c r="P65" t="s">
        <v>8693</v>
      </c>
      <c r="Q65">
        <v>2</v>
      </c>
      <c r="R65" s="3">
        <f>ARTICULOS_MONDELEZ[[#This Row],[Bulto]]+ARTICULOS_MONDELEZ[[#This Row],[Minimo]]</f>
        <v>8</v>
      </c>
      <c r="S65" t="s">
        <v>38</v>
      </c>
      <c r="T65" t="s">
        <v>27</v>
      </c>
      <c r="U65" t="s">
        <v>28</v>
      </c>
      <c r="V65" t="s">
        <v>9477</v>
      </c>
      <c r="W65" t="s">
        <v>8692</v>
      </c>
      <c r="X65">
        <v>1</v>
      </c>
      <c r="Y65" s="36">
        <v>0</v>
      </c>
      <c r="Z65"/>
      <c r="AB65" s="80">
        <f>ARTICULOS_MONDELEZ[[#This Row],[Costo]]*ARTICULOS_MONDELEZ[[#This Row],[Pedido]]</f>
        <v>0</v>
      </c>
      <c r="AH65" s="2" t="str">
        <f>IF(AND(ARTICULOS_MONDELEZ[[#This Row],[FechaVenc]]=0,ARTICULOS_MONDELEZ[[#This Row],[DiasVenc]]=0),"",ARTICULOS_MONDELEZ[[#This Row],[FechaVenc]]-ARTICULOS_MONDELEZ[[#This Row],[DiasVenc]])</f>
        <v/>
      </c>
      <c r="AO65" s="30" t="s">
        <v>8689</v>
      </c>
    </row>
    <row r="66" spans="1:41" ht="15.75" x14ac:dyDescent="0.25">
      <c r="A66" s="1" t="s">
        <v>9613</v>
      </c>
      <c r="C66" t="str">
        <f t="shared" si="6"/>
        <v>KIO01818975</v>
      </c>
      <c r="D66" t="s">
        <v>8689</v>
      </c>
      <c r="E66" s="1" t="s">
        <v>9614</v>
      </c>
      <c r="F66" s="61">
        <v>1260.8399999999999</v>
      </c>
      <c r="G66" s="119">
        <v>0.21</v>
      </c>
      <c r="H66" s="4" t="s">
        <v>8690</v>
      </c>
      <c r="I66">
        <v>6</v>
      </c>
      <c r="J66">
        <v>1</v>
      </c>
      <c r="L66" s="66">
        <f>((ARTICULOS_MONDELEZ[[#This Row],[P. Compra]]*(1+ARTICULOS_MONDELEZ[[#This Row],[IVA]]))/ARTICULOS_MONDELEZ[[#This Row],[UnidFact]])+ARTICULOS_MONDELEZ[[#This Row],[CostoFlete]]</f>
        <v>1525.6163999999999</v>
      </c>
      <c r="M66">
        <v>35</v>
      </c>
      <c r="N66" s="68">
        <f>IF(L66&gt;=5,MROUND((L66*(1+(ARTICULOS_MONDELEZ[[#This Row],[IVA]]/100)))/(1-M66/100),50),10)</f>
        <v>2350</v>
      </c>
      <c r="O66" s="3">
        <f>MROUND(ARTICULOS_MONDELEZ[[#This Row],[Precio]]/0.6,50)</f>
        <v>3900</v>
      </c>
      <c r="P66" t="s">
        <v>8693</v>
      </c>
      <c r="Q66">
        <v>2</v>
      </c>
      <c r="R66" s="3">
        <f>ARTICULOS_MONDELEZ[[#This Row],[Bulto]]+ARTICULOS_MONDELEZ[[#This Row],[Minimo]]</f>
        <v>8</v>
      </c>
      <c r="S66" t="s">
        <v>38</v>
      </c>
      <c r="T66" t="s">
        <v>27</v>
      </c>
      <c r="U66" t="s">
        <v>28</v>
      </c>
      <c r="V66" t="s">
        <v>9477</v>
      </c>
      <c r="W66" t="s">
        <v>8692</v>
      </c>
      <c r="X66">
        <v>1</v>
      </c>
      <c r="Y66" s="36">
        <v>0</v>
      </c>
      <c r="Z66"/>
      <c r="AB66" s="80">
        <f>ARTICULOS_MONDELEZ[[#This Row],[Costo]]*ARTICULOS_MONDELEZ[[#This Row],[Pedido]]</f>
        <v>0</v>
      </c>
      <c r="AH66" s="2" t="str">
        <f>IF(AND(ARTICULOS_MONDELEZ[[#This Row],[FechaVenc]]=0,ARTICULOS_MONDELEZ[[#This Row],[DiasVenc]]=0),"",ARTICULOS_MONDELEZ[[#This Row],[FechaVenc]]-ARTICULOS_MONDELEZ[[#This Row],[DiasVenc]])</f>
        <v/>
      </c>
      <c r="AO66" s="30" t="s">
        <v>8689</v>
      </c>
    </row>
    <row r="67" spans="1:41" ht="15.75" x14ac:dyDescent="0.25">
      <c r="A67" s="1" t="s">
        <v>9615</v>
      </c>
      <c r="C67" t="str">
        <f t="shared" ref="C67:C99" si="10">CONCATENATE(LEFT(T67,3),RIGHT(A67,8))</f>
        <v>KIO01818951</v>
      </c>
      <c r="D67" t="s">
        <v>8689</v>
      </c>
      <c r="E67" s="1" t="s">
        <v>9616</v>
      </c>
      <c r="F67" s="61">
        <f>F66</f>
        <v>1260.8399999999999</v>
      </c>
      <c r="G67" s="119">
        <v>0.21</v>
      </c>
      <c r="H67" s="4" t="s">
        <v>8690</v>
      </c>
      <c r="I67">
        <v>6</v>
      </c>
      <c r="J67">
        <v>1</v>
      </c>
      <c r="L67" s="66">
        <f>((ARTICULOS_MONDELEZ[[#This Row],[P. Compra]]*(1+ARTICULOS_MONDELEZ[[#This Row],[IVA]]))/ARTICULOS_MONDELEZ[[#This Row],[UnidFact]])+ARTICULOS_MONDELEZ[[#This Row],[CostoFlete]]</f>
        <v>1525.6163999999999</v>
      </c>
      <c r="M67">
        <v>35</v>
      </c>
      <c r="N67" s="68">
        <f>IF(L67&gt;=5,MROUND((L67*(1+(ARTICULOS_MONDELEZ[[#This Row],[IVA]]/100)))/(1-M67/100),50),10)</f>
        <v>2350</v>
      </c>
      <c r="O67" s="3">
        <f>MROUND(ARTICULOS_MONDELEZ[[#This Row],[Precio]]/0.6,50)</f>
        <v>3900</v>
      </c>
      <c r="P67" t="s">
        <v>8693</v>
      </c>
      <c r="Q67">
        <v>2</v>
      </c>
      <c r="R67" s="3">
        <f>ARTICULOS_MONDELEZ[[#This Row],[Bulto]]+ARTICULOS_MONDELEZ[[#This Row],[Minimo]]</f>
        <v>8</v>
      </c>
      <c r="S67" t="s">
        <v>38</v>
      </c>
      <c r="T67" t="s">
        <v>27</v>
      </c>
      <c r="U67" t="s">
        <v>28</v>
      </c>
      <c r="V67" t="s">
        <v>9477</v>
      </c>
      <c r="W67" t="s">
        <v>8692</v>
      </c>
      <c r="X67">
        <v>1</v>
      </c>
      <c r="Y67" s="36">
        <v>0</v>
      </c>
      <c r="Z67"/>
      <c r="AB67" s="80">
        <f>ARTICULOS_MONDELEZ[[#This Row],[Costo]]*ARTICULOS_MONDELEZ[[#This Row],[Pedido]]</f>
        <v>0</v>
      </c>
      <c r="AH67" s="2" t="str">
        <f>IF(AND(ARTICULOS_MONDELEZ[[#This Row],[FechaVenc]]=0,ARTICULOS_MONDELEZ[[#This Row],[DiasVenc]]=0),"",ARTICULOS_MONDELEZ[[#This Row],[FechaVenc]]-ARTICULOS_MONDELEZ[[#This Row],[DiasVenc]])</f>
        <v/>
      </c>
      <c r="AO67" s="30" t="s">
        <v>8689</v>
      </c>
    </row>
    <row r="68" spans="1:41" ht="15.75" x14ac:dyDescent="0.25">
      <c r="A68" s="1" t="s">
        <v>9617</v>
      </c>
      <c r="C68" t="str">
        <f t="shared" si="10"/>
        <v>KIO01818937</v>
      </c>
      <c r="D68" t="s">
        <v>8689</v>
      </c>
      <c r="E68" s="1" t="s">
        <v>9618</v>
      </c>
      <c r="F68" s="61">
        <f>F67</f>
        <v>1260.8399999999999</v>
      </c>
      <c r="G68" s="119">
        <v>0.21</v>
      </c>
      <c r="H68" s="4" t="s">
        <v>8690</v>
      </c>
      <c r="I68">
        <v>6</v>
      </c>
      <c r="J68">
        <v>1</v>
      </c>
      <c r="L68" s="66">
        <f>((ARTICULOS_MONDELEZ[[#This Row],[P. Compra]]*(1+ARTICULOS_MONDELEZ[[#This Row],[IVA]]))/ARTICULOS_MONDELEZ[[#This Row],[UnidFact]])+ARTICULOS_MONDELEZ[[#This Row],[CostoFlete]]</f>
        <v>1525.6163999999999</v>
      </c>
      <c r="M68">
        <v>35</v>
      </c>
      <c r="N68" s="68">
        <f>IF(L68&gt;=5,MROUND((L68*(1+(ARTICULOS_MONDELEZ[[#This Row],[IVA]]/100)))/(1-M68/100),50),10)</f>
        <v>2350</v>
      </c>
      <c r="O68" s="3">
        <f>MROUND(ARTICULOS_MONDELEZ[[#This Row],[Precio]]/0.6,50)</f>
        <v>3900</v>
      </c>
      <c r="P68" t="s">
        <v>8693</v>
      </c>
      <c r="Q68">
        <v>2</v>
      </c>
      <c r="R68" s="3">
        <f>ARTICULOS_MONDELEZ[[#This Row],[Bulto]]+ARTICULOS_MONDELEZ[[#This Row],[Minimo]]</f>
        <v>8</v>
      </c>
      <c r="S68" t="s">
        <v>38</v>
      </c>
      <c r="T68" t="s">
        <v>27</v>
      </c>
      <c r="U68" t="s">
        <v>28</v>
      </c>
      <c r="V68" t="s">
        <v>9477</v>
      </c>
      <c r="W68" t="s">
        <v>8692</v>
      </c>
      <c r="X68">
        <v>1</v>
      </c>
      <c r="Y68" s="36">
        <v>0</v>
      </c>
      <c r="Z68"/>
      <c r="AB68" s="80">
        <f>ARTICULOS_MONDELEZ[[#This Row],[Costo]]*ARTICULOS_MONDELEZ[[#This Row],[Pedido]]</f>
        <v>0</v>
      </c>
      <c r="AH68" s="2" t="str">
        <f>IF(AND(ARTICULOS_MONDELEZ[[#This Row],[FechaVenc]]=0,ARTICULOS_MONDELEZ[[#This Row],[DiasVenc]]=0),"",ARTICULOS_MONDELEZ[[#This Row],[FechaVenc]]-ARTICULOS_MONDELEZ[[#This Row],[DiasVenc]])</f>
        <v/>
      </c>
      <c r="AO68" s="30" t="s">
        <v>8689</v>
      </c>
    </row>
    <row r="69" spans="1:41" ht="15.75" x14ac:dyDescent="0.25">
      <c r="A69" s="1" t="s">
        <v>9619</v>
      </c>
      <c r="C69" t="str">
        <f t="shared" si="10"/>
        <v>KIO00424084</v>
      </c>
      <c r="D69" t="s">
        <v>8689</v>
      </c>
      <c r="E69" s="1" t="s">
        <v>9620</v>
      </c>
      <c r="F69" s="61">
        <v>3047.54</v>
      </c>
      <c r="G69" s="119">
        <v>0.21</v>
      </c>
      <c r="H69" s="4" t="s">
        <v>8690</v>
      </c>
      <c r="I69">
        <v>6</v>
      </c>
      <c r="J69">
        <v>1</v>
      </c>
      <c r="L69" s="66">
        <f>((ARTICULOS_MONDELEZ[[#This Row],[P. Compra]]*(1+ARTICULOS_MONDELEZ[[#This Row],[IVA]]))/ARTICULOS_MONDELEZ[[#This Row],[UnidFact]])+ARTICULOS_MONDELEZ[[#This Row],[CostoFlete]]</f>
        <v>3687.5234</v>
      </c>
      <c r="M69">
        <v>35</v>
      </c>
      <c r="N69" s="68">
        <f>IF(L69&gt;=5,MROUND((L69*(1+(ARTICULOS_MONDELEZ[[#This Row],[IVA]]/100)))/(1-M69/100),50),10)</f>
        <v>5700</v>
      </c>
      <c r="O69" s="3">
        <f>MROUND(ARTICULOS_MONDELEZ[[#This Row],[Precio]]/0.6,50)</f>
        <v>9500</v>
      </c>
      <c r="P69" t="s">
        <v>8693</v>
      </c>
      <c r="Q69">
        <v>2</v>
      </c>
      <c r="R69" s="3">
        <f>ARTICULOS_MONDELEZ[[#This Row],[Bulto]]+ARTICULOS_MONDELEZ[[#This Row],[Minimo]]</f>
        <v>8</v>
      </c>
      <c r="S69" t="s">
        <v>38</v>
      </c>
      <c r="T69" t="s">
        <v>27</v>
      </c>
      <c r="U69" t="s">
        <v>28</v>
      </c>
      <c r="V69" t="s">
        <v>9495</v>
      </c>
      <c r="W69" t="s">
        <v>8692</v>
      </c>
      <c r="X69">
        <v>1</v>
      </c>
      <c r="Y69" s="36">
        <v>4</v>
      </c>
      <c r="Z69"/>
      <c r="AB69" s="80">
        <f>ARTICULOS_MONDELEZ[[#This Row],[Costo]]*ARTICULOS_MONDELEZ[[#This Row],[Pedido]]</f>
        <v>0</v>
      </c>
      <c r="AH69" s="2" t="str">
        <f>IF(AND(ARTICULOS_MONDELEZ[[#This Row],[FechaVenc]]=0,ARTICULOS_MONDELEZ[[#This Row],[DiasVenc]]=0),"",ARTICULOS_MONDELEZ[[#This Row],[FechaVenc]]-ARTICULOS_MONDELEZ[[#This Row],[DiasVenc]])</f>
        <v/>
      </c>
      <c r="AO69" s="30" t="s">
        <v>8689</v>
      </c>
    </row>
    <row r="70" spans="1:41" ht="15.75" x14ac:dyDescent="0.25">
      <c r="A70" s="1" t="s">
        <v>9621</v>
      </c>
      <c r="C70" t="str">
        <f t="shared" si="10"/>
        <v>KIO77914217</v>
      </c>
      <c r="D70" t="s">
        <v>8689</v>
      </c>
      <c r="E70" s="1" t="s">
        <v>9622</v>
      </c>
      <c r="F70" s="61">
        <v>669.53</v>
      </c>
      <c r="G70" s="119">
        <v>0.21</v>
      </c>
      <c r="H70" s="4" t="s">
        <v>8690</v>
      </c>
      <c r="I70">
        <v>6</v>
      </c>
      <c r="J70">
        <v>1</v>
      </c>
      <c r="L70" s="66">
        <f>((ARTICULOS_MONDELEZ[[#This Row],[P. Compra]]*(1+ARTICULOS_MONDELEZ[[#This Row],[IVA]]))/ARTICULOS_MONDELEZ[[#This Row],[UnidFact]])+ARTICULOS_MONDELEZ[[#This Row],[CostoFlete]]</f>
        <v>810.1312999999999</v>
      </c>
      <c r="M70">
        <v>35</v>
      </c>
      <c r="N70" s="68">
        <f>IF(L70&gt;=5,MROUND((L70*(1+(ARTICULOS_MONDELEZ[[#This Row],[IVA]]/100)))/(1-M70/100),50),10)</f>
        <v>1250</v>
      </c>
      <c r="O70" s="3">
        <f>MROUND(ARTICULOS_MONDELEZ[[#This Row],[Precio]]/0.6,50)</f>
        <v>2100</v>
      </c>
      <c r="P70" t="s">
        <v>8693</v>
      </c>
      <c r="Q70">
        <v>2</v>
      </c>
      <c r="R70" s="3">
        <f>ARTICULOS_MONDELEZ[[#This Row],[Bulto]]+ARTICULOS_MONDELEZ[[#This Row],[Minimo]]</f>
        <v>8</v>
      </c>
      <c r="S70" t="s">
        <v>38</v>
      </c>
      <c r="T70" t="s">
        <v>27</v>
      </c>
      <c r="U70" t="s">
        <v>28</v>
      </c>
      <c r="V70" t="s">
        <v>9495</v>
      </c>
      <c r="W70" t="s">
        <v>8692</v>
      </c>
      <c r="X70">
        <v>1</v>
      </c>
      <c r="Y70" s="36">
        <v>9</v>
      </c>
      <c r="Z70"/>
      <c r="AB70" s="80">
        <f>ARTICULOS_MONDELEZ[[#This Row],[Costo]]*ARTICULOS_MONDELEZ[[#This Row],[Pedido]]</f>
        <v>0</v>
      </c>
      <c r="AH70" s="2" t="str">
        <f>IF(AND(ARTICULOS_MONDELEZ[[#This Row],[FechaVenc]]=0,ARTICULOS_MONDELEZ[[#This Row],[DiasVenc]]=0),"",ARTICULOS_MONDELEZ[[#This Row],[FechaVenc]]-ARTICULOS_MONDELEZ[[#This Row],[DiasVenc]])</f>
        <v/>
      </c>
      <c r="AO70" s="30" t="s">
        <v>8689</v>
      </c>
    </row>
    <row r="71" spans="1:41" ht="15.75" x14ac:dyDescent="0.25">
      <c r="A71" s="1" t="s">
        <v>9623</v>
      </c>
      <c r="C71" t="str">
        <f t="shared" si="10"/>
        <v>KIO49451656</v>
      </c>
      <c r="D71" t="s">
        <v>8689</v>
      </c>
      <c r="E71" s="1" t="s">
        <v>9624</v>
      </c>
      <c r="F71" s="61">
        <v>1649.9</v>
      </c>
      <c r="G71" s="119">
        <v>0.21</v>
      </c>
      <c r="H71" s="4" t="s">
        <v>8690</v>
      </c>
      <c r="I71">
        <v>6</v>
      </c>
      <c r="J71">
        <v>1</v>
      </c>
      <c r="L71" s="66">
        <f>((ARTICULOS_MONDELEZ[[#This Row],[P. Compra]]*(1+ARTICULOS_MONDELEZ[[#This Row],[IVA]]))/ARTICULOS_MONDELEZ[[#This Row],[UnidFact]])+ARTICULOS_MONDELEZ[[#This Row],[CostoFlete]]</f>
        <v>1996.3790000000001</v>
      </c>
      <c r="M71">
        <v>35</v>
      </c>
      <c r="N71" s="68">
        <f>IF(L71&gt;=5,MROUND((L71*(1+(ARTICULOS_MONDELEZ[[#This Row],[IVA]]/100)))/(1-M71/100),50),10)</f>
        <v>3100</v>
      </c>
      <c r="O71" s="3">
        <f>MROUND(ARTICULOS_MONDELEZ[[#This Row],[Precio]]/0.6,50)</f>
        <v>5150</v>
      </c>
      <c r="P71" t="s">
        <v>8693</v>
      </c>
      <c r="Q71">
        <v>2</v>
      </c>
      <c r="R71" s="3">
        <f>ARTICULOS_MONDELEZ[[#This Row],[Bulto]]+ARTICULOS_MONDELEZ[[#This Row],[Minimo]]</f>
        <v>8</v>
      </c>
      <c r="S71" t="s">
        <v>38</v>
      </c>
      <c r="T71" t="s">
        <v>27</v>
      </c>
      <c r="U71" t="s">
        <v>28</v>
      </c>
      <c r="V71" t="s">
        <v>9495</v>
      </c>
      <c r="W71" t="s">
        <v>8692</v>
      </c>
      <c r="X71">
        <v>1</v>
      </c>
      <c r="Y71" s="36">
        <v>6</v>
      </c>
      <c r="Z71"/>
      <c r="AB71" s="80">
        <f>ARTICULOS_MONDELEZ[[#This Row],[Costo]]*ARTICULOS_MONDELEZ[[#This Row],[Pedido]]</f>
        <v>0</v>
      </c>
      <c r="AH71" s="2" t="str">
        <f>IF(AND(ARTICULOS_MONDELEZ[[#This Row],[FechaVenc]]=0,ARTICULOS_MONDELEZ[[#This Row],[DiasVenc]]=0),"",ARTICULOS_MONDELEZ[[#This Row],[FechaVenc]]-ARTICULOS_MONDELEZ[[#This Row],[DiasVenc]])</f>
        <v/>
      </c>
      <c r="AO71" s="30" t="s">
        <v>8689</v>
      </c>
    </row>
    <row r="72" spans="1:41" ht="15.75" x14ac:dyDescent="0.25">
      <c r="A72" s="1" t="s">
        <v>9625</v>
      </c>
      <c r="C72" t="str">
        <f t="shared" si="10"/>
        <v>KIO77983992</v>
      </c>
      <c r="D72" t="s">
        <v>8689</v>
      </c>
      <c r="E72" s="1" t="s">
        <v>9626</v>
      </c>
      <c r="F72" s="61">
        <f>F70</f>
        <v>669.53</v>
      </c>
      <c r="G72" s="119">
        <v>0.21</v>
      </c>
      <c r="H72" s="4" t="s">
        <v>8690</v>
      </c>
      <c r="I72">
        <v>6</v>
      </c>
      <c r="J72">
        <v>1</v>
      </c>
      <c r="L72" s="66">
        <f>((ARTICULOS_MONDELEZ[[#This Row],[P. Compra]]*(1+ARTICULOS_MONDELEZ[[#This Row],[IVA]]))/ARTICULOS_MONDELEZ[[#This Row],[UnidFact]])+ARTICULOS_MONDELEZ[[#This Row],[CostoFlete]]</f>
        <v>810.1312999999999</v>
      </c>
      <c r="M72">
        <v>35</v>
      </c>
      <c r="N72" s="68">
        <f>IF(L72&gt;=5,MROUND((L72*(1+(ARTICULOS_MONDELEZ[[#This Row],[IVA]]/100)))/(1-M72/100),50),10)</f>
        <v>1250</v>
      </c>
      <c r="O72" s="3">
        <f>MROUND(ARTICULOS_MONDELEZ[[#This Row],[Precio]]/0.6,50)</f>
        <v>2100</v>
      </c>
      <c r="P72" t="s">
        <v>8693</v>
      </c>
      <c r="Q72">
        <v>2</v>
      </c>
      <c r="R72" s="3">
        <f>ARTICULOS_MONDELEZ[[#This Row],[Bulto]]+ARTICULOS_MONDELEZ[[#This Row],[Minimo]]</f>
        <v>8</v>
      </c>
      <c r="S72" t="s">
        <v>38</v>
      </c>
      <c r="T72" t="s">
        <v>27</v>
      </c>
      <c r="U72" t="s">
        <v>28</v>
      </c>
      <c r="V72" t="s">
        <v>9495</v>
      </c>
      <c r="W72" t="s">
        <v>8692</v>
      </c>
      <c r="X72">
        <v>1</v>
      </c>
      <c r="Y72" s="36">
        <v>0</v>
      </c>
      <c r="Z72"/>
      <c r="AB72" s="80">
        <f>ARTICULOS_MONDELEZ[[#This Row],[Costo]]*ARTICULOS_MONDELEZ[[#This Row],[Pedido]]</f>
        <v>0</v>
      </c>
      <c r="AH72" s="2" t="str">
        <f>IF(AND(ARTICULOS_MONDELEZ[[#This Row],[FechaVenc]]=0,ARTICULOS_MONDELEZ[[#This Row],[DiasVenc]]=0),"",ARTICULOS_MONDELEZ[[#This Row],[FechaVenc]]-ARTICULOS_MONDELEZ[[#This Row],[DiasVenc]])</f>
        <v/>
      </c>
      <c r="AO72" s="30" t="s">
        <v>8689</v>
      </c>
    </row>
    <row r="73" spans="1:41" ht="15.75" x14ac:dyDescent="0.25">
      <c r="A73" s="1" t="s">
        <v>9627</v>
      </c>
      <c r="C73" t="str">
        <f t="shared" si="10"/>
        <v>KIO00010013</v>
      </c>
      <c r="D73" t="s">
        <v>8689</v>
      </c>
      <c r="E73" s="1" t="s">
        <v>9628</v>
      </c>
      <c r="F73" s="61">
        <v>3340.65</v>
      </c>
      <c r="G73" s="119">
        <v>0.21</v>
      </c>
      <c r="H73" s="4" t="s">
        <v>8690</v>
      </c>
      <c r="I73">
        <v>6</v>
      </c>
      <c r="J73">
        <v>1</v>
      </c>
      <c r="L73" s="66">
        <f>((ARTICULOS_MONDELEZ[[#This Row],[P. Compra]]*(1+ARTICULOS_MONDELEZ[[#This Row],[IVA]]))/ARTICULOS_MONDELEZ[[#This Row],[UnidFact]])+ARTICULOS_MONDELEZ[[#This Row],[CostoFlete]]</f>
        <v>4042.1864999999998</v>
      </c>
      <c r="M73">
        <v>35</v>
      </c>
      <c r="N73" s="68">
        <f>IF(L73&gt;=5,MROUND((L73*(1+(ARTICULOS_MONDELEZ[[#This Row],[IVA]]/100)))/(1-M73/100),50),10)</f>
        <v>6250</v>
      </c>
      <c r="O73" s="3">
        <f>MROUND(ARTICULOS_MONDELEZ[[#This Row],[Precio]]/0.6,50)</f>
        <v>10400</v>
      </c>
      <c r="P73" t="s">
        <v>8693</v>
      </c>
      <c r="Q73">
        <v>2</v>
      </c>
      <c r="R73" s="3">
        <f>ARTICULOS_MONDELEZ[[#This Row],[Bulto]]+ARTICULOS_MONDELEZ[[#This Row],[Minimo]]</f>
        <v>8</v>
      </c>
      <c r="S73" t="s">
        <v>38</v>
      </c>
      <c r="T73" t="s">
        <v>27</v>
      </c>
      <c r="U73" t="s">
        <v>28</v>
      </c>
      <c r="V73" t="s">
        <v>9629</v>
      </c>
      <c r="W73" t="s">
        <v>8692</v>
      </c>
      <c r="X73">
        <v>1</v>
      </c>
      <c r="Y73" s="36">
        <v>0</v>
      </c>
      <c r="Z73"/>
      <c r="AB73" s="80">
        <f>ARTICULOS_MONDELEZ[[#This Row],[Costo]]*ARTICULOS_MONDELEZ[[#This Row],[Pedido]]</f>
        <v>0</v>
      </c>
      <c r="AH73" s="2" t="str">
        <f>IF(AND(ARTICULOS_MONDELEZ[[#This Row],[FechaVenc]]=0,ARTICULOS_MONDELEZ[[#This Row],[DiasVenc]]=0),"",ARTICULOS_MONDELEZ[[#This Row],[FechaVenc]]-ARTICULOS_MONDELEZ[[#This Row],[DiasVenc]])</f>
        <v/>
      </c>
      <c r="AO73" s="30" t="s">
        <v>8689</v>
      </c>
    </row>
    <row r="74" spans="1:41" ht="15.75" x14ac:dyDescent="0.25">
      <c r="A74" s="1" t="s">
        <v>9630</v>
      </c>
      <c r="C74" t="str">
        <f t="shared" si="10"/>
        <v>ALM01736033</v>
      </c>
      <c r="D74" t="s">
        <v>8689</v>
      </c>
      <c r="E74" s="1" t="s">
        <v>9631</v>
      </c>
      <c r="F74" s="61">
        <v>694.16</v>
      </c>
      <c r="G74" s="119">
        <v>0.21</v>
      </c>
      <c r="H74" s="4" t="s">
        <v>8690</v>
      </c>
      <c r="I74">
        <v>6</v>
      </c>
      <c r="J74">
        <v>1</v>
      </c>
      <c r="L74" s="66">
        <f>((ARTICULOS_MONDELEZ[[#This Row],[P. Compra]]*(1+ARTICULOS_MONDELEZ[[#This Row],[IVA]]))/ARTICULOS_MONDELEZ[[#This Row],[UnidFact]])+ARTICULOS_MONDELEZ[[#This Row],[CostoFlete]]</f>
        <v>839.93359999999996</v>
      </c>
      <c r="M74">
        <v>35</v>
      </c>
      <c r="N74" s="68">
        <f>IF(L74&gt;=5,MROUND((L74*(1+(ARTICULOS_MONDELEZ[[#This Row],[IVA]]/100)))/(1-M74/100),50),10)</f>
        <v>1300</v>
      </c>
      <c r="O74" s="3">
        <f>MROUND(ARTICULOS_MONDELEZ[[#This Row],[Precio]]/0.6,50)</f>
        <v>2150</v>
      </c>
      <c r="P74" t="s">
        <v>8693</v>
      </c>
      <c r="Q74">
        <v>2</v>
      </c>
      <c r="R74" s="3">
        <f>ARTICULOS_MONDELEZ[[#This Row],[Bulto]]+ARTICULOS_MONDELEZ[[#This Row],[Minimo]]</f>
        <v>8</v>
      </c>
      <c r="S74" t="s">
        <v>38</v>
      </c>
      <c r="T74" t="s">
        <v>4</v>
      </c>
      <c r="U74" t="s">
        <v>60</v>
      </c>
      <c r="V74" t="s">
        <v>9632</v>
      </c>
      <c r="W74" t="s">
        <v>8692</v>
      </c>
      <c r="X74">
        <v>1</v>
      </c>
      <c r="Y74" s="36">
        <v>1</v>
      </c>
      <c r="Z74"/>
      <c r="AB74" s="80">
        <f>ARTICULOS_MONDELEZ[[#This Row],[Costo]]*ARTICULOS_MONDELEZ[[#This Row],[Pedido]]</f>
        <v>0</v>
      </c>
      <c r="AH74" s="2" t="str">
        <f>IF(AND(ARTICULOS_MONDELEZ[[#This Row],[FechaVenc]]=0,ARTICULOS_MONDELEZ[[#This Row],[DiasVenc]]=0),"",ARTICULOS_MONDELEZ[[#This Row],[FechaVenc]]-ARTICULOS_MONDELEZ[[#This Row],[DiasVenc]])</f>
        <v/>
      </c>
      <c r="AO74" s="30" t="s">
        <v>8689</v>
      </c>
    </row>
    <row r="75" spans="1:41" ht="15.75" x14ac:dyDescent="0.25">
      <c r="A75" s="1" t="s">
        <v>9633</v>
      </c>
      <c r="C75" t="str">
        <f t="shared" si="10"/>
        <v>ALM00742645</v>
      </c>
      <c r="D75" t="s">
        <v>8689</v>
      </c>
      <c r="E75" s="1" t="s">
        <v>9634</v>
      </c>
      <c r="F75" s="61">
        <v>471.97</v>
      </c>
      <c r="G75" s="119">
        <v>0.21</v>
      </c>
      <c r="H75" s="4" t="s">
        <v>8690</v>
      </c>
      <c r="I75">
        <v>6</v>
      </c>
      <c r="J75">
        <v>1</v>
      </c>
      <c r="L75" s="66">
        <f>((ARTICULOS_MONDELEZ[[#This Row],[P. Compra]]*(1+ARTICULOS_MONDELEZ[[#This Row],[IVA]]))/ARTICULOS_MONDELEZ[[#This Row],[UnidFact]])+ARTICULOS_MONDELEZ[[#This Row],[CostoFlete]]</f>
        <v>571.08370000000002</v>
      </c>
      <c r="M75">
        <v>35</v>
      </c>
      <c r="N75" s="68">
        <f>IF(L75&gt;=5,MROUND((L75*(1+(ARTICULOS_MONDELEZ[[#This Row],[IVA]]/100)))/(1-M75/100),50),10)</f>
        <v>900</v>
      </c>
      <c r="O75" s="3">
        <f>MROUND(ARTICULOS_MONDELEZ[[#This Row],[Precio]]/0.6,50)</f>
        <v>1500</v>
      </c>
      <c r="P75" t="s">
        <v>8693</v>
      </c>
      <c r="Q75">
        <v>2</v>
      </c>
      <c r="R75" s="3">
        <f>ARTICULOS_MONDELEZ[[#This Row],[Bulto]]+ARTICULOS_MONDELEZ[[#This Row],[Minimo]]</f>
        <v>8</v>
      </c>
      <c r="S75" t="s">
        <v>38</v>
      </c>
      <c r="T75" t="s">
        <v>4</v>
      </c>
      <c r="U75" t="s">
        <v>60</v>
      </c>
      <c r="V75" t="s">
        <v>9492</v>
      </c>
      <c r="W75" t="s">
        <v>8692</v>
      </c>
      <c r="X75">
        <v>1</v>
      </c>
      <c r="Y75" s="36">
        <v>6</v>
      </c>
      <c r="Z75"/>
      <c r="AB75" s="80">
        <f>ARTICULOS_MONDELEZ[[#This Row],[Costo]]*ARTICULOS_MONDELEZ[[#This Row],[Pedido]]</f>
        <v>0</v>
      </c>
      <c r="AH75" s="2" t="str">
        <f>IF(AND(ARTICULOS_MONDELEZ[[#This Row],[FechaVenc]]=0,ARTICULOS_MONDELEZ[[#This Row],[DiasVenc]]=0),"",ARTICULOS_MONDELEZ[[#This Row],[FechaVenc]]-ARTICULOS_MONDELEZ[[#This Row],[DiasVenc]])</f>
        <v/>
      </c>
      <c r="AO75" s="30" t="s">
        <v>8689</v>
      </c>
    </row>
    <row r="76" spans="1:41" ht="15.75" x14ac:dyDescent="0.25">
      <c r="A76" s="1" t="s">
        <v>9635</v>
      </c>
      <c r="C76" t="str">
        <f t="shared" si="10"/>
        <v>VEN10692245</v>
      </c>
      <c r="D76" t="s">
        <v>8689</v>
      </c>
      <c r="E76" s="1" t="s">
        <v>9636</v>
      </c>
      <c r="F76" s="61">
        <f>F78/6</f>
        <v>205.26499999999999</v>
      </c>
      <c r="G76" s="119">
        <v>0.21</v>
      </c>
      <c r="H76" s="31" t="s">
        <v>8690</v>
      </c>
      <c r="I76">
        <v>6</v>
      </c>
      <c r="J76">
        <v>1</v>
      </c>
      <c r="L76" s="66">
        <f>((ARTICULOS_MONDELEZ[[#This Row],[P. Compra]]*(1+ARTICULOS_MONDELEZ[[#This Row],[IVA]]))/ARTICULOS_MONDELEZ[[#This Row],[UnidFact]])+ARTICULOS_MONDELEZ[[#This Row],[CostoFlete]]</f>
        <v>248.37064999999998</v>
      </c>
      <c r="M76">
        <v>35</v>
      </c>
      <c r="N76" s="68">
        <f>IF(L76&gt;=5,MROUND((L76*(1+(ARTICULOS_MONDELEZ[[#This Row],[IVA]]/100)))/(1-M76/100),50),10)</f>
        <v>400</v>
      </c>
      <c r="O76" s="3">
        <f>MROUND(ARTICULOS_MONDELEZ[[#This Row],[Precio]]/0.6,50)</f>
        <v>650</v>
      </c>
      <c r="P76" t="s">
        <v>8693</v>
      </c>
      <c r="Q76">
        <v>3</v>
      </c>
      <c r="R76" s="23">
        <f>ARTICULOS_MONDELEZ[[#This Row],[Bulto]]+ARTICULOS_MONDELEZ[[#This Row],[Minimo]]</f>
        <v>9</v>
      </c>
      <c r="S76" t="s">
        <v>38</v>
      </c>
      <c r="T76" s="1" t="s">
        <v>42</v>
      </c>
      <c r="U76" t="s">
        <v>60</v>
      </c>
      <c r="V76" t="s">
        <v>9637</v>
      </c>
      <c r="W76" t="s">
        <v>8692</v>
      </c>
      <c r="X76">
        <v>1</v>
      </c>
      <c r="Y76" s="37">
        <v>0</v>
      </c>
      <c r="Z76"/>
      <c r="AB76" s="80">
        <f>ARTICULOS_MONDELEZ[[#This Row],[Costo]]*ARTICULOS_MONDELEZ[[#This Row],[Pedido]]</f>
        <v>0</v>
      </c>
      <c r="AH76" s="2" t="str">
        <f>IF(AND(ARTICULOS_MONDELEZ[[#This Row],[FechaVenc]]=0,ARTICULOS_MONDELEZ[[#This Row],[DiasVenc]]=0),"",ARTICULOS_MONDELEZ[[#This Row],[FechaVenc]]-ARTICULOS_MONDELEZ[[#This Row],[DiasVenc]])</f>
        <v/>
      </c>
      <c r="AO76" s="30" t="s">
        <v>8689</v>
      </c>
    </row>
    <row r="77" spans="1:41" ht="15.75" x14ac:dyDescent="0.25">
      <c r="A77" s="1" t="s">
        <v>9638</v>
      </c>
      <c r="C77" t="str">
        <f t="shared" si="10"/>
        <v>VEN00990732</v>
      </c>
      <c r="D77" t="s">
        <v>8689</v>
      </c>
      <c r="E77" s="1" t="s">
        <v>9639</v>
      </c>
      <c r="F77" s="61">
        <f>F76</f>
        <v>205.26499999999999</v>
      </c>
      <c r="G77" s="119">
        <v>0.21</v>
      </c>
      <c r="H77" s="31" t="s">
        <v>8690</v>
      </c>
      <c r="I77">
        <v>6</v>
      </c>
      <c r="J77">
        <v>1</v>
      </c>
      <c r="L77" s="66">
        <f>((ARTICULOS_MONDELEZ[[#This Row],[P. Compra]]*(1+ARTICULOS_MONDELEZ[[#This Row],[IVA]]))/ARTICULOS_MONDELEZ[[#This Row],[UnidFact]])+ARTICULOS_MONDELEZ[[#This Row],[CostoFlete]]</f>
        <v>248.37064999999998</v>
      </c>
      <c r="M77">
        <v>35</v>
      </c>
      <c r="N77" s="68">
        <f>IF(L77&gt;=5,MROUND((L77*(1+(ARTICULOS_MONDELEZ[[#This Row],[IVA]]/100)))/(1-M77/100),50),10)</f>
        <v>400</v>
      </c>
      <c r="O77" s="3">
        <f>MROUND(ARTICULOS_MONDELEZ[[#This Row],[Precio]]/0.6,50)</f>
        <v>650</v>
      </c>
      <c r="P77" t="s">
        <v>8693</v>
      </c>
      <c r="Q77">
        <v>3</v>
      </c>
      <c r="R77" s="23">
        <f>ARTICULOS_MONDELEZ[[#This Row],[Bulto]]+ARTICULOS_MONDELEZ[[#This Row],[Minimo]]</f>
        <v>9</v>
      </c>
      <c r="S77" t="s">
        <v>38</v>
      </c>
      <c r="T77" s="1" t="s">
        <v>42</v>
      </c>
      <c r="U77" t="s">
        <v>60</v>
      </c>
      <c r="V77" t="s">
        <v>9637</v>
      </c>
      <c r="W77" t="s">
        <v>8692</v>
      </c>
      <c r="X77">
        <v>1</v>
      </c>
      <c r="Y77" s="37">
        <v>0</v>
      </c>
      <c r="Z77"/>
      <c r="AB77" s="80">
        <f>ARTICULOS_MONDELEZ[[#This Row],[Costo]]*ARTICULOS_MONDELEZ[[#This Row],[Pedido]]</f>
        <v>0</v>
      </c>
      <c r="AH77" s="2" t="str">
        <f>IF(AND(ARTICULOS_MONDELEZ[[#This Row],[FechaVenc]]=0,ARTICULOS_MONDELEZ[[#This Row],[DiasVenc]]=0),"",ARTICULOS_MONDELEZ[[#This Row],[FechaVenc]]-ARTICULOS_MONDELEZ[[#This Row],[DiasVenc]])</f>
        <v/>
      </c>
      <c r="AO77" s="30" t="s">
        <v>8689</v>
      </c>
    </row>
    <row r="78" spans="1:41" ht="15.75" x14ac:dyDescent="0.25">
      <c r="A78" s="24" t="s">
        <v>9640</v>
      </c>
      <c r="C78" t="str">
        <f t="shared" si="10"/>
        <v>VEN10691835</v>
      </c>
      <c r="D78" t="s">
        <v>8689</v>
      </c>
      <c r="E78" s="1" t="s">
        <v>9641</v>
      </c>
      <c r="F78" s="61">
        <v>1231.5899999999999</v>
      </c>
      <c r="G78" s="119">
        <v>0.21</v>
      </c>
      <c r="H78" s="46" t="s">
        <v>8690</v>
      </c>
      <c r="I78">
        <v>6</v>
      </c>
      <c r="J78">
        <v>1</v>
      </c>
      <c r="L78" s="66">
        <f>((ARTICULOS_MONDELEZ[[#This Row],[P. Compra]]*(1+ARTICULOS_MONDELEZ[[#This Row],[IVA]]))/ARTICULOS_MONDELEZ[[#This Row],[UnidFact]])+ARTICULOS_MONDELEZ[[#This Row],[CostoFlete]]</f>
        <v>1490.2239</v>
      </c>
      <c r="M78">
        <v>35</v>
      </c>
      <c r="N78" s="68">
        <f>IF(L78&gt;=5,MROUND((L78*(1+(ARTICULOS_MONDELEZ[[#This Row],[IVA]]/100)))/(1-M78/100),50),10)</f>
        <v>2300</v>
      </c>
      <c r="O78" s="3">
        <f>MROUND(ARTICULOS_MONDELEZ[[#This Row],[Precio]]/0.6,50)</f>
        <v>3850</v>
      </c>
      <c r="P78" t="s">
        <v>8693</v>
      </c>
      <c r="Q78">
        <v>2</v>
      </c>
      <c r="R78" s="51">
        <f>ARTICULOS_MONDELEZ[[#This Row],[Bulto]]+ARTICULOS_MONDELEZ[[#This Row],[Minimo]]</f>
        <v>8</v>
      </c>
      <c r="S78" t="s">
        <v>38</v>
      </c>
      <c r="T78" s="1" t="s">
        <v>42</v>
      </c>
      <c r="U78" t="s">
        <v>60</v>
      </c>
      <c r="V78" t="s">
        <v>9637</v>
      </c>
      <c r="W78" t="s">
        <v>8692</v>
      </c>
      <c r="X78">
        <v>1</v>
      </c>
      <c r="Y78" s="73">
        <v>3</v>
      </c>
      <c r="Z78"/>
      <c r="AB78" s="80">
        <f>ARTICULOS_MONDELEZ[[#This Row],[Costo]]*ARTICULOS_MONDELEZ[[#This Row],[Pedido]]</f>
        <v>0</v>
      </c>
      <c r="AH78" s="2" t="str">
        <f>IF(AND(ARTICULOS_MONDELEZ[[#This Row],[FechaVenc]]=0,ARTICULOS_MONDELEZ[[#This Row],[DiasVenc]]=0),"",ARTICULOS_MONDELEZ[[#This Row],[FechaVenc]]-ARTICULOS_MONDELEZ[[#This Row],[DiasVenc]])</f>
        <v/>
      </c>
      <c r="AO78" s="30" t="s">
        <v>8689</v>
      </c>
    </row>
    <row r="79" spans="1:41" ht="15.75" x14ac:dyDescent="0.25">
      <c r="A79" s="24" t="s">
        <v>9642</v>
      </c>
      <c r="C79" t="str">
        <f t="shared" si="10"/>
        <v>VEN00990749</v>
      </c>
      <c r="D79" t="s">
        <v>8689</v>
      </c>
      <c r="E79" s="1" t="s">
        <v>9643</v>
      </c>
      <c r="F79" s="61">
        <f>F78</f>
        <v>1231.5899999999999</v>
      </c>
      <c r="G79" s="119">
        <v>0.21</v>
      </c>
      <c r="H79" s="31" t="s">
        <v>8690</v>
      </c>
      <c r="I79">
        <v>6</v>
      </c>
      <c r="J79">
        <v>1</v>
      </c>
      <c r="L79" s="66">
        <f>((ARTICULOS_MONDELEZ[[#This Row],[P. Compra]]*(1+ARTICULOS_MONDELEZ[[#This Row],[IVA]]))/ARTICULOS_MONDELEZ[[#This Row],[UnidFact]])+ARTICULOS_MONDELEZ[[#This Row],[CostoFlete]]</f>
        <v>1490.2239</v>
      </c>
      <c r="M79">
        <v>35</v>
      </c>
      <c r="N79" s="68">
        <f>IF(L79&gt;=5,MROUND((L79*(1+(ARTICULOS_MONDELEZ[[#This Row],[IVA]]/100)))/(1-M79/100),50),10)</f>
        <v>2300</v>
      </c>
      <c r="O79" s="3">
        <f>MROUND(ARTICULOS_MONDELEZ[[#This Row],[Precio]]/0.6,50)</f>
        <v>3850</v>
      </c>
      <c r="P79" t="s">
        <v>8693</v>
      </c>
      <c r="Q79">
        <v>2</v>
      </c>
      <c r="R79" s="51">
        <f>ARTICULOS_MONDELEZ[[#This Row],[Bulto]]+ARTICULOS_MONDELEZ[[#This Row],[Minimo]]</f>
        <v>8</v>
      </c>
      <c r="S79" t="s">
        <v>38</v>
      </c>
      <c r="T79" s="1" t="s">
        <v>42</v>
      </c>
      <c r="U79" t="s">
        <v>60</v>
      </c>
      <c r="V79" t="s">
        <v>9637</v>
      </c>
      <c r="W79" t="s">
        <v>8692</v>
      </c>
      <c r="X79">
        <v>1</v>
      </c>
      <c r="Y79" s="73">
        <v>4</v>
      </c>
      <c r="Z79"/>
      <c r="AB79" s="80">
        <f>ARTICULOS_MONDELEZ[[#This Row],[Costo]]*ARTICULOS_MONDELEZ[[#This Row],[Pedido]]</f>
        <v>0</v>
      </c>
      <c r="AH79" s="2" t="str">
        <f>IF(AND(ARTICULOS_MONDELEZ[[#This Row],[FechaVenc]]=0,ARTICULOS_MONDELEZ[[#This Row],[DiasVenc]]=0),"",ARTICULOS_MONDELEZ[[#This Row],[FechaVenc]]-ARTICULOS_MONDELEZ[[#This Row],[DiasVenc]])</f>
        <v/>
      </c>
      <c r="AO79" s="30" t="s">
        <v>8689</v>
      </c>
    </row>
    <row r="80" spans="1:41" ht="15.75" x14ac:dyDescent="0.25">
      <c r="A80" s="1" t="s">
        <v>9644</v>
      </c>
      <c r="C80" t="str">
        <f t="shared" si="10"/>
        <v>ALM00829728</v>
      </c>
      <c r="D80" t="s">
        <v>8689</v>
      </c>
      <c r="E80" s="1" t="s">
        <v>9645</v>
      </c>
      <c r="F80" s="61">
        <v>558.6</v>
      </c>
      <c r="G80" s="119">
        <v>0.21</v>
      </c>
      <c r="H80" s="4" t="s">
        <v>8690</v>
      </c>
      <c r="I80">
        <v>6</v>
      </c>
      <c r="J80">
        <v>1</v>
      </c>
      <c r="L80" s="66">
        <f>((ARTICULOS_MONDELEZ[[#This Row],[P. Compra]]*(1+ARTICULOS_MONDELEZ[[#This Row],[IVA]]))/ARTICULOS_MONDELEZ[[#This Row],[UnidFact]])+ARTICULOS_MONDELEZ[[#This Row],[CostoFlete]]</f>
        <v>675.90600000000006</v>
      </c>
      <c r="M80">
        <v>35</v>
      </c>
      <c r="N80" s="68">
        <f>IF(L80&gt;=5,MROUND((L80*(1+(ARTICULOS_MONDELEZ[[#This Row],[IVA]]/100)))/(1-M80/100),50),10)</f>
        <v>1050</v>
      </c>
      <c r="O80" s="3">
        <f>MROUND(ARTICULOS_MONDELEZ[[#This Row],[Precio]]/0.6,50)</f>
        <v>1750</v>
      </c>
      <c r="P80" t="s">
        <v>8693</v>
      </c>
      <c r="Q80">
        <v>2</v>
      </c>
      <c r="R80" s="3">
        <f>ARTICULOS_MONDELEZ[[#This Row],[Bulto]]+ARTICULOS_MONDELEZ[[#This Row],[Minimo]]</f>
        <v>8</v>
      </c>
      <c r="S80" t="s">
        <v>38</v>
      </c>
      <c r="T80" t="s">
        <v>4</v>
      </c>
      <c r="U80" t="s">
        <v>60</v>
      </c>
      <c r="V80" t="s">
        <v>9492</v>
      </c>
      <c r="W80" t="s">
        <v>8692</v>
      </c>
      <c r="X80">
        <v>1</v>
      </c>
      <c r="Y80" s="36">
        <v>3</v>
      </c>
      <c r="Z80"/>
      <c r="AB80" s="80">
        <f>ARTICULOS_MONDELEZ[[#This Row],[Costo]]*ARTICULOS_MONDELEZ[[#This Row],[Pedido]]</f>
        <v>0</v>
      </c>
      <c r="AH80" s="2" t="str">
        <f>IF(AND(ARTICULOS_MONDELEZ[[#This Row],[FechaVenc]]=0,ARTICULOS_MONDELEZ[[#This Row],[DiasVenc]]=0),"",ARTICULOS_MONDELEZ[[#This Row],[FechaVenc]]-ARTICULOS_MONDELEZ[[#This Row],[DiasVenc]])</f>
        <v/>
      </c>
      <c r="AO80" s="30" t="s">
        <v>8689</v>
      </c>
    </row>
    <row r="81" spans="1:41" ht="15.75" x14ac:dyDescent="0.25">
      <c r="A81" s="1" t="s">
        <v>9646</v>
      </c>
      <c r="C81" t="str">
        <f t="shared" si="10"/>
        <v>ALM10723567</v>
      </c>
      <c r="D81" t="s">
        <v>8689</v>
      </c>
      <c r="E81" s="1" t="s">
        <v>9647</v>
      </c>
      <c r="F81" s="61">
        <v>1759.43</v>
      </c>
      <c r="G81" s="119">
        <v>0.21</v>
      </c>
      <c r="H81" s="4" t="s">
        <v>8690</v>
      </c>
      <c r="I81">
        <v>6</v>
      </c>
      <c r="J81">
        <v>1</v>
      </c>
      <c r="L81" s="66">
        <f>((ARTICULOS_MONDELEZ[[#This Row],[P. Compra]]*(1+ARTICULOS_MONDELEZ[[#This Row],[IVA]]))/ARTICULOS_MONDELEZ[[#This Row],[UnidFact]])+ARTICULOS_MONDELEZ[[#This Row],[CostoFlete]]</f>
        <v>2128.9103</v>
      </c>
      <c r="M81">
        <v>35</v>
      </c>
      <c r="N81" s="68">
        <f>IF(L81&gt;=5,MROUND((L81*(1+(ARTICULOS_MONDELEZ[[#This Row],[IVA]]/100)))/(1-M81/100),50),10)</f>
        <v>3300</v>
      </c>
      <c r="O81" s="3">
        <f>MROUND(ARTICULOS_MONDELEZ[[#This Row],[Precio]]/0.6,50)</f>
        <v>5500</v>
      </c>
      <c r="P81" t="s">
        <v>8693</v>
      </c>
      <c r="Q81">
        <v>2</v>
      </c>
      <c r="R81" s="3">
        <f>ARTICULOS_MONDELEZ[[#This Row],[Bulto]]+ARTICULOS_MONDELEZ[[#This Row],[Minimo]]</f>
        <v>8</v>
      </c>
      <c r="S81" t="s">
        <v>38</v>
      </c>
      <c r="T81" t="s">
        <v>4</v>
      </c>
      <c r="U81" t="s">
        <v>60</v>
      </c>
      <c r="V81" t="s">
        <v>9488</v>
      </c>
      <c r="W81" t="s">
        <v>8692</v>
      </c>
      <c r="X81">
        <v>1</v>
      </c>
      <c r="Y81" s="36">
        <v>0</v>
      </c>
      <c r="Z81"/>
      <c r="AB81" s="80">
        <f>ARTICULOS_MONDELEZ[[#This Row],[Costo]]*ARTICULOS_MONDELEZ[[#This Row],[Pedido]]</f>
        <v>0</v>
      </c>
      <c r="AH81" s="2" t="str">
        <f>IF(AND(ARTICULOS_MONDELEZ[[#This Row],[FechaVenc]]=0,ARTICULOS_MONDELEZ[[#This Row],[DiasVenc]]=0),"",ARTICULOS_MONDELEZ[[#This Row],[FechaVenc]]-ARTICULOS_MONDELEZ[[#This Row],[DiasVenc]])</f>
        <v/>
      </c>
      <c r="AO81" s="30" t="s">
        <v>8689</v>
      </c>
    </row>
    <row r="82" spans="1:41" ht="15.75" x14ac:dyDescent="0.25">
      <c r="A82" s="1" t="s">
        <v>9648</v>
      </c>
      <c r="C82" t="str">
        <f t="shared" si="10"/>
        <v>ALM01740368</v>
      </c>
      <c r="D82" t="s">
        <v>8689</v>
      </c>
      <c r="E82" s="1" t="s">
        <v>9649</v>
      </c>
      <c r="F82" s="61">
        <f>F81</f>
        <v>1759.43</v>
      </c>
      <c r="G82" s="119">
        <v>0.21</v>
      </c>
      <c r="H82" s="4" t="s">
        <v>8690</v>
      </c>
      <c r="I82">
        <v>6</v>
      </c>
      <c r="J82">
        <v>1</v>
      </c>
      <c r="L82" s="66">
        <f>((ARTICULOS_MONDELEZ[[#This Row],[P. Compra]]*(1+ARTICULOS_MONDELEZ[[#This Row],[IVA]]))/ARTICULOS_MONDELEZ[[#This Row],[UnidFact]])+ARTICULOS_MONDELEZ[[#This Row],[CostoFlete]]</f>
        <v>2128.9103</v>
      </c>
      <c r="M82">
        <v>35</v>
      </c>
      <c r="N82" s="68">
        <f>IF(L82&gt;=5,MROUND((L82*(1+(ARTICULOS_MONDELEZ[[#This Row],[IVA]]/100)))/(1-M82/100),50),10)</f>
        <v>3300</v>
      </c>
      <c r="O82" s="3">
        <f>MROUND(ARTICULOS_MONDELEZ[[#This Row],[Precio]]/0.6,50)</f>
        <v>5500</v>
      </c>
      <c r="P82" t="s">
        <v>8693</v>
      </c>
      <c r="Q82">
        <v>2</v>
      </c>
      <c r="R82" s="3">
        <f>ARTICULOS_MONDELEZ[[#This Row],[Bulto]]+ARTICULOS_MONDELEZ[[#This Row],[Minimo]]</f>
        <v>8</v>
      </c>
      <c r="S82" t="s">
        <v>38</v>
      </c>
      <c r="T82" t="s">
        <v>4</v>
      </c>
      <c r="U82" t="s">
        <v>60</v>
      </c>
      <c r="V82" t="s">
        <v>9488</v>
      </c>
      <c r="W82" t="s">
        <v>8692</v>
      </c>
      <c r="X82">
        <v>1</v>
      </c>
      <c r="Y82" s="36">
        <v>0</v>
      </c>
      <c r="Z82"/>
      <c r="AB82" s="80">
        <f>ARTICULOS_MONDELEZ[[#This Row],[Costo]]*ARTICULOS_MONDELEZ[[#This Row],[Pedido]]</f>
        <v>0</v>
      </c>
      <c r="AH82" s="2" t="str">
        <f>IF(AND(ARTICULOS_MONDELEZ[[#This Row],[FechaVenc]]=0,ARTICULOS_MONDELEZ[[#This Row],[DiasVenc]]=0),"",ARTICULOS_MONDELEZ[[#This Row],[FechaVenc]]-ARTICULOS_MONDELEZ[[#This Row],[DiasVenc]])</f>
        <v/>
      </c>
      <c r="AO82" s="30" t="s">
        <v>8689</v>
      </c>
    </row>
    <row r="83" spans="1:41" ht="15.75" x14ac:dyDescent="0.25">
      <c r="A83" s="1" t="s">
        <v>9650</v>
      </c>
      <c r="C83" t="str">
        <f t="shared" si="10"/>
        <v>ALM01735845</v>
      </c>
      <c r="D83" t="s">
        <v>8689</v>
      </c>
      <c r="E83" s="1" t="s">
        <v>12161</v>
      </c>
      <c r="F83" s="61">
        <v>748.11</v>
      </c>
      <c r="G83" s="119">
        <v>0.21</v>
      </c>
      <c r="H83" s="4" t="s">
        <v>8690</v>
      </c>
      <c r="I83">
        <v>6</v>
      </c>
      <c r="J83">
        <v>1</v>
      </c>
      <c r="L83" s="66">
        <f>((ARTICULOS_MONDELEZ[[#This Row],[P. Compra]]*(1+ARTICULOS_MONDELEZ[[#This Row],[IVA]]))/ARTICULOS_MONDELEZ[[#This Row],[UnidFact]])+ARTICULOS_MONDELEZ[[#This Row],[CostoFlete]]</f>
        <v>905.21309999999994</v>
      </c>
      <c r="M83">
        <v>35</v>
      </c>
      <c r="N83" s="68">
        <f>IF(L83&gt;=5,MROUND((L83*(1+(ARTICULOS_MONDELEZ[[#This Row],[IVA]]/100)))/(1-M83/100),50),10)</f>
        <v>1400</v>
      </c>
      <c r="O83" s="3">
        <f>MROUND(ARTICULOS_MONDELEZ[[#This Row],[Precio]]/0.6,50)</f>
        <v>2350</v>
      </c>
      <c r="P83" t="s">
        <v>8693</v>
      </c>
      <c r="Q83">
        <v>2</v>
      </c>
      <c r="R83" s="3">
        <f>ARTICULOS_MONDELEZ[[#This Row],[Bulto]]+ARTICULOS_MONDELEZ[[#This Row],[Minimo]]</f>
        <v>8</v>
      </c>
      <c r="S83" t="s">
        <v>38</v>
      </c>
      <c r="T83" t="s">
        <v>4</v>
      </c>
      <c r="U83" t="s">
        <v>60</v>
      </c>
      <c r="V83" t="s">
        <v>9488</v>
      </c>
      <c r="W83" t="s">
        <v>8692</v>
      </c>
      <c r="X83">
        <v>1</v>
      </c>
      <c r="Y83" s="36">
        <v>5</v>
      </c>
      <c r="Z83"/>
      <c r="AB83" s="80">
        <f>ARTICULOS_MONDELEZ[[#This Row],[Costo]]*ARTICULOS_MONDELEZ[[#This Row],[Pedido]]</f>
        <v>0</v>
      </c>
      <c r="AH83" s="2" t="str">
        <f>IF(AND(ARTICULOS_MONDELEZ[[#This Row],[FechaVenc]]=0,ARTICULOS_MONDELEZ[[#This Row],[DiasVenc]]=0),"",ARTICULOS_MONDELEZ[[#This Row],[FechaVenc]]-ARTICULOS_MONDELEZ[[#This Row],[DiasVenc]])</f>
        <v/>
      </c>
      <c r="AO83" s="30" t="s">
        <v>8689</v>
      </c>
    </row>
    <row r="84" spans="1:41" ht="15.75" x14ac:dyDescent="0.25">
      <c r="A84" s="1" t="s">
        <v>9651</v>
      </c>
      <c r="C84" t="str">
        <f t="shared" si="10"/>
        <v>ALM01735296</v>
      </c>
      <c r="D84" t="s">
        <v>8689</v>
      </c>
      <c r="E84" s="1" t="s">
        <v>12162</v>
      </c>
      <c r="F84" s="61">
        <f>F83</f>
        <v>748.11</v>
      </c>
      <c r="G84" s="119">
        <v>0.21</v>
      </c>
      <c r="H84" s="4" t="s">
        <v>8690</v>
      </c>
      <c r="I84">
        <v>6</v>
      </c>
      <c r="J84">
        <v>1</v>
      </c>
      <c r="L84" s="66">
        <f>((ARTICULOS_MONDELEZ[[#This Row],[P. Compra]]*(1+ARTICULOS_MONDELEZ[[#This Row],[IVA]]))/ARTICULOS_MONDELEZ[[#This Row],[UnidFact]])+ARTICULOS_MONDELEZ[[#This Row],[CostoFlete]]</f>
        <v>905.21309999999994</v>
      </c>
      <c r="M84">
        <v>35</v>
      </c>
      <c r="N84" s="68">
        <f>IF(L84&gt;=5,MROUND((L84*(1+(ARTICULOS_MONDELEZ[[#This Row],[IVA]]/100)))/(1-M84/100),50),10)</f>
        <v>1400</v>
      </c>
      <c r="O84" s="3">
        <f>MROUND(ARTICULOS_MONDELEZ[[#This Row],[Precio]]/0.6,50)</f>
        <v>2350</v>
      </c>
      <c r="P84" t="s">
        <v>8693</v>
      </c>
      <c r="Q84">
        <v>2</v>
      </c>
      <c r="R84" s="3">
        <f>ARTICULOS_MONDELEZ[[#This Row],[Bulto]]+ARTICULOS_MONDELEZ[[#This Row],[Minimo]]</f>
        <v>8</v>
      </c>
      <c r="S84" t="s">
        <v>38</v>
      </c>
      <c r="T84" t="s">
        <v>4</v>
      </c>
      <c r="U84" t="s">
        <v>60</v>
      </c>
      <c r="V84" t="s">
        <v>9488</v>
      </c>
      <c r="W84" t="s">
        <v>8692</v>
      </c>
      <c r="X84">
        <v>1</v>
      </c>
      <c r="Y84" s="36">
        <v>4</v>
      </c>
      <c r="Z84"/>
      <c r="AB84" s="80">
        <f>ARTICULOS_MONDELEZ[[#This Row],[Costo]]*ARTICULOS_MONDELEZ[[#This Row],[Pedido]]</f>
        <v>0</v>
      </c>
      <c r="AH84" s="2" t="str">
        <f>IF(AND(ARTICULOS_MONDELEZ[[#This Row],[FechaVenc]]=0,ARTICULOS_MONDELEZ[[#This Row],[DiasVenc]]=0),"",ARTICULOS_MONDELEZ[[#This Row],[FechaVenc]]-ARTICULOS_MONDELEZ[[#This Row],[DiasVenc]])</f>
        <v/>
      </c>
      <c r="AO84" s="30" t="s">
        <v>8689</v>
      </c>
    </row>
    <row r="85" spans="1:41" ht="15.75" x14ac:dyDescent="0.25">
      <c r="A85" s="1" t="s">
        <v>9652</v>
      </c>
      <c r="C85" t="str">
        <f t="shared" si="10"/>
        <v>ALM01806552</v>
      </c>
      <c r="D85" t="s">
        <v>8689</v>
      </c>
      <c r="E85" s="1" t="s">
        <v>12163</v>
      </c>
      <c r="F85" s="61">
        <f>F84</f>
        <v>748.11</v>
      </c>
      <c r="G85" s="119">
        <v>0.21</v>
      </c>
      <c r="H85" s="4" t="s">
        <v>8690</v>
      </c>
      <c r="I85">
        <v>6</v>
      </c>
      <c r="J85">
        <v>1</v>
      </c>
      <c r="L85" s="66">
        <f>((ARTICULOS_MONDELEZ[[#This Row],[P. Compra]]*(1+ARTICULOS_MONDELEZ[[#This Row],[IVA]]))/ARTICULOS_MONDELEZ[[#This Row],[UnidFact]])+ARTICULOS_MONDELEZ[[#This Row],[CostoFlete]]</f>
        <v>905.21309999999994</v>
      </c>
      <c r="M85">
        <v>35</v>
      </c>
      <c r="N85" s="68">
        <f>IF(L85&gt;=5,MROUND((L85*(1+(ARTICULOS_MONDELEZ[[#This Row],[IVA]]/100)))/(1-M85/100),50),10)</f>
        <v>1400</v>
      </c>
      <c r="O85" s="3">
        <f>MROUND(ARTICULOS_MONDELEZ[[#This Row],[Precio]]/0.6,50)</f>
        <v>2350</v>
      </c>
      <c r="P85" t="s">
        <v>8693</v>
      </c>
      <c r="Q85">
        <v>2</v>
      </c>
      <c r="R85" s="3">
        <f>ARTICULOS_MONDELEZ[[#This Row],[Bulto]]+ARTICULOS_MONDELEZ[[#This Row],[Minimo]]</f>
        <v>8</v>
      </c>
      <c r="S85" t="s">
        <v>38</v>
      </c>
      <c r="T85" t="s">
        <v>4</v>
      </c>
      <c r="U85" t="s">
        <v>60</v>
      </c>
      <c r="V85" t="s">
        <v>9488</v>
      </c>
      <c r="W85" t="s">
        <v>8692</v>
      </c>
      <c r="X85">
        <v>1</v>
      </c>
      <c r="Y85" s="36">
        <v>5</v>
      </c>
      <c r="Z85"/>
      <c r="AB85" s="80">
        <f>ARTICULOS_MONDELEZ[[#This Row],[Costo]]*ARTICULOS_MONDELEZ[[#This Row],[Pedido]]</f>
        <v>0</v>
      </c>
      <c r="AH85" s="2" t="str">
        <f>IF(AND(ARTICULOS_MONDELEZ[[#This Row],[FechaVenc]]=0,ARTICULOS_MONDELEZ[[#This Row],[DiasVenc]]=0),"",ARTICULOS_MONDELEZ[[#This Row],[FechaVenc]]-ARTICULOS_MONDELEZ[[#This Row],[DiasVenc]])</f>
        <v/>
      </c>
      <c r="AO85" s="30" t="s">
        <v>8689</v>
      </c>
    </row>
    <row r="86" spans="1:41" ht="15.75" x14ac:dyDescent="0.25">
      <c r="A86" s="1" t="s">
        <v>9653</v>
      </c>
      <c r="C86" t="str">
        <f t="shared" si="10"/>
        <v>ALM01735869</v>
      </c>
      <c r="D86" t="s">
        <v>8689</v>
      </c>
      <c r="E86" s="1" t="s">
        <v>12164</v>
      </c>
      <c r="F86" s="61">
        <f>F85</f>
        <v>748.11</v>
      </c>
      <c r="G86" s="119">
        <v>0.21</v>
      </c>
      <c r="H86" s="4" t="s">
        <v>8690</v>
      </c>
      <c r="I86">
        <v>6</v>
      </c>
      <c r="J86">
        <v>1</v>
      </c>
      <c r="L86" s="66">
        <f>((ARTICULOS_MONDELEZ[[#This Row],[P. Compra]]*(1+ARTICULOS_MONDELEZ[[#This Row],[IVA]]))/ARTICULOS_MONDELEZ[[#This Row],[UnidFact]])+ARTICULOS_MONDELEZ[[#This Row],[CostoFlete]]</f>
        <v>905.21309999999994</v>
      </c>
      <c r="M86">
        <v>35</v>
      </c>
      <c r="N86" s="68">
        <f>IF(L86&gt;=5,MROUND((L86*(1+(ARTICULOS_MONDELEZ[[#This Row],[IVA]]/100)))/(1-M86/100),50),10)</f>
        <v>1400</v>
      </c>
      <c r="O86" s="3">
        <f>MROUND(ARTICULOS_MONDELEZ[[#This Row],[Precio]]/0.6,50)</f>
        <v>2350</v>
      </c>
      <c r="P86" t="s">
        <v>8693</v>
      </c>
      <c r="Q86">
        <v>2</v>
      </c>
      <c r="R86" s="3">
        <f>ARTICULOS_MONDELEZ[[#This Row],[Bulto]]+ARTICULOS_MONDELEZ[[#This Row],[Minimo]]</f>
        <v>8</v>
      </c>
      <c r="S86" t="s">
        <v>38</v>
      </c>
      <c r="T86" t="s">
        <v>4</v>
      </c>
      <c r="U86" t="s">
        <v>60</v>
      </c>
      <c r="V86" t="s">
        <v>9488</v>
      </c>
      <c r="W86" t="s">
        <v>8692</v>
      </c>
      <c r="X86">
        <v>1</v>
      </c>
      <c r="Y86" s="36">
        <v>4</v>
      </c>
      <c r="Z86"/>
      <c r="AB86" s="80">
        <f>ARTICULOS_MONDELEZ[[#This Row],[Costo]]*ARTICULOS_MONDELEZ[[#This Row],[Pedido]]</f>
        <v>0</v>
      </c>
      <c r="AH86" s="2" t="str">
        <f>IF(AND(ARTICULOS_MONDELEZ[[#This Row],[FechaVenc]]=0,ARTICULOS_MONDELEZ[[#This Row],[DiasVenc]]=0),"",ARTICULOS_MONDELEZ[[#This Row],[FechaVenc]]-ARTICULOS_MONDELEZ[[#This Row],[DiasVenc]])</f>
        <v/>
      </c>
      <c r="AO86" s="30" t="s">
        <v>8689</v>
      </c>
    </row>
    <row r="87" spans="1:41" ht="15.75" x14ac:dyDescent="0.25">
      <c r="A87" s="1" t="s">
        <v>12159</v>
      </c>
      <c r="C87" t="str">
        <f t="shared" ref="C87" si="11">CONCATENATE(LEFT(T87,3),RIGHT(A87,8))</f>
        <v>ALM02038099</v>
      </c>
      <c r="D87" t="s">
        <v>8689</v>
      </c>
      <c r="E87" s="1" t="s">
        <v>12160</v>
      </c>
      <c r="F87" s="61">
        <v>956.63</v>
      </c>
      <c r="G87" s="119">
        <v>0.21</v>
      </c>
      <c r="H87" s="4" t="s">
        <v>8690</v>
      </c>
      <c r="I87">
        <v>6</v>
      </c>
      <c r="J87">
        <v>1</v>
      </c>
      <c r="L87" s="66">
        <f>((ARTICULOS_MONDELEZ[[#This Row],[P. Compra]]*(1+ARTICULOS_MONDELEZ[[#This Row],[IVA]]))/ARTICULOS_MONDELEZ[[#This Row],[UnidFact]])+ARTICULOS_MONDELEZ[[#This Row],[CostoFlete]]</f>
        <v>1157.5222999999999</v>
      </c>
      <c r="M87">
        <v>35</v>
      </c>
      <c r="N87" s="68">
        <f>IF(L87&gt;=5,MROUND((L87*(1+(ARTICULOS_MONDELEZ[[#This Row],[IVA]]/100)))/(1-M87/100),50),10)</f>
        <v>1800</v>
      </c>
      <c r="O87" s="3">
        <f>MROUND(ARTICULOS_MONDELEZ[[#This Row],[Precio]]/0.6,50)</f>
        <v>3000</v>
      </c>
      <c r="P87" t="s">
        <v>8693</v>
      </c>
      <c r="Q87">
        <v>2</v>
      </c>
      <c r="R87" s="3">
        <f>ARTICULOS_MONDELEZ[[#This Row],[Bulto]]+ARTICULOS_MONDELEZ[[#This Row],[Minimo]]</f>
        <v>8</v>
      </c>
      <c r="S87" t="s">
        <v>38</v>
      </c>
      <c r="T87" t="s">
        <v>4</v>
      </c>
      <c r="U87" t="s">
        <v>60</v>
      </c>
      <c r="V87" t="s">
        <v>9488</v>
      </c>
      <c r="W87" t="s">
        <v>8692</v>
      </c>
      <c r="X87">
        <v>1</v>
      </c>
      <c r="Y87" s="36">
        <v>4</v>
      </c>
      <c r="Z87"/>
      <c r="AB87" s="80">
        <f>ARTICULOS_MONDELEZ[[#This Row],[Costo]]*ARTICULOS_MONDELEZ[[#This Row],[Pedido]]</f>
        <v>0</v>
      </c>
      <c r="AH87" s="2" t="str">
        <f>IF(AND(ARTICULOS_MONDELEZ[[#This Row],[FechaVenc]]=0,ARTICULOS_MONDELEZ[[#This Row],[DiasVenc]]=0),"",ARTICULOS_MONDELEZ[[#This Row],[FechaVenc]]-ARTICULOS_MONDELEZ[[#This Row],[DiasVenc]])</f>
        <v/>
      </c>
      <c r="AO87" s="30" t="s">
        <v>8689</v>
      </c>
    </row>
    <row r="88" spans="1:41" ht="15.75" x14ac:dyDescent="0.25">
      <c r="A88" s="1" t="s">
        <v>9654</v>
      </c>
      <c r="C88" t="str">
        <f t="shared" si="10"/>
        <v>ALM01761288</v>
      </c>
      <c r="D88" t="s">
        <v>8689</v>
      </c>
      <c r="E88" s="1" t="s">
        <v>9655</v>
      </c>
      <c r="F88" s="61">
        <v>334.42</v>
      </c>
      <c r="G88" s="119">
        <v>0.21</v>
      </c>
      <c r="H88" s="4" t="s">
        <v>8690</v>
      </c>
      <c r="I88">
        <v>6</v>
      </c>
      <c r="J88">
        <v>1</v>
      </c>
      <c r="L88" s="66">
        <f>((ARTICULOS_MONDELEZ[[#This Row],[P. Compra]]*(1+ARTICULOS_MONDELEZ[[#This Row],[IVA]]))/ARTICULOS_MONDELEZ[[#This Row],[UnidFact]])+ARTICULOS_MONDELEZ[[#This Row],[CostoFlete]]</f>
        <v>404.64820000000003</v>
      </c>
      <c r="M88">
        <v>35</v>
      </c>
      <c r="N88" s="68">
        <f>IF(L88&gt;=5,MROUND((L88*(1+(ARTICULOS_MONDELEZ[[#This Row],[IVA]]/100)))/(1-M88/100),50),10)</f>
        <v>600</v>
      </c>
      <c r="O88" s="3">
        <f>MROUND(ARTICULOS_MONDELEZ[[#This Row],[Precio]]/0.6,50)</f>
        <v>1000</v>
      </c>
      <c r="P88" t="s">
        <v>8693</v>
      </c>
      <c r="Q88">
        <v>2</v>
      </c>
      <c r="R88" s="3">
        <f>ARTICULOS_MONDELEZ[[#This Row],[Bulto]]+ARTICULOS_MONDELEZ[[#This Row],[Minimo]]</f>
        <v>8</v>
      </c>
      <c r="S88" t="s">
        <v>38</v>
      </c>
      <c r="T88" t="s">
        <v>4</v>
      </c>
      <c r="U88" t="s">
        <v>60</v>
      </c>
      <c r="V88" t="s">
        <v>9488</v>
      </c>
      <c r="W88" t="s">
        <v>8692</v>
      </c>
      <c r="X88">
        <v>1</v>
      </c>
      <c r="Y88" s="36">
        <v>12</v>
      </c>
      <c r="Z88"/>
      <c r="AB88" s="80">
        <f>ARTICULOS_MONDELEZ[[#This Row],[Costo]]*ARTICULOS_MONDELEZ[[#This Row],[Pedido]]</f>
        <v>0</v>
      </c>
      <c r="AH88" s="2" t="str">
        <f>IF(AND(ARTICULOS_MONDELEZ[[#This Row],[FechaVenc]]=0,ARTICULOS_MONDELEZ[[#This Row],[DiasVenc]]=0),"",ARTICULOS_MONDELEZ[[#This Row],[FechaVenc]]-ARTICULOS_MONDELEZ[[#This Row],[DiasVenc]])</f>
        <v/>
      </c>
      <c r="AO88" s="30" t="s">
        <v>8689</v>
      </c>
    </row>
    <row r="89" spans="1:41" ht="15.75" x14ac:dyDescent="0.25">
      <c r="A89" s="1" t="s">
        <v>9656</v>
      </c>
      <c r="C89" t="str">
        <f t="shared" si="10"/>
        <v>ALM01735906</v>
      </c>
      <c r="D89" t="s">
        <v>8689</v>
      </c>
      <c r="E89" s="1" t="s">
        <v>9657</v>
      </c>
      <c r="F89" s="61">
        <v>753.12</v>
      </c>
      <c r="G89" s="119">
        <v>0.21</v>
      </c>
      <c r="H89" s="4" t="s">
        <v>8690</v>
      </c>
      <c r="I89">
        <v>6</v>
      </c>
      <c r="J89">
        <v>1</v>
      </c>
      <c r="L89" s="66">
        <f>((ARTICULOS_MONDELEZ[[#This Row],[P. Compra]]*(1+ARTICULOS_MONDELEZ[[#This Row],[IVA]]))/ARTICULOS_MONDELEZ[[#This Row],[UnidFact]])+ARTICULOS_MONDELEZ[[#This Row],[CostoFlete]]</f>
        <v>911.27519999999993</v>
      </c>
      <c r="M89">
        <v>35</v>
      </c>
      <c r="N89" s="68">
        <f>IF(L89&gt;=5,MROUND((L89*(1+(ARTICULOS_MONDELEZ[[#This Row],[IVA]]/100)))/(1-M89/100),50),10)</f>
        <v>1400</v>
      </c>
      <c r="O89" s="3">
        <f>MROUND(ARTICULOS_MONDELEZ[[#This Row],[Precio]]/0.6,50)</f>
        <v>2350</v>
      </c>
      <c r="P89" t="s">
        <v>8693</v>
      </c>
      <c r="Q89">
        <v>2</v>
      </c>
      <c r="R89" s="3">
        <f>ARTICULOS_MONDELEZ[[#This Row],[Bulto]]+ARTICULOS_MONDELEZ[[#This Row],[Minimo]]</f>
        <v>8</v>
      </c>
      <c r="S89" t="s">
        <v>38</v>
      </c>
      <c r="T89" t="s">
        <v>4</v>
      </c>
      <c r="U89" t="s">
        <v>60</v>
      </c>
      <c r="V89" t="s">
        <v>9491</v>
      </c>
      <c r="W89" t="s">
        <v>8692</v>
      </c>
      <c r="X89">
        <v>1</v>
      </c>
      <c r="Y89" s="36">
        <v>14</v>
      </c>
      <c r="Z89"/>
      <c r="AB89" s="80">
        <f>ARTICULOS_MONDELEZ[[#This Row],[Costo]]*ARTICULOS_MONDELEZ[[#This Row],[Pedido]]</f>
        <v>0</v>
      </c>
      <c r="AH89" s="2" t="str">
        <f>IF(AND(ARTICULOS_MONDELEZ[[#This Row],[FechaVenc]]=0,ARTICULOS_MONDELEZ[[#This Row],[DiasVenc]]=0),"",ARTICULOS_MONDELEZ[[#This Row],[FechaVenc]]-ARTICULOS_MONDELEZ[[#This Row],[DiasVenc]])</f>
        <v/>
      </c>
      <c r="AO89" s="30" t="s">
        <v>8689</v>
      </c>
    </row>
    <row r="90" spans="1:41" ht="15.75" x14ac:dyDescent="0.25">
      <c r="A90" s="1" t="s">
        <v>9658</v>
      </c>
      <c r="C90" t="str">
        <f t="shared" si="10"/>
        <v>ALM01740399</v>
      </c>
      <c r="D90" t="s">
        <v>8689</v>
      </c>
      <c r="E90" s="1" t="s">
        <v>9659</v>
      </c>
      <c r="F90" s="61">
        <f>F88</f>
        <v>334.42</v>
      </c>
      <c r="G90" s="119">
        <v>0.21</v>
      </c>
      <c r="H90" s="4" t="s">
        <v>8690</v>
      </c>
      <c r="I90">
        <v>6</v>
      </c>
      <c r="J90">
        <v>1</v>
      </c>
      <c r="L90" s="66">
        <f>((ARTICULOS_MONDELEZ[[#This Row],[P. Compra]]*(1+ARTICULOS_MONDELEZ[[#This Row],[IVA]]))/ARTICULOS_MONDELEZ[[#This Row],[UnidFact]])+ARTICULOS_MONDELEZ[[#This Row],[CostoFlete]]</f>
        <v>404.64820000000003</v>
      </c>
      <c r="M90">
        <v>35</v>
      </c>
      <c r="N90" s="68">
        <f>IF(L90&gt;=5,MROUND((L90*(1+(ARTICULOS_MONDELEZ[[#This Row],[IVA]]/100)))/(1-M90/100),50),10)</f>
        <v>600</v>
      </c>
      <c r="O90" s="3">
        <f>MROUND(ARTICULOS_MONDELEZ[[#This Row],[Precio]]/0.6,50)</f>
        <v>1000</v>
      </c>
      <c r="P90" t="s">
        <v>8693</v>
      </c>
      <c r="Q90">
        <v>2</v>
      </c>
      <c r="R90" s="3">
        <f>ARTICULOS_MONDELEZ[[#This Row],[Bulto]]+ARTICULOS_MONDELEZ[[#This Row],[Minimo]]</f>
        <v>8</v>
      </c>
      <c r="S90" t="s">
        <v>38</v>
      </c>
      <c r="T90" t="s">
        <v>4</v>
      </c>
      <c r="U90" t="s">
        <v>60</v>
      </c>
      <c r="V90" t="s">
        <v>9491</v>
      </c>
      <c r="W90" t="s">
        <v>8692</v>
      </c>
      <c r="X90">
        <v>1</v>
      </c>
      <c r="Y90" s="36">
        <v>0</v>
      </c>
      <c r="Z90"/>
      <c r="AB90" s="80">
        <f>ARTICULOS_MONDELEZ[[#This Row],[Costo]]*ARTICULOS_MONDELEZ[[#This Row],[Pedido]]</f>
        <v>0</v>
      </c>
      <c r="AH90" s="2" t="str">
        <f>IF(AND(ARTICULOS_MONDELEZ[[#This Row],[FechaVenc]]=0,ARTICULOS_MONDELEZ[[#This Row],[DiasVenc]]=0),"",ARTICULOS_MONDELEZ[[#This Row],[FechaVenc]]-ARTICULOS_MONDELEZ[[#This Row],[DiasVenc]])</f>
        <v/>
      </c>
      <c r="AO90" s="30" t="s">
        <v>8689</v>
      </c>
    </row>
    <row r="91" spans="1:41" ht="15.75" x14ac:dyDescent="0.25">
      <c r="A91" s="1" t="s">
        <v>9660</v>
      </c>
      <c r="C91" t="str">
        <f t="shared" si="10"/>
        <v>KIO77995681</v>
      </c>
      <c r="D91" t="s">
        <v>8689</v>
      </c>
      <c r="E91" s="1" t="s">
        <v>9661</v>
      </c>
      <c r="F91" s="61">
        <v>401.83</v>
      </c>
      <c r="G91" s="119">
        <v>0.21</v>
      </c>
      <c r="H91" s="4" t="s">
        <v>8690</v>
      </c>
      <c r="I91">
        <v>36</v>
      </c>
      <c r="J91">
        <v>1</v>
      </c>
      <c r="L91" s="66">
        <f>((ARTICULOS_MONDELEZ[[#This Row],[P. Compra]]*(1+ARTICULOS_MONDELEZ[[#This Row],[IVA]]))/ARTICULOS_MONDELEZ[[#This Row],[UnidFact]])+ARTICULOS_MONDELEZ[[#This Row],[CostoFlete]]</f>
        <v>486.21429999999998</v>
      </c>
      <c r="M91">
        <v>35</v>
      </c>
      <c r="N91" s="68">
        <f>IF(L91&gt;=5,MROUND((L91*(1+(ARTICULOS_MONDELEZ[[#This Row],[IVA]]/100)))/(1-M91/100),50),10)</f>
        <v>750</v>
      </c>
      <c r="O91" s="3">
        <f>MROUND(ARTICULOS_MONDELEZ[[#This Row],[Precio]]/0.6,50)</f>
        <v>1250</v>
      </c>
      <c r="P91" t="s">
        <v>8693</v>
      </c>
      <c r="Q91">
        <v>2</v>
      </c>
      <c r="R91" s="3">
        <f>ARTICULOS_MONDELEZ[[#This Row],[Bulto]]+ARTICULOS_MONDELEZ[[#This Row],[Minimo]]</f>
        <v>38</v>
      </c>
      <c r="S91" t="s">
        <v>38</v>
      </c>
      <c r="T91" t="s">
        <v>27</v>
      </c>
      <c r="U91" t="s">
        <v>60</v>
      </c>
      <c r="V91" t="s">
        <v>9492</v>
      </c>
      <c r="W91" t="s">
        <v>8692</v>
      </c>
      <c r="X91">
        <v>1</v>
      </c>
      <c r="Y91" s="36">
        <v>10</v>
      </c>
      <c r="Z91"/>
      <c r="AB91" s="80">
        <f>ARTICULOS_MONDELEZ[[#This Row],[Costo]]*ARTICULOS_MONDELEZ[[#This Row],[Pedido]]</f>
        <v>0</v>
      </c>
      <c r="AH91" s="2" t="str">
        <f>IF(AND(ARTICULOS_MONDELEZ[[#This Row],[FechaVenc]]=0,ARTICULOS_MONDELEZ[[#This Row],[DiasVenc]]=0),"",ARTICULOS_MONDELEZ[[#This Row],[FechaVenc]]-ARTICULOS_MONDELEZ[[#This Row],[DiasVenc]])</f>
        <v/>
      </c>
      <c r="AO91" s="30" t="s">
        <v>8689</v>
      </c>
    </row>
    <row r="92" spans="1:41" ht="15.75" x14ac:dyDescent="0.25">
      <c r="A92" s="1" t="s">
        <v>9662</v>
      </c>
      <c r="C92" t="str">
        <f t="shared" si="10"/>
        <v>KIO01142223</v>
      </c>
      <c r="D92" t="s">
        <v>8689</v>
      </c>
      <c r="E92" s="1" t="s">
        <v>9663</v>
      </c>
      <c r="F92" s="61">
        <f>F91</f>
        <v>401.83</v>
      </c>
      <c r="G92" s="119">
        <v>0.21</v>
      </c>
      <c r="H92" s="4" t="s">
        <v>8690</v>
      </c>
      <c r="I92">
        <v>36</v>
      </c>
      <c r="J92">
        <v>1</v>
      </c>
      <c r="L92" s="66">
        <f>((ARTICULOS_MONDELEZ[[#This Row],[P. Compra]]*(1+ARTICULOS_MONDELEZ[[#This Row],[IVA]]))/ARTICULOS_MONDELEZ[[#This Row],[UnidFact]])+ARTICULOS_MONDELEZ[[#This Row],[CostoFlete]]</f>
        <v>486.21429999999998</v>
      </c>
      <c r="M92">
        <v>35</v>
      </c>
      <c r="N92" s="68">
        <f>IF(L92&gt;=5,MROUND((L92*(1+(ARTICULOS_MONDELEZ[[#This Row],[IVA]]/100)))/(1-M92/100),50),10)</f>
        <v>750</v>
      </c>
      <c r="O92" s="3">
        <f>MROUND(ARTICULOS_MONDELEZ[[#This Row],[Precio]]/0.6,50)</f>
        <v>1250</v>
      </c>
      <c r="P92" t="s">
        <v>8693</v>
      </c>
      <c r="Q92">
        <v>2</v>
      </c>
      <c r="R92" s="3">
        <f>ARTICULOS_MONDELEZ[[#This Row],[Bulto]]+ARTICULOS_MONDELEZ[[#This Row],[Minimo]]</f>
        <v>38</v>
      </c>
      <c r="S92" t="s">
        <v>38</v>
      </c>
      <c r="T92" t="s">
        <v>27</v>
      </c>
      <c r="U92" t="s">
        <v>60</v>
      </c>
      <c r="V92" t="s">
        <v>9492</v>
      </c>
      <c r="W92" t="s">
        <v>8692</v>
      </c>
      <c r="X92">
        <v>1</v>
      </c>
      <c r="Y92" s="36">
        <v>0</v>
      </c>
      <c r="Z92"/>
      <c r="AB92" s="80">
        <f>ARTICULOS_MONDELEZ[[#This Row],[Costo]]*ARTICULOS_MONDELEZ[[#This Row],[Pedido]]</f>
        <v>0</v>
      </c>
      <c r="AH92" s="2" t="str">
        <f>IF(AND(ARTICULOS_MONDELEZ[[#This Row],[FechaVenc]]=0,ARTICULOS_MONDELEZ[[#This Row],[DiasVenc]]=0),"",ARTICULOS_MONDELEZ[[#This Row],[FechaVenc]]-ARTICULOS_MONDELEZ[[#This Row],[DiasVenc]])</f>
        <v/>
      </c>
      <c r="AO92" s="30" t="s">
        <v>8689</v>
      </c>
    </row>
    <row r="93" spans="1:41" ht="15.75" x14ac:dyDescent="0.25">
      <c r="A93" s="1" t="s">
        <v>9664</v>
      </c>
      <c r="C93" t="str">
        <f t="shared" si="10"/>
        <v>KIO77907943</v>
      </c>
      <c r="D93" t="s">
        <v>8689</v>
      </c>
      <c r="E93" s="1" t="s">
        <v>9665</v>
      </c>
      <c r="F93" s="61">
        <v>3824.6</v>
      </c>
      <c r="G93" s="119">
        <v>0.21</v>
      </c>
      <c r="H93" s="4" t="s">
        <v>8690</v>
      </c>
      <c r="I93">
        <v>50</v>
      </c>
      <c r="J93">
        <v>50</v>
      </c>
      <c r="L93" s="66">
        <f>((ARTICULOS_MONDELEZ[[#This Row],[P. Compra]]*(1+ARTICULOS_MONDELEZ[[#This Row],[IVA]]))/ARTICULOS_MONDELEZ[[#This Row],[UnidFact]])+ARTICULOS_MONDELEZ[[#This Row],[CostoFlete]]</f>
        <v>92.555319999999995</v>
      </c>
      <c r="M93">
        <v>35</v>
      </c>
      <c r="N93" s="68">
        <f>IF(L93&gt;=5,MROUND((L93*(1+(ARTICULOS_MONDELEZ[[#This Row],[IVA]]/100)))/(1-M93/100),50),10)</f>
        <v>150</v>
      </c>
      <c r="O93" s="3">
        <f>MROUND(ARTICULOS_MONDELEZ[[#This Row],[Precio]]/0.6,50)</f>
        <v>250</v>
      </c>
      <c r="P93" t="s">
        <v>8693</v>
      </c>
      <c r="Q93">
        <v>10</v>
      </c>
      <c r="R93" s="3">
        <f>ARTICULOS_MONDELEZ[[#This Row],[Bulto]]+ARTICULOS_MONDELEZ[[#This Row],[Minimo]]</f>
        <v>60</v>
      </c>
      <c r="S93" t="s">
        <v>38</v>
      </c>
      <c r="T93" t="s">
        <v>27</v>
      </c>
      <c r="U93" t="s">
        <v>64</v>
      </c>
      <c r="V93" t="s">
        <v>38</v>
      </c>
      <c r="W93" t="s">
        <v>8692</v>
      </c>
      <c r="X93">
        <v>1</v>
      </c>
      <c r="Y93" s="36">
        <v>50</v>
      </c>
      <c r="Z93"/>
      <c r="AB93" s="80">
        <f>ARTICULOS_MONDELEZ[[#This Row],[Costo]]*ARTICULOS_MONDELEZ[[#This Row],[Pedido]]</f>
        <v>0</v>
      </c>
      <c r="AH93" s="2" t="str">
        <f>IF(AND(ARTICULOS_MONDELEZ[[#This Row],[FechaVenc]]=0,ARTICULOS_MONDELEZ[[#This Row],[DiasVenc]]=0),"",ARTICULOS_MONDELEZ[[#This Row],[FechaVenc]]-ARTICULOS_MONDELEZ[[#This Row],[DiasVenc]])</f>
        <v/>
      </c>
      <c r="AO93" s="30" t="s">
        <v>8689</v>
      </c>
    </row>
    <row r="94" spans="1:41" ht="15.75" x14ac:dyDescent="0.25">
      <c r="A94" s="24" t="s">
        <v>9666</v>
      </c>
      <c r="C94" t="str">
        <f t="shared" si="10"/>
        <v>ALM01807559</v>
      </c>
      <c r="D94" t="s">
        <v>8689</v>
      </c>
      <c r="E94" s="1" t="s">
        <v>9667</v>
      </c>
      <c r="F94" s="61">
        <v>3465.35</v>
      </c>
      <c r="G94" s="119">
        <v>0.21</v>
      </c>
      <c r="H94" s="4" t="s">
        <v>8690</v>
      </c>
      <c r="I94">
        <v>20</v>
      </c>
      <c r="J94">
        <v>20</v>
      </c>
      <c r="L94" s="66">
        <f>((ARTICULOS_MONDELEZ[[#This Row],[P. Compra]]*(1+ARTICULOS_MONDELEZ[[#This Row],[IVA]]))/ARTICULOS_MONDELEZ[[#This Row],[UnidFact]])+ARTICULOS_MONDELEZ[[#This Row],[CostoFlete]]</f>
        <v>209.65367499999996</v>
      </c>
      <c r="M94">
        <v>35</v>
      </c>
      <c r="N94" s="68">
        <f>IF(L94&gt;=5,MROUND((L94*(1+(ARTICULOS_MONDELEZ[[#This Row],[IVA]]/100)))/(1-M94/100),50),10)</f>
        <v>300</v>
      </c>
      <c r="O94" s="3">
        <f>MROUND(ARTICULOS_MONDELEZ[[#This Row],[Precio]]/0.6,50)</f>
        <v>500</v>
      </c>
      <c r="P94" t="s">
        <v>8693</v>
      </c>
      <c r="Q94">
        <v>5</v>
      </c>
      <c r="R94" s="3">
        <f>ARTICULOS_MONDELEZ[[#This Row],[Bulto]]+ARTICULOS_MONDELEZ[[#This Row],[Minimo]]</f>
        <v>25</v>
      </c>
      <c r="S94" t="s">
        <v>38</v>
      </c>
      <c r="T94" t="s">
        <v>4</v>
      </c>
      <c r="U94" t="s">
        <v>77</v>
      </c>
      <c r="V94" t="s">
        <v>9668</v>
      </c>
      <c r="W94" t="s">
        <v>8692</v>
      </c>
      <c r="X94">
        <v>1</v>
      </c>
      <c r="Y94" s="36">
        <v>37</v>
      </c>
      <c r="Z94"/>
      <c r="AB94" s="80">
        <f>ARTICULOS_MONDELEZ[[#This Row],[Costo]]*ARTICULOS_MONDELEZ[[#This Row],[Pedido]]</f>
        <v>0</v>
      </c>
      <c r="AH94" s="2" t="str">
        <f>IF(AND(ARTICULOS_MONDELEZ[[#This Row],[FechaVenc]]=0,ARTICULOS_MONDELEZ[[#This Row],[DiasVenc]]=0),"",ARTICULOS_MONDELEZ[[#This Row],[FechaVenc]]-ARTICULOS_MONDELEZ[[#This Row],[DiasVenc]])</f>
        <v/>
      </c>
      <c r="AO94" s="30" t="s">
        <v>8689</v>
      </c>
    </row>
    <row r="95" spans="1:41" ht="15.75" x14ac:dyDescent="0.25">
      <c r="A95" s="1" t="s">
        <v>9669</v>
      </c>
      <c r="C95" t="str">
        <f t="shared" si="10"/>
        <v>ALM01807580</v>
      </c>
      <c r="D95" t="s">
        <v>8689</v>
      </c>
      <c r="E95" s="1" t="s">
        <v>9670</v>
      </c>
      <c r="F95" s="61">
        <f>F94</f>
        <v>3465.35</v>
      </c>
      <c r="G95" s="119">
        <v>0.21</v>
      </c>
      <c r="H95" s="4" t="s">
        <v>8690</v>
      </c>
      <c r="I95">
        <v>20</v>
      </c>
      <c r="J95">
        <v>20</v>
      </c>
      <c r="L95" s="66">
        <f>((ARTICULOS_MONDELEZ[[#This Row],[P. Compra]]*(1+ARTICULOS_MONDELEZ[[#This Row],[IVA]]))/ARTICULOS_MONDELEZ[[#This Row],[UnidFact]])+ARTICULOS_MONDELEZ[[#This Row],[CostoFlete]]</f>
        <v>209.65367499999996</v>
      </c>
      <c r="M95">
        <v>35</v>
      </c>
      <c r="N95" s="68">
        <f>IF(L95&gt;=5,MROUND((L95*(1+(ARTICULOS_MONDELEZ[[#This Row],[IVA]]/100)))/(1-M95/100),50),10)</f>
        <v>300</v>
      </c>
      <c r="O95" s="3">
        <f>MROUND(ARTICULOS_MONDELEZ[[#This Row],[Precio]]/0.6,50)</f>
        <v>500</v>
      </c>
      <c r="P95" t="s">
        <v>8693</v>
      </c>
      <c r="Q95">
        <v>5</v>
      </c>
      <c r="R95" s="3">
        <f>ARTICULOS_MONDELEZ[[#This Row],[Bulto]]+ARTICULOS_MONDELEZ[[#This Row],[Minimo]]</f>
        <v>25</v>
      </c>
      <c r="S95" t="s">
        <v>38</v>
      </c>
      <c r="T95" t="s">
        <v>4</v>
      </c>
      <c r="U95" t="s">
        <v>77</v>
      </c>
      <c r="V95" t="s">
        <v>9668</v>
      </c>
      <c r="W95" t="s">
        <v>8692</v>
      </c>
      <c r="X95">
        <v>1</v>
      </c>
      <c r="Y95" s="36">
        <v>0</v>
      </c>
      <c r="Z95"/>
      <c r="AB95" s="80">
        <f>ARTICULOS_MONDELEZ[[#This Row],[Costo]]*ARTICULOS_MONDELEZ[[#This Row],[Pedido]]</f>
        <v>0</v>
      </c>
      <c r="AH95" s="2" t="str">
        <f>IF(AND(ARTICULOS_MONDELEZ[[#This Row],[FechaVenc]]=0,ARTICULOS_MONDELEZ[[#This Row],[DiasVenc]]=0),"",ARTICULOS_MONDELEZ[[#This Row],[FechaVenc]]-ARTICULOS_MONDELEZ[[#This Row],[DiasVenc]])</f>
        <v/>
      </c>
      <c r="AO95" s="30" t="s">
        <v>8689</v>
      </c>
    </row>
    <row r="96" spans="1:41" ht="15.75" x14ac:dyDescent="0.25">
      <c r="A96" s="1" t="s">
        <v>9671</v>
      </c>
      <c r="C96" t="str">
        <f t="shared" si="10"/>
        <v>ALM01703080</v>
      </c>
      <c r="D96" t="s">
        <v>8689</v>
      </c>
      <c r="E96" s="1" t="s">
        <v>9672</v>
      </c>
      <c r="F96" s="61">
        <f t="shared" ref="F96:F101" si="12">F95</f>
        <v>3465.35</v>
      </c>
      <c r="G96" s="119">
        <v>0.21</v>
      </c>
      <c r="H96" s="4" t="s">
        <v>8690</v>
      </c>
      <c r="I96">
        <v>20</v>
      </c>
      <c r="J96">
        <v>20</v>
      </c>
      <c r="L96" s="66">
        <f>((ARTICULOS_MONDELEZ[[#This Row],[P. Compra]]*(1+ARTICULOS_MONDELEZ[[#This Row],[IVA]]))/ARTICULOS_MONDELEZ[[#This Row],[UnidFact]])+ARTICULOS_MONDELEZ[[#This Row],[CostoFlete]]</f>
        <v>209.65367499999996</v>
      </c>
      <c r="M96">
        <v>35</v>
      </c>
      <c r="N96" s="68">
        <f>IF(L96&gt;=5,MROUND((L96*(1+(ARTICULOS_MONDELEZ[[#This Row],[IVA]]/100)))/(1-M96/100),50),10)</f>
        <v>300</v>
      </c>
      <c r="O96" s="3">
        <f>MROUND(ARTICULOS_MONDELEZ[[#This Row],[Precio]]/0.6,50)</f>
        <v>500</v>
      </c>
      <c r="P96" t="s">
        <v>8693</v>
      </c>
      <c r="Q96">
        <v>5</v>
      </c>
      <c r="R96" s="3">
        <f>ARTICULOS_MONDELEZ[[#This Row],[Bulto]]+ARTICULOS_MONDELEZ[[#This Row],[Minimo]]</f>
        <v>25</v>
      </c>
      <c r="S96" t="s">
        <v>38</v>
      </c>
      <c r="T96" t="s">
        <v>4</v>
      </c>
      <c r="U96" t="s">
        <v>77</v>
      </c>
      <c r="V96" t="s">
        <v>9668</v>
      </c>
      <c r="W96" t="s">
        <v>8692</v>
      </c>
      <c r="X96">
        <v>1</v>
      </c>
      <c r="Y96" s="36">
        <v>1</v>
      </c>
      <c r="Z96"/>
      <c r="AB96" s="80">
        <f>ARTICULOS_MONDELEZ[[#This Row],[Costo]]*ARTICULOS_MONDELEZ[[#This Row],[Pedido]]</f>
        <v>0</v>
      </c>
      <c r="AH96" s="2" t="str">
        <f>IF(AND(ARTICULOS_MONDELEZ[[#This Row],[FechaVenc]]=0,ARTICULOS_MONDELEZ[[#This Row],[DiasVenc]]=0),"",ARTICULOS_MONDELEZ[[#This Row],[FechaVenc]]-ARTICULOS_MONDELEZ[[#This Row],[DiasVenc]])</f>
        <v/>
      </c>
      <c r="AO96" s="30" t="s">
        <v>8689</v>
      </c>
    </row>
    <row r="97" spans="1:41" ht="15.75" x14ac:dyDescent="0.25">
      <c r="A97" s="1" t="s">
        <v>9673</v>
      </c>
      <c r="C97" t="str">
        <f t="shared" si="10"/>
        <v>ALM01703110</v>
      </c>
      <c r="D97" t="s">
        <v>8689</v>
      </c>
      <c r="E97" s="1" t="s">
        <v>9674</v>
      </c>
      <c r="F97" s="61">
        <f t="shared" si="12"/>
        <v>3465.35</v>
      </c>
      <c r="G97" s="119">
        <v>0.21</v>
      </c>
      <c r="H97" s="4" t="s">
        <v>8690</v>
      </c>
      <c r="I97">
        <v>20</v>
      </c>
      <c r="J97">
        <v>20</v>
      </c>
      <c r="L97" s="66">
        <f>((ARTICULOS_MONDELEZ[[#This Row],[P. Compra]]*(1+ARTICULOS_MONDELEZ[[#This Row],[IVA]]))/ARTICULOS_MONDELEZ[[#This Row],[UnidFact]])+ARTICULOS_MONDELEZ[[#This Row],[CostoFlete]]</f>
        <v>209.65367499999996</v>
      </c>
      <c r="M97">
        <v>35</v>
      </c>
      <c r="N97" s="68">
        <f>IF(L97&gt;=5,MROUND((L97*(1+(ARTICULOS_MONDELEZ[[#This Row],[IVA]]/100)))/(1-M97/100),50),10)</f>
        <v>300</v>
      </c>
      <c r="O97" s="3">
        <f>MROUND(ARTICULOS_MONDELEZ[[#This Row],[Precio]]/0.6,50)</f>
        <v>500</v>
      </c>
      <c r="P97" t="s">
        <v>8693</v>
      </c>
      <c r="Q97">
        <v>2</v>
      </c>
      <c r="R97" s="3">
        <f>ARTICULOS_MONDELEZ[[#This Row],[Bulto]]+ARTICULOS_MONDELEZ[[#This Row],[Minimo]]</f>
        <v>22</v>
      </c>
      <c r="S97" t="s">
        <v>38</v>
      </c>
      <c r="T97" t="s">
        <v>4</v>
      </c>
      <c r="U97" t="s">
        <v>77</v>
      </c>
      <c r="V97" t="s">
        <v>9668</v>
      </c>
      <c r="W97" t="s">
        <v>8692</v>
      </c>
      <c r="X97">
        <v>1</v>
      </c>
      <c r="Y97" s="36">
        <v>13</v>
      </c>
      <c r="Z97"/>
      <c r="AB97" s="80">
        <f>ARTICULOS_MONDELEZ[[#This Row],[Costo]]*ARTICULOS_MONDELEZ[[#This Row],[Pedido]]</f>
        <v>0</v>
      </c>
      <c r="AH97" s="2" t="str">
        <f>IF(AND(ARTICULOS_MONDELEZ[[#This Row],[FechaVenc]]=0,ARTICULOS_MONDELEZ[[#This Row],[DiasVenc]]=0),"",ARTICULOS_MONDELEZ[[#This Row],[FechaVenc]]-ARTICULOS_MONDELEZ[[#This Row],[DiasVenc]])</f>
        <v/>
      </c>
      <c r="AO97" s="30" t="s">
        <v>8689</v>
      </c>
    </row>
    <row r="98" spans="1:41" ht="15.75" x14ac:dyDescent="0.25">
      <c r="A98" s="1" t="s">
        <v>9675</v>
      </c>
      <c r="C98" t="str">
        <f t="shared" si="10"/>
        <v>ALM01703141</v>
      </c>
      <c r="D98" t="s">
        <v>8689</v>
      </c>
      <c r="E98" s="1" t="s">
        <v>9676</v>
      </c>
      <c r="F98" s="61">
        <f t="shared" si="12"/>
        <v>3465.35</v>
      </c>
      <c r="G98" s="119">
        <v>0.21</v>
      </c>
      <c r="H98" s="4" t="s">
        <v>8690</v>
      </c>
      <c r="I98">
        <v>20</v>
      </c>
      <c r="J98">
        <v>20</v>
      </c>
      <c r="L98" s="66">
        <f>((ARTICULOS_MONDELEZ[[#This Row],[P. Compra]]*(1+ARTICULOS_MONDELEZ[[#This Row],[IVA]]))/ARTICULOS_MONDELEZ[[#This Row],[UnidFact]])+ARTICULOS_MONDELEZ[[#This Row],[CostoFlete]]</f>
        <v>209.65367499999996</v>
      </c>
      <c r="M98">
        <v>35</v>
      </c>
      <c r="N98" s="68">
        <f>IF(L98&gt;=5,MROUND((L98*(1+(ARTICULOS_MONDELEZ[[#This Row],[IVA]]/100)))/(1-M98/100),50),10)</f>
        <v>300</v>
      </c>
      <c r="O98" s="3">
        <f>MROUND(ARTICULOS_MONDELEZ[[#This Row],[Precio]]/0.6,50)</f>
        <v>500</v>
      </c>
      <c r="P98" t="s">
        <v>8693</v>
      </c>
      <c r="Q98">
        <v>5</v>
      </c>
      <c r="R98" s="3">
        <f>ARTICULOS_MONDELEZ[[#This Row],[Bulto]]+ARTICULOS_MONDELEZ[[#This Row],[Minimo]]</f>
        <v>25</v>
      </c>
      <c r="S98" t="s">
        <v>38</v>
      </c>
      <c r="T98" t="s">
        <v>4</v>
      </c>
      <c r="U98" t="s">
        <v>77</v>
      </c>
      <c r="V98" t="s">
        <v>9668</v>
      </c>
      <c r="W98" t="s">
        <v>8692</v>
      </c>
      <c r="X98">
        <v>1</v>
      </c>
      <c r="Y98" s="36">
        <v>0</v>
      </c>
      <c r="Z98"/>
      <c r="AB98" s="80">
        <f>ARTICULOS_MONDELEZ[[#This Row],[Costo]]*ARTICULOS_MONDELEZ[[#This Row],[Pedido]]</f>
        <v>0</v>
      </c>
      <c r="AH98" s="2" t="str">
        <f>IF(AND(ARTICULOS_MONDELEZ[[#This Row],[FechaVenc]]=0,ARTICULOS_MONDELEZ[[#This Row],[DiasVenc]]=0),"",ARTICULOS_MONDELEZ[[#This Row],[FechaVenc]]-ARTICULOS_MONDELEZ[[#This Row],[DiasVenc]])</f>
        <v/>
      </c>
      <c r="AO98" s="30" t="s">
        <v>8689</v>
      </c>
    </row>
    <row r="99" spans="1:41" ht="15.75" x14ac:dyDescent="0.25">
      <c r="A99" s="1" t="s">
        <v>9677</v>
      </c>
      <c r="C99" t="str">
        <f t="shared" si="10"/>
        <v>ALM01703202</v>
      </c>
      <c r="D99" t="s">
        <v>8689</v>
      </c>
      <c r="E99" s="1" t="s">
        <v>9678</v>
      </c>
      <c r="F99" s="61">
        <f t="shared" si="12"/>
        <v>3465.35</v>
      </c>
      <c r="G99" s="119">
        <v>0.21</v>
      </c>
      <c r="H99" s="4" t="s">
        <v>8690</v>
      </c>
      <c r="I99">
        <v>20</v>
      </c>
      <c r="J99">
        <v>20</v>
      </c>
      <c r="L99" s="66">
        <f>((ARTICULOS_MONDELEZ[[#This Row],[P. Compra]]*(1+ARTICULOS_MONDELEZ[[#This Row],[IVA]]))/ARTICULOS_MONDELEZ[[#This Row],[UnidFact]])+ARTICULOS_MONDELEZ[[#This Row],[CostoFlete]]</f>
        <v>209.65367499999996</v>
      </c>
      <c r="M99">
        <v>35</v>
      </c>
      <c r="N99" s="68">
        <f>IF(L99&gt;=5,MROUND((L99*(1+(ARTICULOS_MONDELEZ[[#This Row],[IVA]]/100)))/(1-M99/100),50),10)</f>
        <v>300</v>
      </c>
      <c r="O99" s="3">
        <f>MROUND(ARTICULOS_MONDELEZ[[#This Row],[Precio]]/0.6,50)</f>
        <v>500</v>
      </c>
      <c r="P99" t="s">
        <v>8693</v>
      </c>
      <c r="Q99">
        <v>5</v>
      </c>
      <c r="R99" s="3">
        <f>ARTICULOS_MONDELEZ[[#This Row],[Bulto]]+ARTICULOS_MONDELEZ[[#This Row],[Minimo]]</f>
        <v>25</v>
      </c>
      <c r="S99" t="s">
        <v>38</v>
      </c>
      <c r="T99" t="s">
        <v>4</v>
      </c>
      <c r="U99" t="s">
        <v>77</v>
      </c>
      <c r="V99" t="s">
        <v>9668</v>
      </c>
      <c r="W99" t="s">
        <v>8692</v>
      </c>
      <c r="X99">
        <v>1</v>
      </c>
      <c r="Y99" s="36">
        <v>11</v>
      </c>
      <c r="Z99"/>
      <c r="AB99" s="80">
        <f>ARTICULOS_MONDELEZ[[#This Row],[Costo]]*ARTICULOS_MONDELEZ[[#This Row],[Pedido]]</f>
        <v>0</v>
      </c>
      <c r="AH99" s="2" t="str">
        <f>IF(AND(ARTICULOS_MONDELEZ[[#This Row],[FechaVenc]]=0,ARTICULOS_MONDELEZ[[#This Row],[DiasVenc]]=0),"",ARTICULOS_MONDELEZ[[#This Row],[FechaVenc]]-ARTICULOS_MONDELEZ[[#This Row],[DiasVenc]])</f>
        <v/>
      </c>
      <c r="AO99" s="30" t="s">
        <v>8689</v>
      </c>
    </row>
    <row r="100" spans="1:41" ht="15.75" x14ac:dyDescent="0.25">
      <c r="A100" s="1" t="s">
        <v>9679</v>
      </c>
      <c r="C100" t="str">
        <f t="shared" ref="C100:C128" si="13">CONCATENATE(LEFT(T100,3),RIGHT(A100,8))</f>
        <v>ALM01703172</v>
      </c>
      <c r="D100" t="s">
        <v>8689</v>
      </c>
      <c r="E100" s="1" t="s">
        <v>9680</v>
      </c>
      <c r="F100" s="61">
        <f t="shared" si="12"/>
        <v>3465.35</v>
      </c>
      <c r="G100" s="119">
        <v>0.21</v>
      </c>
      <c r="H100" s="4" t="s">
        <v>8690</v>
      </c>
      <c r="I100">
        <v>20</v>
      </c>
      <c r="J100">
        <v>20</v>
      </c>
      <c r="L100" s="66">
        <f>((ARTICULOS_MONDELEZ[[#This Row],[P. Compra]]*(1+ARTICULOS_MONDELEZ[[#This Row],[IVA]]))/ARTICULOS_MONDELEZ[[#This Row],[UnidFact]])+ARTICULOS_MONDELEZ[[#This Row],[CostoFlete]]</f>
        <v>209.65367499999996</v>
      </c>
      <c r="M100">
        <v>35</v>
      </c>
      <c r="N100" s="68">
        <f>IF(L100&gt;=5,MROUND((L100*(1+(ARTICULOS_MONDELEZ[[#This Row],[IVA]]/100)))/(1-M100/100),50),10)</f>
        <v>300</v>
      </c>
      <c r="O100" s="3">
        <f>MROUND(ARTICULOS_MONDELEZ[[#This Row],[Precio]]/0.6,50)</f>
        <v>500</v>
      </c>
      <c r="P100" t="s">
        <v>8693</v>
      </c>
      <c r="Q100">
        <v>5</v>
      </c>
      <c r="R100" s="3">
        <f>ARTICULOS_MONDELEZ[[#This Row],[Bulto]]+ARTICULOS_MONDELEZ[[#This Row],[Minimo]]</f>
        <v>25</v>
      </c>
      <c r="S100" t="s">
        <v>38</v>
      </c>
      <c r="T100" t="s">
        <v>4</v>
      </c>
      <c r="U100" t="s">
        <v>77</v>
      </c>
      <c r="V100" t="s">
        <v>9668</v>
      </c>
      <c r="W100" t="s">
        <v>8692</v>
      </c>
      <c r="X100">
        <v>1</v>
      </c>
      <c r="Y100" s="36">
        <v>10</v>
      </c>
      <c r="Z100"/>
      <c r="AB100" s="80">
        <f>ARTICULOS_MONDELEZ[[#This Row],[Costo]]*ARTICULOS_MONDELEZ[[#This Row],[Pedido]]</f>
        <v>0</v>
      </c>
      <c r="AH100" s="2" t="str">
        <f>IF(AND(ARTICULOS_MONDELEZ[[#This Row],[FechaVenc]]=0,ARTICULOS_MONDELEZ[[#This Row],[DiasVenc]]=0),"",ARTICULOS_MONDELEZ[[#This Row],[FechaVenc]]-ARTICULOS_MONDELEZ[[#This Row],[DiasVenc]])</f>
        <v/>
      </c>
      <c r="AO100" s="30" t="s">
        <v>8689</v>
      </c>
    </row>
    <row r="101" spans="1:41" ht="15.75" x14ac:dyDescent="0.25">
      <c r="A101" s="1" t="s">
        <v>9681</v>
      </c>
      <c r="C101" t="str">
        <f t="shared" si="13"/>
        <v>ALM01704582</v>
      </c>
      <c r="D101" t="s">
        <v>8689</v>
      </c>
      <c r="E101" s="1" t="s">
        <v>9682</v>
      </c>
      <c r="F101" s="61">
        <f t="shared" si="12"/>
        <v>3465.35</v>
      </c>
      <c r="G101" s="119">
        <v>0.21</v>
      </c>
      <c r="H101" s="4" t="s">
        <v>8690</v>
      </c>
      <c r="I101">
        <v>20</v>
      </c>
      <c r="J101">
        <v>20</v>
      </c>
      <c r="L101" s="66">
        <f>((ARTICULOS_MONDELEZ[[#This Row],[P. Compra]]*(1+ARTICULOS_MONDELEZ[[#This Row],[IVA]]))/ARTICULOS_MONDELEZ[[#This Row],[UnidFact]])+ARTICULOS_MONDELEZ[[#This Row],[CostoFlete]]</f>
        <v>209.65367499999996</v>
      </c>
      <c r="M101">
        <v>35</v>
      </c>
      <c r="N101" s="68">
        <f>IF(L101&gt;=5,MROUND((L101*(1+(ARTICULOS_MONDELEZ[[#This Row],[IVA]]/100)))/(1-M101/100),50),10)</f>
        <v>300</v>
      </c>
      <c r="O101" s="3">
        <f>MROUND(ARTICULOS_MONDELEZ[[#This Row],[Precio]]/0.6,50)</f>
        <v>500</v>
      </c>
      <c r="P101" t="s">
        <v>8693</v>
      </c>
      <c r="Q101">
        <v>5</v>
      </c>
      <c r="R101" s="3">
        <f>ARTICULOS_MONDELEZ[[#This Row],[Bulto]]+ARTICULOS_MONDELEZ[[#This Row],[Minimo]]</f>
        <v>25</v>
      </c>
      <c r="S101" t="s">
        <v>38</v>
      </c>
      <c r="T101" t="s">
        <v>4</v>
      </c>
      <c r="U101" t="s">
        <v>77</v>
      </c>
      <c r="V101" t="s">
        <v>9668</v>
      </c>
      <c r="W101" t="s">
        <v>8692</v>
      </c>
      <c r="X101">
        <v>1</v>
      </c>
      <c r="Y101" s="36">
        <v>1</v>
      </c>
      <c r="Z101"/>
      <c r="AB101" s="80">
        <f>ARTICULOS_MONDELEZ[[#This Row],[Costo]]*ARTICULOS_MONDELEZ[[#This Row],[Pedido]]</f>
        <v>0</v>
      </c>
      <c r="AH101" s="2" t="str">
        <f>IF(AND(ARTICULOS_MONDELEZ[[#This Row],[FechaVenc]]=0,ARTICULOS_MONDELEZ[[#This Row],[DiasVenc]]=0),"",ARTICULOS_MONDELEZ[[#This Row],[FechaVenc]]-ARTICULOS_MONDELEZ[[#This Row],[DiasVenc]])</f>
        <v/>
      </c>
      <c r="AO101" s="30" t="s">
        <v>8689</v>
      </c>
    </row>
    <row r="102" spans="1:41" ht="15.75" x14ac:dyDescent="0.25">
      <c r="A102" s="1" t="s">
        <v>9683</v>
      </c>
      <c r="C102" t="str">
        <f t="shared" si="13"/>
        <v>ALM01745967</v>
      </c>
      <c r="D102" t="s">
        <v>8689</v>
      </c>
      <c r="E102" s="1" t="s">
        <v>9684</v>
      </c>
      <c r="F102" s="61">
        <v>3338.99</v>
      </c>
      <c r="G102" s="119">
        <v>0.21</v>
      </c>
      <c r="H102" s="4" t="s">
        <v>8690</v>
      </c>
      <c r="I102">
        <v>20</v>
      </c>
      <c r="J102">
        <v>20</v>
      </c>
      <c r="L102" s="66">
        <f>((ARTICULOS_MONDELEZ[[#This Row],[P. Compra]]*(1+ARTICULOS_MONDELEZ[[#This Row],[IVA]]))/ARTICULOS_MONDELEZ[[#This Row],[UnidFact]])+ARTICULOS_MONDELEZ[[#This Row],[CostoFlete]]</f>
        <v>202.008895</v>
      </c>
      <c r="M102">
        <v>35</v>
      </c>
      <c r="N102" s="68">
        <f>IF(L102&gt;=5,MROUND((L102*(1+(ARTICULOS_MONDELEZ[[#This Row],[IVA]]/100)))/(1-M102/100),50),10)</f>
        <v>300</v>
      </c>
      <c r="O102" s="3">
        <f>MROUND(ARTICULOS_MONDELEZ[[#This Row],[Precio]]/0.6,50)</f>
        <v>500</v>
      </c>
      <c r="P102" t="s">
        <v>8693</v>
      </c>
      <c r="Q102">
        <v>5</v>
      </c>
      <c r="R102" s="3">
        <f>ARTICULOS_MONDELEZ[[#This Row],[Bulto]]+ARTICULOS_MONDELEZ[[#This Row],[Minimo]]</f>
        <v>25</v>
      </c>
      <c r="S102" t="s">
        <v>38</v>
      </c>
      <c r="T102" t="s">
        <v>4</v>
      </c>
      <c r="U102" t="s">
        <v>77</v>
      </c>
      <c r="V102" t="s">
        <v>9685</v>
      </c>
      <c r="W102" t="s">
        <v>8692</v>
      </c>
      <c r="X102">
        <v>1</v>
      </c>
      <c r="Y102" s="36">
        <v>30</v>
      </c>
      <c r="Z102"/>
      <c r="AB102" s="80">
        <f>ARTICULOS_MONDELEZ[[#This Row],[Costo]]*ARTICULOS_MONDELEZ[[#This Row],[Pedido]]</f>
        <v>0</v>
      </c>
      <c r="AH102" s="2" t="str">
        <f>IF(AND(ARTICULOS_MONDELEZ[[#This Row],[FechaVenc]]=0,ARTICULOS_MONDELEZ[[#This Row],[DiasVenc]]=0),"",ARTICULOS_MONDELEZ[[#This Row],[FechaVenc]]-ARTICULOS_MONDELEZ[[#This Row],[DiasVenc]])</f>
        <v/>
      </c>
      <c r="AO102" s="30" t="s">
        <v>8689</v>
      </c>
    </row>
    <row r="103" spans="1:41" ht="15.75" x14ac:dyDescent="0.25">
      <c r="A103" s="1" t="s">
        <v>9686</v>
      </c>
      <c r="C103" t="str">
        <f t="shared" si="13"/>
        <v>ALM01735685</v>
      </c>
      <c r="D103" t="s">
        <v>8689</v>
      </c>
      <c r="E103" s="1" t="s">
        <v>9687</v>
      </c>
      <c r="F103" s="61">
        <f>F102</f>
        <v>3338.99</v>
      </c>
      <c r="G103" s="119">
        <v>0.21</v>
      </c>
      <c r="H103" s="4" t="s">
        <v>8690</v>
      </c>
      <c r="I103">
        <v>20</v>
      </c>
      <c r="J103">
        <v>20</v>
      </c>
      <c r="L103" s="66">
        <f>((ARTICULOS_MONDELEZ[[#This Row],[P. Compra]]*(1+ARTICULOS_MONDELEZ[[#This Row],[IVA]]))/ARTICULOS_MONDELEZ[[#This Row],[UnidFact]])+ARTICULOS_MONDELEZ[[#This Row],[CostoFlete]]</f>
        <v>202.008895</v>
      </c>
      <c r="M103">
        <v>35</v>
      </c>
      <c r="N103" s="68">
        <f>IF(L103&gt;=5,MROUND((L103*(1+(ARTICULOS_MONDELEZ[[#This Row],[IVA]]/100)))/(1-M103/100),50),10)</f>
        <v>300</v>
      </c>
      <c r="O103" s="3">
        <f>MROUND(ARTICULOS_MONDELEZ[[#This Row],[Precio]]/0.6,50)</f>
        <v>500</v>
      </c>
      <c r="P103" t="s">
        <v>8693</v>
      </c>
      <c r="Q103">
        <v>5</v>
      </c>
      <c r="R103" s="3">
        <f>ARTICULOS_MONDELEZ[[#This Row],[Bulto]]+ARTICULOS_MONDELEZ[[#This Row],[Minimo]]</f>
        <v>25</v>
      </c>
      <c r="S103" t="s">
        <v>38</v>
      </c>
      <c r="T103" t="s">
        <v>4</v>
      </c>
      <c r="U103" t="s">
        <v>77</v>
      </c>
      <c r="V103" t="s">
        <v>9685</v>
      </c>
      <c r="W103" t="s">
        <v>8692</v>
      </c>
      <c r="X103">
        <v>1</v>
      </c>
      <c r="Y103" s="36">
        <v>4</v>
      </c>
      <c r="Z103"/>
      <c r="AB103" s="80">
        <f>ARTICULOS_MONDELEZ[[#This Row],[Costo]]*ARTICULOS_MONDELEZ[[#This Row],[Pedido]]</f>
        <v>0</v>
      </c>
      <c r="AH103" s="2" t="str">
        <f>IF(AND(ARTICULOS_MONDELEZ[[#This Row],[FechaVenc]]=0,ARTICULOS_MONDELEZ[[#This Row],[DiasVenc]]=0),"",ARTICULOS_MONDELEZ[[#This Row],[FechaVenc]]-ARTICULOS_MONDELEZ[[#This Row],[DiasVenc]])</f>
        <v/>
      </c>
      <c r="AO103" s="30" t="s">
        <v>8689</v>
      </c>
    </row>
    <row r="104" spans="1:41" ht="15.75" x14ac:dyDescent="0.25">
      <c r="A104" s="1" t="s">
        <v>9688</v>
      </c>
      <c r="C104" t="str">
        <f t="shared" si="13"/>
        <v>ALM01705992</v>
      </c>
      <c r="D104" t="s">
        <v>8689</v>
      </c>
      <c r="E104" s="1" t="s">
        <v>9689</v>
      </c>
      <c r="F104" s="61">
        <f t="shared" ref="F104:F111" si="14">F103</f>
        <v>3338.99</v>
      </c>
      <c r="G104" s="119">
        <v>0.21</v>
      </c>
      <c r="H104" s="4" t="s">
        <v>8690</v>
      </c>
      <c r="I104">
        <v>20</v>
      </c>
      <c r="J104">
        <v>20</v>
      </c>
      <c r="L104" s="66">
        <f>((ARTICULOS_MONDELEZ[[#This Row],[P. Compra]]*(1+ARTICULOS_MONDELEZ[[#This Row],[IVA]]))/ARTICULOS_MONDELEZ[[#This Row],[UnidFact]])+ARTICULOS_MONDELEZ[[#This Row],[CostoFlete]]</f>
        <v>202.008895</v>
      </c>
      <c r="M104">
        <v>35</v>
      </c>
      <c r="N104" s="68">
        <f>IF(L104&gt;=5,MROUND((L104*(1+(ARTICULOS_MONDELEZ[[#This Row],[IVA]]/100)))/(1-M104/100),50),10)</f>
        <v>300</v>
      </c>
      <c r="O104" s="3">
        <f>MROUND(ARTICULOS_MONDELEZ[[#This Row],[Precio]]/0.6,50)</f>
        <v>500</v>
      </c>
      <c r="P104" t="s">
        <v>8693</v>
      </c>
      <c r="Q104">
        <v>5</v>
      </c>
      <c r="R104" s="3">
        <f>ARTICULOS_MONDELEZ[[#This Row],[Bulto]]+ARTICULOS_MONDELEZ[[#This Row],[Minimo]]</f>
        <v>25</v>
      </c>
      <c r="S104" t="s">
        <v>38</v>
      </c>
      <c r="T104" t="s">
        <v>4</v>
      </c>
      <c r="U104" t="s">
        <v>77</v>
      </c>
      <c r="V104" t="s">
        <v>9685</v>
      </c>
      <c r="W104" t="s">
        <v>8692</v>
      </c>
      <c r="X104">
        <v>1</v>
      </c>
      <c r="Y104" s="36">
        <v>0</v>
      </c>
      <c r="Z104"/>
      <c r="AB104" s="80">
        <f>ARTICULOS_MONDELEZ[[#This Row],[Costo]]*ARTICULOS_MONDELEZ[[#This Row],[Pedido]]</f>
        <v>0</v>
      </c>
      <c r="AH104" s="2" t="str">
        <f>IF(AND(ARTICULOS_MONDELEZ[[#This Row],[FechaVenc]]=0,ARTICULOS_MONDELEZ[[#This Row],[DiasVenc]]=0),"",ARTICULOS_MONDELEZ[[#This Row],[FechaVenc]]-ARTICULOS_MONDELEZ[[#This Row],[DiasVenc]])</f>
        <v/>
      </c>
      <c r="AO104" s="30" t="s">
        <v>8689</v>
      </c>
    </row>
    <row r="105" spans="1:41" ht="15.75" x14ac:dyDescent="0.25">
      <c r="A105" s="1" t="s">
        <v>9690</v>
      </c>
      <c r="C105" t="str">
        <f t="shared" si="13"/>
        <v>ALM01735715</v>
      </c>
      <c r="D105" t="s">
        <v>8689</v>
      </c>
      <c r="E105" s="1" t="s">
        <v>9691</v>
      </c>
      <c r="F105" s="61">
        <f t="shared" si="14"/>
        <v>3338.99</v>
      </c>
      <c r="G105" s="119">
        <v>0.21</v>
      </c>
      <c r="H105" s="4" t="s">
        <v>8690</v>
      </c>
      <c r="I105">
        <v>20</v>
      </c>
      <c r="J105">
        <v>20</v>
      </c>
      <c r="L105" s="66">
        <f>((ARTICULOS_MONDELEZ[[#This Row],[P. Compra]]*(1+ARTICULOS_MONDELEZ[[#This Row],[IVA]]))/ARTICULOS_MONDELEZ[[#This Row],[UnidFact]])+ARTICULOS_MONDELEZ[[#This Row],[CostoFlete]]</f>
        <v>202.008895</v>
      </c>
      <c r="M105">
        <v>35</v>
      </c>
      <c r="N105" s="68">
        <f>IF(L105&gt;=5,MROUND((L105*(1+(ARTICULOS_MONDELEZ[[#This Row],[IVA]]/100)))/(1-M105/100),50),10)</f>
        <v>300</v>
      </c>
      <c r="O105" s="3">
        <f>MROUND(ARTICULOS_MONDELEZ[[#This Row],[Precio]]/0.6,50)</f>
        <v>500</v>
      </c>
      <c r="P105" t="s">
        <v>8693</v>
      </c>
      <c r="Q105">
        <v>5</v>
      </c>
      <c r="R105" s="3">
        <f>ARTICULOS_MONDELEZ[[#This Row],[Bulto]]+ARTICULOS_MONDELEZ[[#This Row],[Minimo]]</f>
        <v>25</v>
      </c>
      <c r="S105" t="s">
        <v>38</v>
      </c>
      <c r="T105" t="s">
        <v>4</v>
      </c>
      <c r="U105" t="s">
        <v>77</v>
      </c>
      <c r="V105" t="s">
        <v>9685</v>
      </c>
      <c r="W105" t="s">
        <v>8692</v>
      </c>
      <c r="X105">
        <v>1</v>
      </c>
      <c r="Y105" s="36">
        <v>0</v>
      </c>
      <c r="Z105"/>
      <c r="AB105" s="80">
        <f>ARTICULOS_MONDELEZ[[#This Row],[Costo]]*ARTICULOS_MONDELEZ[[#This Row],[Pedido]]</f>
        <v>0</v>
      </c>
      <c r="AH105" s="2" t="str">
        <f>IF(AND(ARTICULOS_MONDELEZ[[#This Row],[FechaVenc]]=0,ARTICULOS_MONDELEZ[[#This Row],[DiasVenc]]=0),"",ARTICULOS_MONDELEZ[[#This Row],[FechaVenc]]-ARTICULOS_MONDELEZ[[#This Row],[DiasVenc]])</f>
        <v/>
      </c>
      <c r="AO105" s="30" t="s">
        <v>8689</v>
      </c>
    </row>
    <row r="106" spans="1:41" ht="15.75" x14ac:dyDescent="0.25">
      <c r="A106" s="1" t="s">
        <v>9692</v>
      </c>
      <c r="C106" t="str">
        <f t="shared" si="13"/>
        <v>ALM01735340</v>
      </c>
      <c r="D106" t="s">
        <v>8689</v>
      </c>
      <c r="E106" s="1" t="s">
        <v>9693</v>
      </c>
      <c r="F106" s="61">
        <f t="shared" si="14"/>
        <v>3338.99</v>
      </c>
      <c r="G106" s="119">
        <v>0.21</v>
      </c>
      <c r="H106" s="4" t="s">
        <v>8690</v>
      </c>
      <c r="I106">
        <v>20</v>
      </c>
      <c r="J106">
        <v>20</v>
      </c>
      <c r="L106" s="66">
        <f>((ARTICULOS_MONDELEZ[[#This Row],[P. Compra]]*(1+ARTICULOS_MONDELEZ[[#This Row],[IVA]]))/ARTICULOS_MONDELEZ[[#This Row],[UnidFact]])+ARTICULOS_MONDELEZ[[#This Row],[CostoFlete]]</f>
        <v>202.008895</v>
      </c>
      <c r="M106">
        <v>35</v>
      </c>
      <c r="N106" s="68">
        <f>IF(L106&gt;=5,MROUND((L106*(1+(ARTICULOS_MONDELEZ[[#This Row],[IVA]]/100)))/(1-M106/100),50),10)</f>
        <v>300</v>
      </c>
      <c r="O106" s="3">
        <f>MROUND(ARTICULOS_MONDELEZ[[#This Row],[Precio]]/0.6,50)</f>
        <v>500</v>
      </c>
      <c r="P106" t="s">
        <v>8693</v>
      </c>
      <c r="Q106">
        <v>5</v>
      </c>
      <c r="R106" s="3">
        <f>ARTICULOS_MONDELEZ[[#This Row],[Bulto]]+ARTICULOS_MONDELEZ[[#This Row],[Minimo]]</f>
        <v>25</v>
      </c>
      <c r="S106" t="s">
        <v>38</v>
      </c>
      <c r="T106" t="s">
        <v>4</v>
      </c>
      <c r="U106" t="s">
        <v>77</v>
      </c>
      <c r="V106" t="s">
        <v>9685</v>
      </c>
      <c r="W106" t="s">
        <v>8692</v>
      </c>
      <c r="X106">
        <v>1</v>
      </c>
      <c r="Y106" s="36">
        <v>0</v>
      </c>
      <c r="Z106"/>
      <c r="AB106" s="80">
        <f>ARTICULOS_MONDELEZ[[#This Row],[Costo]]*ARTICULOS_MONDELEZ[[#This Row],[Pedido]]</f>
        <v>0</v>
      </c>
      <c r="AH106" s="2" t="str">
        <f>IF(AND(ARTICULOS_MONDELEZ[[#This Row],[FechaVenc]]=0,ARTICULOS_MONDELEZ[[#This Row],[DiasVenc]]=0),"",ARTICULOS_MONDELEZ[[#This Row],[FechaVenc]]-ARTICULOS_MONDELEZ[[#This Row],[DiasVenc]])</f>
        <v/>
      </c>
      <c r="AO106" s="30" t="s">
        <v>8689</v>
      </c>
    </row>
    <row r="107" spans="1:41" ht="15.75" x14ac:dyDescent="0.25">
      <c r="A107" s="1" t="s">
        <v>9694</v>
      </c>
      <c r="C107" t="str">
        <f t="shared" si="13"/>
        <v>ALM01745707</v>
      </c>
      <c r="D107" t="s">
        <v>8689</v>
      </c>
      <c r="E107" s="1" t="s">
        <v>9695</v>
      </c>
      <c r="F107" s="61">
        <f t="shared" si="14"/>
        <v>3338.99</v>
      </c>
      <c r="G107" s="119">
        <v>0.21</v>
      </c>
      <c r="H107" s="4" t="s">
        <v>8690</v>
      </c>
      <c r="I107">
        <v>20</v>
      </c>
      <c r="J107">
        <v>20</v>
      </c>
      <c r="L107" s="66">
        <f>((ARTICULOS_MONDELEZ[[#This Row],[P. Compra]]*(1+ARTICULOS_MONDELEZ[[#This Row],[IVA]]))/ARTICULOS_MONDELEZ[[#This Row],[UnidFact]])+ARTICULOS_MONDELEZ[[#This Row],[CostoFlete]]</f>
        <v>202.008895</v>
      </c>
      <c r="M107">
        <v>35</v>
      </c>
      <c r="N107" s="68">
        <f>IF(L107&gt;=5,MROUND((L107*(1+(ARTICULOS_MONDELEZ[[#This Row],[IVA]]/100)))/(1-M107/100),50),10)</f>
        <v>300</v>
      </c>
      <c r="O107" s="3">
        <f>MROUND(ARTICULOS_MONDELEZ[[#This Row],[Precio]]/0.6,50)</f>
        <v>500</v>
      </c>
      <c r="P107" t="s">
        <v>8693</v>
      </c>
      <c r="Q107">
        <v>5</v>
      </c>
      <c r="R107" s="3">
        <f>ARTICULOS_MONDELEZ[[#This Row],[Bulto]]+ARTICULOS_MONDELEZ[[#This Row],[Minimo]]</f>
        <v>25</v>
      </c>
      <c r="S107" t="s">
        <v>38</v>
      </c>
      <c r="T107" t="s">
        <v>4</v>
      </c>
      <c r="U107" t="s">
        <v>77</v>
      </c>
      <c r="V107" t="s">
        <v>9685</v>
      </c>
      <c r="W107" t="s">
        <v>8692</v>
      </c>
      <c r="X107">
        <v>1</v>
      </c>
      <c r="Y107" s="36">
        <v>0</v>
      </c>
      <c r="Z107"/>
      <c r="AB107" s="80">
        <f>ARTICULOS_MONDELEZ[[#This Row],[Costo]]*ARTICULOS_MONDELEZ[[#This Row],[Pedido]]</f>
        <v>0</v>
      </c>
      <c r="AH107" s="2" t="str">
        <f>IF(AND(ARTICULOS_MONDELEZ[[#This Row],[FechaVenc]]=0,ARTICULOS_MONDELEZ[[#This Row],[DiasVenc]]=0),"",ARTICULOS_MONDELEZ[[#This Row],[FechaVenc]]-ARTICULOS_MONDELEZ[[#This Row],[DiasVenc]])</f>
        <v/>
      </c>
      <c r="AO107" s="30" t="s">
        <v>8689</v>
      </c>
    </row>
    <row r="108" spans="1:41" ht="15.75" x14ac:dyDescent="0.25">
      <c r="A108" s="1" t="s">
        <v>9696</v>
      </c>
      <c r="C108" t="str">
        <f t="shared" si="13"/>
        <v>ALM01735371</v>
      </c>
      <c r="D108" t="s">
        <v>8689</v>
      </c>
      <c r="E108" s="1" t="s">
        <v>9697</v>
      </c>
      <c r="F108" s="61">
        <f t="shared" si="14"/>
        <v>3338.99</v>
      </c>
      <c r="G108" s="119">
        <v>0.21</v>
      </c>
      <c r="H108" s="4" t="s">
        <v>8690</v>
      </c>
      <c r="I108">
        <v>20</v>
      </c>
      <c r="J108">
        <v>20</v>
      </c>
      <c r="L108" s="66">
        <f>((ARTICULOS_MONDELEZ[[#This Row],[P. Compra]]*(1+ARTICULOS_MONDELEZ[[#This Row],[IVA]]))/ARTICULOS_MONDELEZ[[#This Row],[UnidFact]])+ARTICULOS_MONDELEZ[[#This Row],[CostoFlete]]</f>
        <v>202.008895</v>
      </c>
      <c r="M108">
        <v>35</v>
      </c>
      <c r="N108" s="68">
        <f>IF(L108&gt;=5,MROUND((L108*(1+(ARTICULOS_MONDELEZ[[#This Row],[IVA]]/100)))/(1-M108/100),50),10)</f>
        <v>300</v>
      </c>
      <c r="O108" s="3">
        <f>MROUND(ARTICULOS_MONDELEZ[[#This Row],[Precio]]/0.6,50)</f>
        <v>500</v>
      </c>
      <c r="P108" t="s">
        <v>8693</v>
      </c>
      <c r="Q108">
        <v>5</v>
      </c>
      <c r="R108" s="3">
        <f>ARTICULOS_MONDELEZ[[#This Row],[Bulto]]+ARTICULOS_MONDELEZ[[#This Row],[Minimo]]</f>
        <v>25</v>
      </c>
      <c r="S108" t="s">
        <v>38</v>
      </c>
      <c r="T108" t="s">
        <v>4</v>
      </c>
      <c r="U108" t="s">
        <v>77</v>
      </c>
      <c r="V108" t="s">
        <v>9685</v>
      </c>
      <c r="W108" t="s">
        <v>8692</v>
      </c>
      <c r="X108">
        <v>1</v>
      </c>
      <c r="Y108" s="36">
        <v>11</v>
      </c>
      <c r="Z108"/>
      <c r="AB108" s="80">
        <f>ARTICULOS_MONDELEZ[[#This Row],[Costo]]*ARTICULOS_MONDELEZ[[#This Row],[Pedido]]</f>
        <v>0</v>
      </c>
      <c r="AH108" s="2" t="str">
        <f>IF(AND(ARTICULOS_MONDELEZ[[#This Row],[FechaVenc]]=0,ARTICULOS_MONDELEZ[[#This Row],[DiasVenc]]=0),"",ARTICULOS_MONDELEZ[[#This Row],[FechaVenc]]-ARTICULOS_MONDELEZ[[#This Row],[DiasVenc]])</f>
        <v/>
      </c>
      <c r="AO108" s="30" t="s">
        <v>8689</v>
      </c>
    </row>
    <row r="109" spans="1:41" ht="15.75" x14ac:dyDescent="0.25">
      <c r="A109" s="1" t="s">
        <v>9698</v>
      </c>
      <c r="C109" t="str">
        <f t="shared" si="13"/>
        <v>ALM01745738</v>
      </c>
      <c r="D109" t="s">
        <v>8689</v>
      </c>
      <c r="E109" s="1" t="s">
        <v>9699</v>
      </c>
      <c r="F109" s="61">
        <f t="shared" si="14"/>
        <v>3338.99</v>
      </c>
      <c r="G109" s="119">
        <v>0.21</v>
      </c>
      <c r="H109" s="4" t="s">
        <v>8690</v>
      </c>
      <c r="I109">
        <v>20</v>
      </c>
      <c r="J109">
        <v>20</v>
      </c>
      <c r="L109" s="66">
        <f>((ARTICULOS_MONDELEZ[[#This Row],[P. Compra]]*(1+ARTICULOS_MONDELEZ[[#This Row],[IVA]]))/ARTICULOS_MONDELEZ[[#This Row],[UnidFact]])+ARTICULOS_MONDELEZ[[#This Row],[CostoFlete]]</f>
        <v>202.008895</v>
      </c>
      <c r="M109">
        <v>35</v>
      </c>
      <c r="N109" s="68">
        <f>IF(L109&gt;=5,MROUND((L109*(1+(ARTICULOS_MONDELEZ[[#This Row],[IVA]]/100)))/(1-M109/100),50),10)</f>
        <v>300</v>
      </c>
      <c r="O109" s="3">
        <f>MROUND(ARTICULOS_MONDELEZ[[#This Row],[Precio]]/0.6,50)</f>
        <v>500</v>
      </c>
      <c r="P109" t="s">
        <v>8693</v>
      </c>
      <c r="Q109">
        <v>5</v>
      </c>
      <c r="R109" s="3">
        <f>ARTICULOS_MONDELEZ[[#This Row],[Bulto]]+ARTICULOS_MONDELEZ[[#This Row],[Minimo]]</f>
        <v>25</v>
      </c>
      <c r="S109" t="s">
        <v>38</v>
      </c>
      <c r="T109" t="s">
        <v>4</v>
      </c>
      <c r="U109" t="s">
        <v>77</v>
      </c>
      <c r="V109" t="s">
        <v>9685</v>
      </c>
      <c r="W109" t="s">
        <v>8692</v>
      </c>
      <c r="X109">
        <v>1</v>
      </c>
      <c r="Y109" s="36">
        <v>14</v>
      </c>
      <c r="Z109"/>
      <c r="AB109" s="80">
        <f>ARTICULOS_MONDELEZ[[#This Row],[Costo]]*ARTICULOS_MONDELEZ[[#This Row],[Pedido]]</f>
        <v>0</v>
      </c>
      <c r="AH109" s="2" t="str">
        <f>IF(AND(ARTICULOS_MONDELEZ[[#This Row],[FechaVenc]]=0,ARTICULOS_MONDELEZ[[#This Row],[DiasVenc]]=0),"",ARTICULOS_MONDELEZ[[#This Row],[FechaVenc]]-ARTICULOS_MONDELEZ[[#This Row],[DiasVenc]])</f>
        <v/>
      </c>
      <c r="AO109" s="30" t="s">
        <v>8689</v>
      </c>
    </row>
    <row r="110" spans="1:41" ht="15.75" x14ac:dyDescent="0.25">
      <c r="A110" s="1" t="s">
        <v>9700</v>
      </c>
      <c r="C110" t="str">
        <f t="shared" si="13"/>
        <v>ALM01735746</v>
      </c>
      <c r="D110" t="s">
        <v>8689</v>
      </c>
      <c r="E110" s="1" t="s">
        <v>9701</v>
      </c>
      <c r="F110" s="61">
        <f t="shared" si="14"/>
        <v>3338.99</v>
      </c>
      <c r="G110" s="119">
        <v>0.21</v>
      </c>
      <c r="H110" s="4" t="s">
        <v>8690</v>
      </c>
      <c r="I110">
        <v>20</v>
      </c>
      <c r="J110">
        <v>20</v>
      </c>
      <c r="L110" s="66">
        <f>((ARTICULOS_MONDELEZ[[#This Row],[P. Compra]]*(1+ARTICULOS_MONDELEZ[[#This Row],[IVA]]))/ARTICULOS_MONDELEZ[[#This Row],[UnidFact]])+ARTICULOS_MONDELEZ[[#This Row],[CostoFlete]]</f>
        <v>202.008895</v>
      </c>
      <c r="M110">
        <v>35</v>
      </c>
      <c r="N110" s="68">
        <f>IF(L110&gt;=5,MROUND((L110*(1+(ARTICULOS_MONDELEZ[[#This Row],[IVA]]/100)))/(1-M110/100),50),10)</f>
        <v>300</v>
      </c>
      <c r="O110" s="3">
        <f>MROUND(ARTICULOS_MONDELEZ[[#This Row],[Precio]]/0.6,50)</f>
        <v>500</v>
      </c>
      <c r="P110" t="s">
        <v>8693</v>
      </c>
      <c r="Q110">
        <v>5</v>
      </c>
      <c r="R110" s="3">
        <f>ARTICULOS_MONDELEZ[[#This Row],[Bulto]]+ARTICULOS_MONDELEZ[[#This Row],[Minimo]]</f>
        <v>25</v>
      </c>
      <c r="S110" t="s">
        <v>38</v>
      </c>
      <c r="T110" t="s">
        <v>4</v>
      </c>
      <c r="U110" t="s">
        <v>77</v>
      </c>
      <c r="V110" t="s">
        <v>9685</v>
      </c>
      <c r="W110" t="s">
        <v>8692</v>
      </c>
      <c r="X110">
        <v>1</v>
      </c>
      <c r="Y110" s="36">
        <v>15</v>
      </c>
      <c r="Z110"/>
      <c r="AB110" s="80">
        <f>ARTICULOS_MONDELEZ[[#This Row],[Costo]]*ARTICULOS_MONDELEZ[[#This Row],[Pedido]]</f>
        <v>0</v>
      </c>
      <c r="AH110" s="2" t="str">
        <f>IF(AND(ARTICULOS_MONDELEZ[[#This Row],[FechaVenc]]=0,ARTICULOS_MONDELEZ[[#This Row],[DiasVenc]]=0),"",ARTICULOS_MONDELEZ[[#This Row],[FechaVenc]]-ARTICULOS_MONDELEZ[[#This Row],[DiasVenc]])</f>
        <v/>
      </c>
      <c r="AO110" s="30" t="s">
        <v>8689</v>
      </c>
    </row>
    <row r="111" spans="1:41" ht="15.75" x14ac:dyDescent="0.25">
      <c r="A111" s="1" t="s">
        <v>9702</v>
      </c>
      <c r="C111" t="str">
        <f t="shared" si="13"/>
        <v>ALM01746117</v>
      </c>
      <c r="D111" t="s">
        <v>8689</v>
      </c>
      <c r="E111" s="1" t="s">
        <v>9703</v>
      </c>
      <c r="F111" s="61">
        <f t="shared" si="14"/>
        <v>3338.99</v>
      </c>
      <c r="G111" s="119">
        <v>0.21</v>
      </c>
      <c r="H111" s="4" t="s">
        <v>8690</v>
      </c>
      <c r="I111">
        <v>20</v>
      </c>
      <c r="J111">
        <v>20</v>
      </c>
      <c r="L111" s="66">
        <f>((ARTICULOS_MONDELEZ[[#This Row],[P. Compra]]*(1+ARTICULOS_MONDELEZ[[#This Row],[IVA]]))/ARTICULOS_MONDELEZ[[#This Row],[UnidFact]])+ARTICULOS_MONDELEZ[[#This Row],[CostoFlete]]</f>
        <v>202.008895</v>
      </c>
      <c r="M111">
        <v>35</v>
      </c>
      <c r="N111" s="68">
        <f>IF(L111&gt;=5,MROUND((L111*(1+(ARTICULOS_MONDELEZ[[#This Row],[IVA]]/100)))/(1-M111/100),50),10)</f>
        <v>300</v>
      </c>
      <c r="O111" s="3">
        <f>MROUND(ARTICULOS_MONDELEZ[[#This Row],[Precio]]/0.6,50)</f>
        <v>500</v>
      </c>
      <c r="P111" t="s">
        <v>8693</v>
      </c>
      <c r="Q111">
        <v>5</v>
      </c>
      <c r="R111" s="3">
        <f>ARTICULOS_MONDELEZ[[#This Row],[Bulto]]+ARTICULOS_MONDELEZ[[#This Row],[Minimo]]</f>
        <v>25</v>
      </c>
      <c r="S111" t="s">
        <v>38</v>
      </c>
      <c r="T111" t="s">
        <v>4</v>
      </c>
      <c r="U111" t="s">
        <v>77</v>
      </c>
      <c r="V111" t="s">
        <v>9685</v>
      </c>
      <c r="W111" t="s">
        <v>8692</v>
      </c>
      <c r="X111">
        <v>1</v>
      </c>
      <c r="Y111" s="36">
        <v>0</v>
      </c>
      <c r="Z111"/>
      <c r="AB111" s="80">
        <f>ARTICULOS_MONDELEZ[[#This Row],[Costo]]*ARTICULOS_MONDELEZ[[#This Row],[Pedido]]</f>
        <v>0</v>
      </c>
      <c r="AH111" s="2" t="str">
        <f>IF(AND(ARTICULOS_MONDELEZ[[#This Row],[FechaVenc]]=0,ARTICULOS_MONDELEZ[[#This Row],[DiasVenc]]=0),"",ARTICULOS_MONDELEZ[[#This Row],[FechaVenc]]-ARTICULOS_MONDELEZ[[#This Row],[DiasVenc]])</f>
        <v/>
      </c>
      <c r="AO111" s="30" t="s">
        <v>8689</v>
      </c>
    </row>
    <row r="112" spans="1:41" ht="15.75" x14ac:dyDescent="0.25">
      <c r="A112" s="1" t="s">
        <v>9704</v>
      </c>
      <c r="C112" t="str">
        <f t="shared" si="13"/>
        <v>KIO10788207</v>
      </c>
      <c r="D112" t="s">
        <v>8689</v>
      </c>
      <c r="E112" s="1" t="s">
        <v>9705</v>
      </c>
      <c r="F112" s="61">
        <v>1595.75</v>
      </c>
      <c r="G112" s="119">
        <v>0.21</v>
      </c>
      <c r="H112" s="4" t="s">
        <v>8690</v>
      </c>
      <c r="I112">
        <v>6</v>
      </c>
      <c r="J112">
        <v>1</v>
      </c>
      <c r="L112" s="66">
        <f>((ARTICULOS_MONDELEZ[[#This Row],[P. Compra]]*(1+ARTICULOS_MONDELEZ[[#This Row],[IVA]]))/ARTICULOS_MONDELEZ[[#This Row],[UnidFact]])+ARTICULOS_MONDELEZ[[#This Row],[CostoFlete]]</f>
        <v>1930.8574999999998</v>
      </c>
      <c r="M112">
        <v>35</v>
      </c>
      <c r="N112" s="68">
        <f>IF(L112&gt;=5,MROUND((L112*(1+(ARTICULOS_MONDELEZ[[#This Row],[IVA]]/100)))/(1-M112/100),50),10)</f>
        <v>3000</v>
      </c>
      <c r="O112" s="3">
        <f>MROUND(ARTICULOS_MONDELEZ[[#This Row],[Precio]]/0.6,50)</f>
        <v>5000</v>
      </c>
      <c r="P112" t="s">
        <v>8693</v>
      </c>
      <c r="Q112">
        <v>2</v>
      </c>
      <c r="R112" s="3">
        <f>ARTICULOS_MONDELEZ[[#This Row],[Bulto]]+ARTICULOS_MONDELEZ[[#This Row],[Minimo]]</f>
        <v>8</v>
      </c>
      <c r="S112" t="s">
        <v>38</v>
      </c>
      <c r="T112" t="s">
        <v>27</v>
      </c>
      <c r="U112" t="s">
        <v>88</v>
      </c>
      <c r="V112" t="s">
        <v>9477</v>
      </c>
      <c r="W112" t="s">
        <v>8692</v>
      </c>
      <c r="X112">
        <v>1</v>
      </c>
      <c r="Y112" s="36">
        <v>2</v>
      </c>
      <c r="Z112"/>
      <c r="AB112" s="80">
        <f>ARTICULOS_MONDELEZ[[#This Row],[Costo]]*ARTICULOS_MONDELEZ[[#This Row],[Pedido]]</f>
        <v>0</v>
      </c>
      <c r="AH112" s="2" t="str">
        <f>IF(AND(ARTICULOS_MONDELEZ[[#This Row],[FechaVenc]]=0,ARTICULOS_MONDELEZ[[#This Row],[DiasVenc]]=0),"",ARTICULOS_MONDELEZ[[#This Row],[FechaVenc]]-ARTICULOS_MONDELEZ[[#This Row],[DiasVenc]])</f>
        <v/>
      </c>
      <c r="AO112" s="30" t="s">
        <v>8689</v>
      </c>
    </row>
    <row r="113" spans="1:41" ht="15.75" x14ac:dyDescent="0.25">
      <c r="A113" s="1" t="s">
        <v>9706</v>
      </c>
      <c r="C113" t="str">
        <f t="shared" si="13"/>
        <v>KIO10719829</v>
      </c>
      <c r="D113" t="s">
        <v>8689</v>
      </c>
      <c r="E113" s="1" t="s">
        <v>9707</v>
      </c>
      <c r="F113" s="61">
        <f>F112</f>
        <v>1595.75</v>
      </c>
      <c r="G113" s="119">
        <v>0.21</v>
      </c>
      <c r="H113" s="4" t="s">
        <v>8690</v>
      </c>
      <c r="I113">
        <v>6</v>
      </c>
      <c r="J113">
        <v>1</v>
      </c>
      <c r="L113" s="66">
        <f>((ARTICULOS_MONDELEZ[[#This Row],[P. Compra]]*(1+ARTICULOS_MONDELEZ[[#This Row],[IVA]]))/ARTICULOS_MONDELEZ[[#This Row],[UnidFact]])+ARTICULOS_MONDELEZ[[#This Row],[CostoFlete]]</f>
        <v>1930.8574999999998</v>
      </c>
      <c r="M113">
        <v>35</v>
      </c>
      <c r="N113" s="68">
        <f>IF(L113&gt;=5,MROUND((L113*(1+(ARTICULOS_MONDELEZ[[#This Row],[IVA]]/100)))/(1-M113/100),50),10)</f>
        <v>3000</v>
      </c>
      <c r="O113" s="3">
        <f>MROUND(ARTICULOS_MONDELEZ[[#This Row],[Precio]]/0.6,50)</f>
        <v>5000</v>
      </c>
      <c r="P113" t="s">
        <v>8693</v>
      </c>
      <c r="Q113">
        <v>2</v>
      </c>
      <c r="R113" s="3">
        <f>ARTICULOS_MONDELEZ[[#This Row],[Bulto]]+ARTICULOS_MONDELEZ[[#This Row],[Minimo]]</f>
        <v>8</v>
      </c>
      <c r="S113" t="s">
        <v>38</v>
      </c>
      <c r="T113" t="s">
        <v>27</v>
      </c>
      <c r="U113" t="s">
        <v>88</v>
      </c>
      <c r="V113" t="s">
        <v>9477</v>
      </c>
      <c r="W113" t="s">
        <v>8692</v>
      </c>
      <c r="X113">
        <v>1</v>
      </c>
      <c r="Y113" s="36">
        <v>0</v>
      </c>
      <c r="Z113"/>
      <c r="AB113" s="80">
        <f>ARTICULOS_MONDELEZ[[#This Row],[Costo]]*ARTICULOS_MONDELEZ[[#This Row],[Pedido]]</f>
        <v>0</v>
      </c>
      <c r="AH113" s="2" t="str">
        <f>IF(AND(ARTICULOS_MONDELEZ[[#This Row],[FechaVenc]]=0,ARTICULOS_MONDELEZ[[#This Row],[DiasVenc]]=0),"",ARTICULOS_MONDELEZ[[#This Row],[FechaVenc]]-ARTICULOS_MONDELEZ[[#This Row],[DiasVenc]])</f>
        <v/>
      </c>
      <c r="AO113" s="30" t="s">
        <v>8689</v>
      </c>
    </row>
    <row r="114" spans="1:41" ht="15.75" x14ac:dyDescent="0.25">
      <c r="A114" s="1" t="s">
        <v>9708</v>
      </c>
      <c r="C114" t="str">
        <f t="shared" si="13"/>
        <v>KIO77976291</v>
      </c>
      <c r="D114" t="s">
        <v>8689</v>
      </c>
      <c r="E114" s="1" t="s">
        <v>9709</v>
      </c>
      <c r="F114" s="61">
        <v>365.8</v>
      </c>
      <c r="G114" s="119">
        <v>0.21</v>
      </c>
      <c r="H114" s="4" t="s">
        <v>8690</v>
      </c>
      <c r="I114">
        <v>36</v>
      </c>
      <c r="J114">
        <v>1</v>
      </c>
      <c r="L114" s="66">
        <f>((ARTICULOS_MONDELEZ[[#This Row],[P. Compra]]*(1+ARTICULOS_MONDELEZ[[#This Row],[IVA]]))/ARTICULOS_MONDELEZ[[#This Row],[UnidFact]])+ARTICULOS_MONDELEZ[[#This Row],[CostoFlete]]</f>
        <v>442.61799999999999</v>
      </c>
      <c r="M114">
        <v>35</v>
      </c>
      <c r="N114" s="68">
        <f>IF(L114&gt;=5,MROUND((L114*(1+(ARTICULOS_MONDELEZ[[#This Row],[IVA]]/100)))/(1-M114/100),50),10)</f>
        <v>700</v>
      </c>
      <c r="O114" s="3">
        <f>MROUND(ARTICULOS_MONDELEZ[[#This Row],[Precio]]/0.6,50)</f>
        <v>1150</v>
      </c>
      <c r="P114" t="s">
        <v>8693</v>
      </c>
      <c r="Q114">
        <v>2</v>
      </c>
      <c r="R114" s="3">
        <f>ARTICULOS_MONDELEZ[[#This Row],[Bulto]]+ARTICULOS_MONDELEZ[[#This Row],[Minimo]]</f>
        <v>38</v>
      </c>
      <c r="S114" t="s">
        <v>38</v>
      </c>
      <c r="T114" t="s">
        <v>27</v>
      </c>
      <c r="U114" t="s">
        <v>88</v>
      </c>
      <c r="V114" t="s">
        <v>9492</v>
      </c>
      <c r="W114" t="s">
        <v>8692</v>
      </c>
      <c r="X114">
        <v>1</v>
      </c>
      <c r="Y114" s="36">
        <v>19</v>
      </c>
      <c r="Z114"/>
      <c r="AB114" s="80">
        <f>ARTICULOS_MONDELEZ[[#This Row],[Costo]]*ARTICULOS_MONDELEZ[[#This Row],[Pedido]]</f>
        <v>0</v>
      </c>
      <c r="AH114" s="2" t="str">
        <f>IF(AND(ARTICULOS_MONDELEZ[[#This Row],[FechaVenc]]=0,ARTICULOS_MONDELEZ[[#This Row],[DiasVenc]]=0),"",ARTICULOS_MONDELEZ[[#This Row],[FechaVenc]]-ARTICULOS_MONDELEZ[[#This Row],[DiasVenc]])</f>
        <v/>
      </c>
      <c r="AO114" s="30" t="s">
        <v>8689</v>
      </c>
    </row>
    <row r="115" spans="1:41" ht="15.75" x14ac:dyDescent="0.25">
      <c r="A115" s="1" t="s">
        <v>9710</v>
      </c>
      <c r="C115" t="str">
        <f t="shared" si="13"/>
        <v>KIO00835194</v>
      </c>
      <c r="D115" t="s">
        <v>8689</v>
      </c>
      <c r="E115" s="1" t="s">
        <v>9711</v>
      </c>
      <c r="F115" s="61">
        <v>4793.42</v>
      </c>
      <c r="G115" s="119">
        <v>0.21</v>
      </c>
      <c r="H115" s="4" t="s">
        <v>8690</v>
      </c>
      <c r="I115">
        <v>12</v>
      </c>
      <c r="J115">
        <v>12</v>
      </c>
      <c r="L115" s="66">
        <f>((ARTICULOS_MONDELEZ[[#This Row],[P. Compra]]*(1+ARTICULOS_MONDELEZ[[#This Row],[IVA]]))/ARTICULOS_MONDELEZ[[#This Row],[UnidFact]])+ARTICULOS_MONDELEZ[[#This Row],[CostoFlete]]</f>
        <v>483.33651666666668</v>
      </c>
      <c r="M115">
        <v>35</v>
      </c>
      <c r="N115" s="68">
        <f>IF(L115&gt;=5,MROUND((L115*(1+(ARTICULOS_MONDELEZ[[#This Row],[IVA]]/100)))/(1-M115/100),50),10)</f>
        <v>750</v>
      </c>
      <c r="O115" s="3">
        <f>MROUND(ARTICULOS_MONDELEZ[[#This Row],[Precio]]/0.6,50)</f>
        <v>1250</v>
      </c>
      <c r="P115" t="s">
        <v>8693</v>
      </c>
      <c r="Q115">
        <v>2</v>
      </c>
      <c r="R115" s="3">
        <f>ARTICULOS_MONDELEZ[[#This Row],[Bulto]]+ARTICULOS_MONDELEZ[[#This Row],[Minimo]]</f>
        <v>14</v>
      </c>
      <c r="S115" t="s">
        <v>38</v>
      </c>
      <c r="T115" t="s">
        <v>27</v>
      </c>
      <c r="U115" t="s">
        <v>92</v>
      </c>
      <c r="V115" t="s">
        <v>9668</v>
      </c>
      <c r="W115" t="s">
        <v>8692</v>
      </c>
      <c r="X115">
        <v>1</v>
      </c>
      <c r="Y115" s="36">
        <v>11</v>
      </c>
      <c r="Z115"/>
      <c r="AB115" s="80">
        <f>ARTICULOS_MONDELEZ[[#This Row],[Costo]]*ARTICULOS_MONDELEZ[[#This Row],[Pedido]]</f>
        <v>0</v>
      </c>
      <c r="AH115" s="2" t="str">
        <f>IF(AND(ARTICULOS_MONDELEZ[[#This Row],[FechaVenc]]=0,ARTICULOS_MONDELEZ[[#This Row],[DiasVenc]]=0),"",ARTICULOS_MONDELEZ[[#This Row],[FechaVenc]]-ARTICULOS_MONDELEZ[[#This Row],[DiasVenc]])</f>
        <v/>
      </c>
      <c r="AO115" s="30" t="s">
        <v>8689</v>
      </c>
    </row>
    <row r="116" spans="1:41" ht="15.75" x14ac:dyDescent="0.25">
      <c r="A116" s="24" t="s">
        <v>9712</v>
      </c>
      <c r="C116" t="str">
        <f t="shared" si="13"/>
        <v>KIO00803698</v>
      </c>
      <c r="D116" t="s">
        <v>8689</v>
      </c>
      <c r="E116" s="24" t="s">
        <v>9713</v>
      </c>
      <c r="F116" s="61">
        <f>F115</f>
        <v>4793.42</v>
      </c>
      <c r="G116" s="119">
        <v>0.21</v>
      </c>
      <c r="H116" s="4" t="s">
        <v>8690</v>
      </c>
      <c r="I116">
        <v>12</v>
      </c>
      <c r="J116">
        <v>12</v>
      </c>
      <c r="L116" s="66">
        <f>((ARTICULOS_MONDELEZ[[#This Row],[P. Compra]]*(1+ARTICULOS_MONDELEZ[[#This Row],[IVA]]))/ARTICULOS_MONDELEZ[[#This Row],[UnidFact]])+ARTICULOS_MONDELEZ[[#This Row],[CostoFlete]]</f>
        <v>483.33651666666668</v>
      </c>
      <c r="M116">
        <v>35</v>
      </c>
      <c r="N116" s="68">
        <f>IF(L116&gt;=5,MROUND((L116*(1+(ARTICULOS_MONDELEZ[[#This Row],[IVA]]/100)))/(1-M116/100),50),10)</f>
        <v>750</v>
      </c>
      <c r="O116" s="3">
        <f>MROUND(ARTICULOS_MONDELEZ[[#This Row],[Precio]]/0.6,50)</f>
        <v>1250</v>
      </c>
      <c r="P116" t="s">
        <v>8693</v>
      </c>
      <c r="Q116">
        <v>2</v>
      </c>
      <c r="R116" s="3">
        <f>ARTICULOS_MONDELEZ[[#This Row],[Bulto]]+ARTICULOS_MONDELEZ[[#This Row],[Minimo]]</f>
        <v>14</v>
      </c>
      <c r="S116" t="s">
        <v>38</v>
      </c>
      <c r="T116" t="s">
        <v>27</v>
      </c>
      <c r="U116" t="s">
        <v>92</v>
      </c>
      <c r="V116" t="s">
        <v>9668</v>
      </c>
      <c r="W116" t="s">
        <v>8692</v>
      </c>
      <c r="X116">
        <v>1</v>
      </c>
      <c r="Y116" s="36">
        <v>20</v>
      </c>
      <c r="Z116"/>
      <c r="AB116" s="80">
        <f>ARTICULOS_MONDELEZ[[#This Row],[Costo]]*ARTICULOS_MONDELEZ[[#This Row],[Pedido]]</f>
        <v>0</v>
      </c>
      <c r="AH116" s="2" t="str">
        <f>IF(AND(ARTICULOS_MONDELEZ[[#This Row],[FechaVenc]]=0,ARTICULOS_MONDELEZ[[#This Row],[DiasVenc]]=0),"",ARTICULOS_MONDELEZ[[#This Row],[FechaVenc]]-ARTICULOS_MONDELEZ[[#This Row],[DiasVenc]])</f>
        <v/>
      </c>
      <c r="AO116" s="30" t="s">
        <v>8689</v>
      </c>
    </row>
    <row r="117" spans="1:41" ht="15.75" x14ac:dyDescent="0.25">
      <c r="A117" s="1" t="s">
        <v>12568</v>
      </c>
      <c r="C117" t="str">
        <f t="shared" si="13"/>
        <v>KIO01802875</v>
      </c>
      <c r="D117" t="s">
        <v>8689</v>
      </c>
      <c r="E117" s="24" t="s">
        <v>9714</v>
      </c>
      <c r="F117" s="61">
        <v>5200.59</v>
      </c>
      <c r="G117" s="119">
        <v>0.21</v>
      </c>
      <c r="H117" s="4" t="s">
        <v>8690</v>
      </c>
      <c r="I117">
        <v>12</v>
      </c>
      <c r="J117">
        <v>12</v>
      </c>
      <c r="L117" s="66">
        <f>((ARTICULOS_MONDELEZ[[#This Row],[P. Compra]]*(1+ARTICULOS_MONDELEZ[[#This Row],[IVA]]))/ARTICULOS_MONDELEZ[[#This Row],[UnidFact]])+ARTICULOS_MONDELEZ[[#This Row],[CostoFlete]]</f>
        <v>524.39282500000002</v>
      </c>
      <c r="M117">
        <v>35</v>
      </c>
      <c r="N117" s="68">
        <f>IF(L117&gt;=5,MROUND((L117*(1+(ARTICULOS_MONDELEZ[[#This Row],[IVA]]/100)))/(1-M117/100),50),10)</f>
        <v>800</v>
      </c>
      <c r="O117" s="3">
        <f>MROUND(ARTICULOS_MONDELEZ[[#This Row],[Precio]]/0.6,50)</f>
        <v>1350</v>
      </c>
      <c r="P117" t="s">
        <v>8693</v>
      </c>
      <c r="Q117">
        <v>4</v>
      </c>
      <c r="R117" s="3">
        <f>ARTICULOS_MONDELEZ[[#This Row],[Bulto]]+ARTICULOS_MONDELEZ[[#This Row],[Minimo]]</f>
        <v>16</v>
      </c>
      <c r="S117" t="s">
        <v>38</v>
      </c>
      <c r="T117" t="s">
        <v>27</v>
      </c>
      <c r="U117" t="s">
        <v>92</v>
      </c>
      <c r="V117" t="s">
        <v>9715</v>
      </c>
      <c r="W117" t="s">
        <v>8692</v>
      </c>
      <c r="X117">
        <v>1</v>
      </c>
      <c r="Y117" s="36">
        <v>1</v>
      </c>
      <c r="Z117"/>
      <c r="AB117" s="80">
        <f>ARTICULOS_MONDELEZ[[#This Row],[Costo]]*ARTICULOS_MONDELEZ[[#This Row],[Pedido]]</f>
        <v>0</v>
      </c>
      <c r="AH117" s="2" t="str">
        <f>IF(AND(ARTICULOS_MONDELEZ[[#This Row],[FechaVenc]]=0,ARTICULOS_MONDELEZ[[#This Row],[DiasVenc]]=0),"",ARTICULOS_MONDELEZ[[#This Row],[FechaVenc]]-ARTICULOS_MONDELEZ[[#This Row],[DiasVenc]])</f>
        <v/>
      </c>
      <c r="AO117" s="30" t="s">
        <v>8689</v>
      </c>
    </row>
    <row r="118" spans="1:41" ht="15.75" x14ac:dyDescent="0.25">
      <c r="A118" s="1" t="s">
        <v>12567</v>
      </c>
      <c r="C118" t="str">
        <f t="shared" si="13"/>
        <v>KIO01802967</v>
      </c>
      <c r="D118" t="s">
        <v>8689</v>
      </c>
      <c r="E118" s="24" t="s">
        <v>9716</v>
      </c>
      <c r="F118" s="61">
        <f>F117</f>
        <v>5200.59</v>
      </c>
      <c r="G118" s="119">
        <v>0.21</v>
      </c>
      <c r="H118" s="4" t="s">
        <v>8690</v>
      </c>
      <c r="I118">
        <v>12</v>
      </c>
      <c r="J118">
        <v>12</v>
      </c>
      <c r="L118" s="66">
        <f>((ARTICULOS_MONDELEZ[[#This Row],[P. Compra]]*(1+ARTICULOS_MONDELEZ[[#This Row],[IVA]]))/ARTICULOS_MONDELEZ[[#This Row],[UnidFact]])+ARTICULOS_MONDELEZ[[#This Row],[CostoFlete]]</f>
        <v>524.39282500000002</v>
      </c>
      <c r="M118">
        <v>35</v>
      </c>
      <c r="N118" s="68">
        <f>IF(L118&gt;=5,MROUND((L118*(1+(ARTICULOS_MONDELEZ[[#This Row],[IVA]]/100)))/(1-M118/100),50),10)</f>
        <v>800</v>
      </c>
      <c r="O118" s="3">
        <f>MROUND(ARTICULOS_MONDELEZ[[#This Row],[Precio]]/0.6,50)</f>
        <v>1350</v>
      </c>
      <c r="P118" t="s">
        <v>8693</v>
      </c>
      <c r="Q118">
        <v>4</v>
      </c>
      <c r="R118" s="3">
        <f>ARTICULOS_MONDELEZ[[#This Row],[Bulto]]+ARTICULOS_MONDELEZ[[#This Row],[Minimo]]</f>
        <v>16</v>
      </c>
      <c r="S118" t="s">
        <v>38</v>
      </c>
      <c r="T118" t="s">
        <v>27</v>
      </c>
      <c r="U118" t="s">
        <v>92</v>
      </c>
      <c r="V118" t="s">
        <v>9715</v>
      </c>
      <c r="W118" t="s">
        <v>8692</v>
      </c>
      <c r="X118">
        <v>1</v>
      </c>
      <c r="Y118" s="36">
        <v>0</v>
      </c>
      <c r="Z118"/>
      <c r="AB118" s="80">
        <f>ARTICULOS_MONDELEZ[[#This Row],[Costo]]*ARTICULOS_MONDELEZ[[#This Row],[Pedido]]</f>
        <v>0</v>
      </c>
      <c r="AH118" s="2" t="str">
        <f>IF(AND(ARTICULOS_MONDELEZ[[#This Row],[FechaVenc]]=0,ARTICULOS_MONDELEZ[[#This Row],[DiasVenc]]=0),"",ARTICULOS_MONDELEZ[[#This Row],[FechaVenc]]-ARTICULOS_MONDELEZ[[#This Row],[DiasVenc]])</f>
        <v/>
      </c>
      <c r="AO118" s="30" t="s">
        <v>8689</v>
      </c>
    </row>
    <row r="119" spans="1:41" ht="15.75" x14ac:dyDescent="0.25">
      <c r="A119" s="1" t="s">
        <v>12156</v>
      </c>
      <c r="C119" t="str">
        <f t="shared" si="13"/>
        <v>KIO77987662</v>
      </c>
      <c r="D119" t="s">
        <v>8689</v>
      </c>
      <c r="E119" s="1" t="s">
        <v>9717</v>
      </c>
      <c r="F119" s="61">
        <v>4387.3</v>
      </c>
      <c r="G119" s="119">
        <v>0.21</v>
      </c>
      <c r="H119" s="4" t="s">
        <v>8690</v>
      </c>
      <c r="I119">
        <v>12</v>
      </c>
      <c r="J119">
        <v>12</v>
      </c>
      <c r="L119" s="66">
        <f>((ARTICULOS_MONDELEZ[[#This Row],[P. Compra]]*(1+ARTICULOS_MONDELEZ[[#This Row],[IVA]]))/ARTICULOS_MONDELEZ[[#This Row],[UnidFact]])+ARTICULOS_MONDELEZ[[#This Row],[CostoFlete]]</f>
        <v>442.38608333333332</v>
      </c>
      <c r="M119">
        <v>35</v>
      </c>
      <c r="N119" s="68">
        <f>IF(L119&gt;=5,MROUND((L119*(1+(ARTICULOS_MONDELEZ[[#This Row],[IVA]]/100)))/(1-M119/100),50),10)</f>
        <v>700</v>
      </c>
      <c r="O119" s="3">
        <f>MROUND(ARTICULOS_MONDELEZ[[#This Row],[Precio]]/0.6,50)</f>
        <v>1150</v>
      </c>
      <c r="P119" t="s">
        <v>8693</v>
      </c>
      <c r="Q119">
        <v>4</v>
      </c>
      <c r="R119" s="3">
        <f>ARTICULOS_MONDELEZ[[#This Row],[Bulto]]+ARTICULOS_MONDELEZ[[#This Row],[Minimo]]</f>
        <v>16</v>
      </c>
      <c r="S119" t="s">
        <v>38</v>
      </c>
      <c r="T119" t="s">
        <v>27</v>
      </c>
      <c r="U119" t="s">
        <v>92</v>
      </c>
      <c r="V119" t="s">
        <v>9715</v>
      </c>
      <c r="W119" t="s">
        <v>8692</v>
      </c>
      <c r="X119">
        <v>1</v>
      </c>
      <c r="Y119" s="36">
        <v>8</v>
      </c>
      <c r="Z119"/>
      <c r="AB119" s="80">
        <f>ARTICULOS_MONDELEZ[[#This Row],[Costo]]*ARTICULOS_MONDELEZ[[#This Row],[Pedido]]</f>
        <v>0</v>
      </c>
      <c r="AH119" s="2" t="str">
        <f>IF(AND(ARTICULOS_MONDELEZ[[#This Row],[FechaVenc]]=0,ARTICULOS_MONDELEZ[[#This Row],[DiasVenc]]=0),"",ARTICULOS_MONDELEZ[[#This Row],[FechaVenc]]-ARTICULOS_MONDELEZ[[#This Row],[DiasVenc]])</f>
        <v/>
      </c>
      <c r="AO119" s="30" t="s">
        <v>8689</v>
      </c>
    </row>
    <row r="120" spans="1:41" ht="15.75" x14ac:dyDescent="0.25">
      <c r="A120" s="1" t="s">
        <v>9718</v>
      </c>
      <c r="C120" t="str">
        <f t="shared" si="13"/>
        <v>KIO10659040</v>
      </c>
      <c r="D120" t="s">
        <v>8689</v>
      </c>
      <c r="E120" s="1" t="s">
        <v>9719</v>
      </c>
      <c r="F120" s="61">
        <f>F119</f>
        <v>4387.3</v>
      </c>
      <c r="G120" s="119">
        <v>0.21</v>
      </c>
      <c r="H120" s="4" t="s">
        <v>8690</v>
      </c>
      <c r="I120">
        <v>12</v>
      </c>
      <c r="J120">
        <v>12</v>
      </c>
      <c r="L120" s="66">
        <f>((ARTICULOS_MONDELEZ[[#This Row],[P. Compra]]*(1+ARTICULOS_MONDELEZ[[#This Row],[IVA]]))/ARTICULOS_MONDELEZ[[#This Row],[UnidFact]])+ARTICULOS_MONDELEZ[[#This Row],[CostoFlete]]</f>
        <v>442.38608333333332</v>
      </c>
      <c r="M120">
        <v>35</v>
      </c>
      <c r="N120" s="68">
        <f>IF(L120&gt;=5,MROUND((L120*(1+(ARTICULOS_MONDELEZ[[#This Row],[IVA]]/100)))/(1-M120/100),50),10)</f>
        <v>700</v>
      </c>
      <c r="O120" s="3">
        <f>MROUND(ARTICULOS_MONDELEZ[[#This Row],[Precio]]/0.6,50)</f>
        <v>1150</v>
      </c>
      <c r="P120" t="s">
        <v>8693</v>
      </c>
      <c r="Q120">
        <v>4</v>
      </c>
      <c r="R120" s="3">
        <f>ARTICULOS_MONDELEZ[[#This Row],[Bulto]]+ARTICULOS_MONDELEZ[[#This Row],[Minimo]]</f>
        <v>16</v>
      </c>
      <c r="S120" t="s">
        <v>38</v>
      </c>
      <c r="T120" t="s">
        <v>27</v>
      </c>
      <c r="U120" t="s">
        <v>92</v>
      </c>
      <c r="V120" t="s">
        <v>9715</v>
      </c>
      <c r="W120" t="s">
        <v>8692</v>
      </c>
      <c r="X120">
        <v>1</v>
      </c>
      <c r="Y120" s="36">
        <v>0</v>
      </c>
      <c r="Z120"/>
      <c r="AB120" s="80">
        <f>ARTICULOS_MONDELEZ[[#This Row],[Costo]]*ARTICULOS_MONDELEZ[[#This Row],[Pedido]]</f>
        <v>0</v>
      </c>
      <c r="AH120" s="2" t="str">
        <f>IF(AND(ARTICULOS_MONDELEZ[[#This Row],[FechaVenc]]=0,ARTICULOS_MONDELEZ[[#This Row],[DiasVenc]]=0),"",ARTICULOS_MONDELEZ[[#This Row],[FechaVenc]]-ARTICULOS_MONDELEZ[[#This Row],[DiasVenc]])</f>
        <v/>
      </c>
      <c r="AO120" s="30" t="s">
        <v>8689</v>
      </c>
    </row>
    <row r="121" spans="1:41" ht="15.75" x14ac:dyDescent="0.25">
      <c r="A121" s="1" t="s">
        <v>9720</v>
      </c>
      <c r="C121" t="str">
        <f t="shared" si="13"/>
        <v>KIO77933928</v>
      </c>
      <c r="D121" t="s">
        <v>8689</v>
      </c>
      <c r="E121" s="1" t="s">
        <v>9721</v>
      </c>
      <c r="F121" s="61">
        <f t="shared" ref="F121:F128" si="15">F120</f>
        <v>4387.3</v>
      </c>
      <c r="G121" s="119">
        <v>0.21</v>
      </c>
      <c r="H121" s="4" t="s">
        <v>8690</v>
      </c>
      <c r="I121">
        <v>12</v>
      </c>
      <c r="J121">
        <v>12</v>
      </c>
      <c r="L121" s="66">
        <f>((ARTICULOS_MONDELEZ[[#This Row],[P. Compra]]*(1+ARTICULOS_MONDELEZ[[#This Row],[IVA]]))/ARTICULOS_MONDELEZ[[#This Row],[UnidFact]])+ARTICULOS_MONDELEZ[[#This Row],[CostoFlete]]</f>
        <v>442.38608333333332</v>
      </c>
      <c r="M121">
        <v>35</v>
      </c>
      <c r="N121" s="68">
        <f>IF(L121&gt;=5,MROUND((L121*(1+(ARTICULOS_MONDELEZ[[#This Row],[IVA]]/100)))/(1-M121/100),50),10)</f>
        <v>700</v>
      </c>
      <c r="O121" s="3">
        <f>MROUND(ARTICULOS_MONDELEZ[[#This Row],[Precio]]/0.6,50)</f>
        <v>1150</v>
      </c>
      <c r="P121" t="s">
        <v>8693</v>
      </c>
      <c r="Q121">
        <v>4</v>
      </c>
      <c r="R121" s="3">
        <f>ARTICULOS_MONDELEZ[[#This Row],[Bulto]]+ARTICULOS_MONDELEZ[[#This Row],[Minimo]]</f>
        <v>16</v>
      </c>
      <c r="S121" t="s">
        <v>38</v>
      </c>
      <c r="T121" t="s">
        <v>27</v>
      </c>
      <c r="U121" t="s">
        <v>92</v>
      </c>
      <c r="V121" t="s">
        <v>9715</v>
      </c>
      <c r="W121" t="s">
        <v>8692</v>
      </c>
      <c r="X121">
        <v>1</v>
      </c>
      <c r="Y121" s="36">
        <v>11</v>
      </c>
      <c r="Z121"/>
      <c r="AB121" s="80">
        <f>ARTICULOS_MONDELEZ[[#This Row],[Costo]]*ARTICULOS_MONDELEZ[[#This Row],[Pedido]]</f>
        <v>0</v>
      </c>
      <c r="AH121" s="2" t="str">
        <f>IF(AND(ARTICULOS_MONDELEZ[[#This Row],[FechaVenc]]=0,ARTICULOS_MONDELEZ[[#This Row],[DiasVenc]]=0),"",ARTICULOS_MONDELEZ[[#This Row],[FechaVenc]]-ARTICULOS_MONDELEZ[[#This Row],[DiasVenc]])</f>
        <v/>
      </c>
      <c r="AO121" s="30" t="s">
        <v>8689</v>
      </c>
    </row>
    <row r="122" spans="1:41" ht="15.75" x14ac:dyDescent="0.25">
      <c r="A122" s="1" t="s">
        <v>12158</v>
      </c>
      <c r="C122" t="str">
        <f t="shared" si="13"/>
        <v>KIO77986283</v>
      </c>
      <c r="D122" t="s">
        <v>8689</v>
      </c>
      <c r="E122" s="1" t="s">
        <v>9722</v>
      </c>
      <c r="F122" s="61">
        <f t="shared" si="15"/>
        <v>4387.3</v>
      </c>
      <c r="G122" s="119">
        <v>0.21</v>
      </c>
      <c r="H122" s="4" t="s">
        <v>8690</v>
      </c>
      <c r="I122">
        <v>12</v>
      </c>
      <c r="J122">
        <v>12</v>
      </c>
      <c r="L122" s="66">
        <f>((ARTICULOS_MONDELEZ[[#This Row],[P. Compra]]*(1+ARTICULOS_MONDELEZ[[#This Row],[IVA]]))/ARTICULOS_MONDELEZ[[#This Row],[UnidFact]])+ARTICULOS_MONDELEZ[[#This Row],[CostoFlete]]</f>
        <v>442.38608333333332</v>
      </c>
      <c r="M122">
        <v>35</v>
      </c>
      <c r="N122" s="68">
        <f>IF(L122&gt;=5,MROUND((L122*(1+(ARTICULOS_MONDELEZ[[#This Row],[IVA]]/100)))/(1-M122/100),50),10)</f>
        <v>700</v>
      </c>
      <c r="O122" s="3">
        <f>MROUND(ARTICULOS_MONDELEZ[[#This Row],[Precio]]/0.6,50)</f>
        <v>1150</v>
      </c>
      <c r="P122" t="s">
        <v>8693</v>
      </c>
      <c r="Q122">
        <v>4</v>
      </c>
      <c r="R122" s="3">
        <f>ARTICULOS_MONDELEZ[[#This Row],[Bulto]]+ARTICULOS_MONDELEZ[[#This Row],[Minimo]]</f>
        <v>16</v>
      </c>
      <c r="S122" t="s">
        <v>38</v>
      </c>
      <c r="T122" t="s">
        <v>27</v>
      </c>
      <c r="U122" t="s">
        <v>92</v>
      </c>
      <c r="V122" t="s">
        <v>9715</v>
      </c>
      <c r="W122" t="s">
        <v>8692</v>
      </c>
      <c r="X122">
        <v>1</v>
      </c>
      <c r="Y122" s="36">
        <v>6</v>
      </c>
      <c r="Z122"/>
      <c r="AB122" s="80">
        <f>ARTICULOS_MONDELEZ[[#This Row],[Costo]]*ARTICULOS_MONDELEZ[[#This Row],[Pedido]]</f>
        <v>0</v>
      </c>
      <c r="AH122" s="2" t="str">
        <f>IF(AND(ARTICULOS_MONDELEZ[[#This Row],[FechaVenc]]=0,ARTICULOS_MONDELEZ[[#This Row],[DiasVenc]]=0),"",ARTICULOS_MONDELEZ[[#This Row],[FechaVenc]]-ARTICULOS_MONDELEZ[[#This Row],[DiasVenc]])</f>
        <v/>
      </c>
      <c r="AO122" s="30" t="s">
        <v>8689</v>
      </c>
    </row>
    <row r="123" spans="1:41" ht="15.75" x14ac:dyDescent="0.25">
      <c r="A123" s="1" t="s">
        <v>12157</v>
      </c>
      <c r="C123" t="str">
        <f t="shared" si="13"/>
        <v>KIO77987655</v>
      </c>
      <c r="D123" t="s">
        <v>8689</v>
      </c>
      <c r="E123" s="1" t="s">
        <v>9723</v>
      </c>
      <c r="F123" s="61">
        <f t="shared" si="15"/>
        <v>4387.3</v>
      </c>
      <c r="G123" s="119">
        <v>0.21</v>
      </c>
      <c r="H123" s="4" t="s">
        <v>8690</v>
      </c>
      <c r="I123">
        <v>12</v>
      </c>
      <c r="J123">
        <v>12</v>
      </c>
      <c r="L123" s="66">
        <f>((ARTICULOS_MONDELEZ[[#This Row],[P. Compra]]*(1+ARTICULOS_MONDELEZ[[#This Row],[IVA]]))/ARTICULOS_MONDELEZ[[#This Row],[UnidFact]])+ARTICULOS_MONDELEZ[[#This Row],[CostoFlete]]</f>
        <v>442.38608333333332</v>
      </c>
      <c r="M123">
        <v>35</v>
      </c>
      <c r="N123" s="68">
        <f>IF(L123&gt;=5,MROUND((L123*(1+(ARTICULOS_MONDELEZ[[#This Row],[IVA]]/100)))/(1-M123/100),50),10)</f>
        <v>700</v>
      </c>
      <c r="O123" s="3">
        <f>MROUND(ARTICULOS_MONDELEZ[[#This Row],[Precio]]/0.6,50)</f>
        <v>1150</v>
      </c>
      <c r="P123" t="s">
        <v>8693</v>
      </c>
      <c r="Q123">
        <v>4</v>
      </c>
      <c r="R123" s="3">
        <f>ARTICULOS_MONDELEZ[[#This Row],[Bulto]]+ARTICULOS_MONDELEZ[[#This Row],[Minimo]]</f>
        <v>16</v>
      </c>
      <c r="S123" t="s">
        <v>38</v>
      </c>
      <c r="T123" t="s">
        <v>27</v>
      </c>
      <c r="U123" t="s">
        <v>92</v>
      </c>
      <c r="V123" t="s">
        <v>9715</v>
      </c>
      <c r="W123" t="s">
        <v>8692</v>
      </c>
      <c r="X123">
        <v>1</v>
      </c>
      <c r="Y123" s="36">
        <v>11</v>
      </c>
      <c r="Z123"/>
      <c r="AB123" s="80">
        <f>ARTICULOS_MONDELEZ[[#This Row],[Costo]]*ARTICULOS_MONDELEZ[[#This Row],[Pedido]]</f>
        <v>0</v>
      </c>
      <c r="AH123" s="2" t="str">
        <f>IF(AND(ARTICULOS_MONDELEZ[[#This Row],[FechaVenc]]=0,ARTICULOS_MONDELEZ[[#This Row],[DiasVenc]]=0),"",ARTICULOS_MONDELEZ[[#This Row],[FechaVenc]]-ARTICULOS_MONDELEZ[[#This Row],[DiasVenc]])</f>
        <v/>
      </c>
      <c r="AO123" s="30" t="s">
        <v>8689</v>
      </c>
    </row>
    <row r="124" spans="1:41" ht="15.75" x14ac:dyDescent="0.25">
      <c r="A124" s="1" t="s">
        <v>12565</v>
      </c>
      <c r="C124" t="str">
        <f t="shared" ref="C124" si="16">CONCATENATE(LEFT(T124,3),RIGHT(A124,8))</f>
        <v>KIO77987679</v>
      </c>
      <c r="D124" t="s">
        <v>8689</v>
      </c>
      <c r="E124" s="1" t="s">
        <v>12566</v>
      </c>
      <c r="F124" s="61">
        <f>F122</f>
        <v>4387.3</v>
      </c>
      <c r="G124" s="119">
        <v>0.21</v>
      </c>
      <c r="H124" s="4" t="s">
        <v>8690</v>
      </c>
      <c r="I124">
        <v>12</v>
      </c>
      <c r="J124">
        <v>12</v>
      </c>
      <c r="L124" s="66">
        <f>((ARTICULOS_MONDELEZ[[#This Row],[P. Compra]]*(1+ARTICULOS_MONDELEZ[[#This Row],[IVA]]))/ARTICULOS_MONDELEZ[[#This Row],[UnidFact]])+ARTICULOS_MONDELEZ[[#This Row],[CostoFlete]]</f>
        <v>442.38608333333332</v>
      </c>
      <c r="M124">
        <v>35</v>
      </c>
      <c r="N124" s="68">
        <f>IF(L124&gt;=5,MROUND((L124*(1+(ARTICULOS_MONDELEZ[[#This Row],[IVA]]/100)))/(1-M124/100),50),10)</f>
        <v>700</v>
      </c>
      <c r="O124" s="3">
        <f>MROUND(ARTICULOS_MONDELEZ[[#This Row],[Precio]]/0.6,50)</f>
        <v>1150</v>
      </c>
      <c r="P124" t="s">
        <v>8693</v>
      </c>
      <c r="Q124">
        <v>4</v>
      </c>
      <c r="R124" s="3">
        <f>ARTICULOS_MONDELEZ[[#This Row],[Bulto]]+ARTICULOS_MONDELEZ[[#This Row],[Minimo]]</f>
        <v>16</v>
      </c>
      <c r="S124" t="s">
        <v>38</v>
      </c>
      <c r="T124" t="s">
        <v>27</v>
      </c>
      <c r="U124" t="s">
        <v>92</v>
      </c>
      <c r="V124" t="s">
        <v>9715</v>
      </c>
      <c r="W124" t="s">
        <v>8692</v>
      </c>
      <c r="X124">
        <v>1</v>
      </c>
      <c r="Y124" s="79">
        <v>9</v>
      </c>
      <c r="Z124"/>
      <c r="AB124" s="80">
        <f>ARTICULOS_MONDELEZ[[#This Row],[Costo]]*ARTICULOS_MONDELEZ[[#This Row],[Pedido]]</f>
        <v>0</v>
      </c>
      <c r="AH124" s="2" t="str">
        <f>IF(AND(ARTICULOS_MONDELEZ[[#This Row],[FechaVenc]]=0,ARTICULOS_MONDELEZ[[#This Row],[DiasVenc]]=0),"",ARTICULOS_MONDELEZ[[#This Row],[FechaVenc]]-ARTICULOS_MONDELEZ[[#This Row],[DiasVenc]])</f>
        <v/>
      </c>
      <c r="AO124" s="30" t="s">
        <v>8689</v>
      </c>
    </row>
    <row r="125" spans="1:41" ht="15.75" x14ac:dyDescent="0.25">
      <c r="A125" s="1" t="s">
        <v>9724</v>
      </c>
      <c r="C125" t="str">
        <f t="shared" si="13"/>
        <v>KIO77905291</v>
      </c>
      <c r="D125" t="s">
        <v>8689</v>
      </c>
      <c r="E125" s="1" t="s">
        <v>9725</v>
      </c>
      <c r="F125" s="61">
        <f>F123</f>
        <v>4387.3</v>
      </c>
      <c r="G125" s="119">
        <v>0.21</v>
      </c>
      <c r="H125" s="4" t="s">
        <v>8690</v>
      </c>
      <c r="I125">
        <v>12</v>
      </c>
      <c r="J125">
        <v>12</v>
      </c>
      <c r="L125" s="66">
        <f>((ARTICULOS_MONDELEZ[[#This Row],[P. Compra]]*(1+ARTICULOS_MONDELEZ[[#This Row],[IVA]]))/ARTICULOS_MONDELEZ[[#This Row],[UnidFact]])+ARTICULOS_MONDELEZ[[#This Row],[CostoFlete]]</f>
        <v>442.38608333333332</v>
      </c>
      <c r="M125">
        <v>35</v>
      </c>
      <c r="N125" s="68">
        <f>IF(L125&gt;=5,MROUND((L125*(1+(ARTICULOS_MONDELEZ[[#This Row],[IVA]]/100)))/(1-M125/100),50),10)</f>
        <v>700</v>
      </c>
      <c r="O125" s="3">
        <f>MROUND(ARTICULOS_MONDELEZ[[#This Row],[Precio]]/0.6,50)</f>
        <v>1150</v>
      </c>
      <c r="P125" t="s">
        <v>8693</v>
      </c>
      <c r="Q125">
        <v>4</v>
      </c>
      <c r="R125" s="3">
        <f>ARTICULOS_MONDELEZ[[#This Row],[Bulto]]+ARTICULOS_MONDELEZ[[#This Row],[Minimo]]</f>
        <v>16</v>
      </c>
      <c r="S125" t="s">
        <v>38</v>
      </c>
      <c r="T125" t="s">
        <v>27</v>
      </c>
      <c r="U125" t="s">
        <v>92</v>
      </c>
      <c r="V125" t="s">
        <v>9715</v>
      </c>
      <c r="W125" t="s">
        <v>8692</v>
      </c>
      <c r="X125">
        <v>1</v>
      </c>
      <c r="Y125" s="79">
        <v>9</v>
      </c>
      <c r="Z125"/>
      <c r="AB125" s="80">
        <f>ARTICULOS_MONDELEZ[[#This Row],[Costo]]*ARTICULOS_MONDELEZ[[#This Row],[Pedido]]</f>
        <v>0</v>
      </c>
      <c r="AH125" s="2" t="str">
        <f>IF(AND(ARTICULOS_MONDELEZ[[#This Row],[FechaVenc]]=0,ARTICULOS_MONDELEZ[[#This Row],[DiasVenc]]=0),"",ARTICULOS_MONDELEZ[[#This Row],[FechaVenc]]-ARTICULOS_MONDELEZ[[#This Row],[DiasVenc]])</f>
        <v/>
      </c>
      <c r="AO125" s="30" t="s">
        <v>8689</v>
      </c>
    </row>
    <row r="126" spans="1:41" ht="15.75" x14ac:dyDescent="0.25">
      <c r="A126" s="1" t="s">
        <v>9726</v>
      </c>
      <c r="C126" t="str">
        <f t="shared" si="13"/>
        <v>KIO77905277</v>
      </c>
      <c r="D126" t="s">
        <v>8689</v>
      </c>
      <c r="E126" s="1" t="s">
        <v>9727</v>
      </c>
      <c r="F126" s="61">
        <f t="shared" si="15"/>
        <v>4387.3</v>
      </c>
      <c r="G126" s="119">
        <v>0.21</v>
      </c>
      <c r="H126" s="4" t="s">
        <v>8690</v>
      </c>
      <c r="I126">
        <v>12</v>
      </c>
      <c r="J126">
        <v>12</v>
      </c>
      <c r="L126" s="66">
        <f>((ARTICULOS_MONDELEZ[[#This Row],[P. Compra]]*(1+ARTICULOS_MONDELEZ[[#This Row],[IVA]]))/ARTICULOS_MONDELEZ[[#This Row],[UnidFact]])+ARTICULOS_MONDELEZ[[#This Row],[CostoFlete]]</f>
        <v>442.38608333333332</v>
      </c>
      <c r="M126">
        <v>35</v>
      </c>
      <c r="N126" s="68">
        <f>IF(L126&gt;=5,MROUND((L126*(1+(ARTICULOS_MONDELEZ[[#This Row],[IVA]]/100)))/(1-M126/100),50),10)</f>
        <v>700</v>
      </c>
      <c r="O126" s="3">
        <f>MROUND(ARTICULOS_MONDELEZ[[#This Row],[Precio]]/0.6,50)</f>
        <v>1150</v>
      </c>
      <c r="P126" t="s">
        <v>8693</v>
      </c>
      <c r="Q126">
        <v>4</v>
      </c>
      <c r="R126" s="3">
        <f>ARTICULOS_MONDELEZ[[#This Row],[Bulto]]+ARTICULOS_MONDELEZ[[#This Row],[Minimo]]</f>
        <v>16</v>
      </c>
      <c r="S126" t="s">
        <v>38</v>
      </c>
      <c r="T126" t="s">
        <v>27</v>
      </c>
      <c r="U126" t="s">
        <v>92</v>
      </c>
      <c r="V126" t="s">
        <v>9715</v>
      </c>
      <c r="W126" t="s">
        <v>8692</v>
      </c>
      <c r="X126">
        <v>1</v>
      </c>
      <c r="Y126" s="36">
        <v>0</v>
      </c>
      <c r="Z126"/>
      <c r="AB126" s="80">
        <f>ARTICULOS_MONDELEZ[[#This Row],[Costo]]*ARTICULOS_MONDELEZ[[#This Row],[Pedido]]</f>
        <v>0</v>
      </c>
      <c r="AH126" s="2" t="str">
        <f>IF(AND(ARTICULOS_MONDELEZ[[#This Row],[FechaVenc]]=0,ARTICULOS_MONDELEZ[[#This Row],[DiasVenc]]=0),"",ARTICULOS_MONDELEZ[[#This Row],[FechaVenc]]-ARTICULOS_MONDELEZ[[#This Row],[DiasVenc]])</f>
        <v/>
      </c>
      <c r="AO126" s="30" t="s">
        <v>8689</v>
      </c>
    </row>
    <row r="127" spans="1:41" ht="15.75" x14ac:dyDescent="0.25">
      <c r="A127" s="1" t="s">
        <v>9728</v>
      </c>
      <c r="C127" t="str">
        <f t="shared" si="13"/>
        <v>KIO77917317</v>
      </c>
      <c r="D127" t="s">
        <v>8689</v>
      </c>
      <c r="E127" s="1" t="s">
        <v>9729</v>
      </c>
      <c r="F127" s="61">
        <f>F126</f>
        <v>4387.3</v>
      </c>
      <c r="G127" s="119">
        <v>0.21</v>
      </c>
      <c r="H127" s="4" t="s">
        <v>8690</v>
      </c>
      <c r="I127">
        <v>12</v>
      </c>
      <c r="J127">
        <v>12</v>
      </c>
      <c r="L127" s="66">
        <f>((ARTICULOS_MONDELEZ[[#This Row],[P. Compra]]*(1+ARTICULOS_MONDELEZ[[#This Row],[IVA]]))/ARTICULOS_MONDELEZ[[#This Row],[UnidFact]])+ARTICULOS_MONDELEZ[[#This Row],[CostoFlete]]</f>
        <v>442.38608333333332</v>
      </c>
      <c r="M127">
        <v>35</v>
      </c>
      <c r="N127" s="68">
        <f>IF(L127&gt;=5,MROUND((L127*(1+(ARTICULOS_MONDELEZ[[#This Row],[IVA]]/100)))/(1-M127/100),50),10)</f>
        <v>700</v>
      </c>
      <c r="O127" s="3">
        <f>MROUND(ARTICULOS_MONDELEZ[[#This Row],[Precio]]/0.6,50)</f>
        <v>1150</v>
      </c>
      <c r="P127" t="s">
        <v>8693</v>
      </c>
      <c r="Q127">
        <v>4</v>
      </c>
      <c r="R127" s="3">
        <f>ARTICULOS_MONDELEZ[[#This Row],[Bulto]]+ARTICULOS_MONDELEZ[[#This Row],[Minimo]]</f>
        <v>16</v>
      </c>
      <c r="S127" t="s">
        <v>38</v>
      </c>
      <c r="T127" t="s">
        <v>27</v>
      </c>
      <c r="U127" t="s">
        <v>92</v>
      </c>
      <c r="V127" t="s">
        <v>9715</v>
      </c>
      <c r="W127" t="s">
        <v>8692</v>
      </c>
      <c r="X127">
        <v>1</v>
      </c>
      <c r="Y127" s="36">
        <v>0</v>
      </c>
      <c r="Z127"/>
      <c r="AB127" s="80">
        <f>ARTICULOS_MONDELEZ[[#This Row],[Costo]]*ARTICULOS_MONDELEZ[[#This Row],[Pedido]]</f>
        <v>0</v>
      </c>
      <c r="AH127" s="2" t="str">
        <f>IF(AND(ARTICULOS_MONDELEZ[[#This Row],[FechaVenc]]=0,ARTICULOS_MONDELEZ[[#This Row],[DiasVenc]]=0),"",ARTICULOS_MONDELEZ[[#This Row],[FechaVenc]]-ARTICULOS_MONDELEZ[[#This Row],[DiasVenc]])</f>
        <v/>
      </c>
      <c r="AO127" s="30" t="s">
        <v>8689</v>
      </c>
    </row>
    <row r="128" spans="1:41" ht="15.75" x14ac:dyDescent="0.25">
      <c r="A128" s="1" t="s">
        <v>9730</v>
      </c>
      <c r="C128" t="str">
        <f t="shared" si="13"/>
        <v>KIO77917324</v>
      </c>
      <c r="D128" t="s">
        <v>8689</v>
      </c>
      <c r="E128" s="1" t="s">
        <v>9731</v>
      </c>
      <c r="F128" s="61">
        <f t="shared" si="15"/>
        <v>4387.3</v>
      </c>
      <c r="G128" s="119">
        <v>0.21</v>
      </c>
      <c r="H128" s="4" t="s">
        <v>8690</v>
      </c>
      <c r="I128">
        <v>12</v>
      </c>
      <c r="J128">
        <v>12</v>
      </c>
      <c r="L128" s="66">
        <f>((ARTICULOS_MONDELEZ[[#This Row],[P. Compra]]*(1+ARTICULOS_MONDELEZ[[#This Row],[IVA]]))/ARTICULOS_MONDELEZ[[#This Row],[UnidFact]])+ARTICULOS_MONDELEZ[[#This Row],[CostoFlete]]</f>
        <v>442.38608333333332</v>
      </c>
      <c r="M128">
        <v>35</v>
      </c>
      <c r="N128" s="68">
        <f>IF(L128&gt;=5,MROUND((L128*(1+(ARTICULOS_MONDELEZ[[#This Row],[IVA]]/100)))/(1-M128/100),50),10)</f>
        <v>700</v>
      </c>
      <c r="O128" s="3">
        <f>MROUND(ARTICULOS_MONDELEZ[[#This Row],[Precio]]/0.6,50)</f>
        <v>1150</v>
      </c>
      <c r="P128" t="s">
        <v>8693</v>
      </c>
      <c r="Q128">
        <v>4</v>
      </c>
      <c r="R128" s="3">
        <f>ARTICULOS_MONDELEZ[[#This Row],[Bulto]]+ARTICULOS_MONDELEZ[[#This Row],[Minimo]]</f>
        <v>16</v>
      </c>
      <c r="S128" t="s">
        <v>38</v>
      </c>
      <c r="T128" t="s">
        <v>27</v>
      </c>
      <c r="U128" t="s">
        <v>92</v>
      </c>
      <c r="V128" t="s">
        <v>9715</v>
      </c>
      <c r="W128" t="s">
        <v>8692</v>
      </c>
      <c r="X128">
        <v>1</v>
      </c>
      <c r="Y128" s="79">
        <v>0</v>
      </c>
      <c r="Z128"/>
      <c r="AB128" s="80">
        <f>ARTICULOS_MONDELEZ[[#This Row],[Costo]]*ARTICULOS_MONDELEZ[[#This Row],[Pedido]]</f>
        <v>0</v>
      </c>
      <c r="AH128" s="2" t="str">
        <f>IF(AND(ARTICULOS_MONDELEZ[[#This Row],[FechaVenc]]=0,ARTICULOS_MONDELEZ[[#This Row],[DiasVenc]]=0),"",ARTICULOS_MONDELEZ[[#This Row],[FechaVenc]]-ARTICULOS_MONDELEZ[[#This Row],[DiasVenc]])</f>
        <v/>
      </c>
      <c r="AO128" s="30" t="s">
        <v>8689</v>
      </c>
    </row>
  </sheetData>
  <conditionalFormatting sqref="A1">
    <cfRule type="duplicateValues" dxfId="78" priority="7"/>
  </conditionalFormatting>
  <conditionalFormatting sqref="A2:C1048576">
    <cfRule type="duplicateValues" dxfId="77" priority="506"/>
    <cfRule type="duplicateValues" dxfId="76" priority="507"/>
  </conditionalFormatting>
  <conditionalFormatting sqref="A124:C124">
    <cfRule type="duplicateValues" dxfId="75" priority="1"/>
    <cfRule type="duplicateValues" dxfId="74" priority="2"/>
    <cfRule type="duplicateValues" dxfId="73" priority="3"/>
    <cfRule type="duplicateValues" dxfId="72" priority="4"/>
  </conditionalFormatting>
  <conditionalFormatting sqref="A125:C125">
    <cfRule type="duplicateValues" dxfId="71" priority="27"/>
    <cfRule type="duplicateValues" dxfId="70" priority="28"/>
  </conditionalFormatting>
  <conditionalFormatting sqref="A125:C127">
    <cfRule type="duplicateValues" dxfId="69" priority="30"/>
    <cfRule type="duplicateValues" dxfId="68" priority="31"/>
  </conditionalFormatting>
  <conditionalFormatting sqref="A126:C127">
    <cfRule type="duplicateValues" dxfId="67" priority="25"/>
    <cfRule type="duplicateValues" dxfId="66" priority="26"/>
  </conditionalFormatting>
  <conditionalFormatting sqref="A128:C128">
    <cfRule type="duplicateValues" dxfId="65" priority="19"/>
    <cfRule type="duplicateValues" dxfId="64" priority="20"/>
    <cfRule type="duplicateValues" dxfId="63" priority="22"/>
    <cfRule type="duplicateValues" dxfId="62" priority="23"/>
  </conditionalFormatting>
  <conditionalFormatting sqref="C1">
    <cfRule type="duplicateValues" dxfId="61" priority="6"/>
  </conditionalFormatting>
  <conditionalFormatting sqref="L1:L128">
    <cfRule type="cellIs" dxfId="60" priority="8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F464B2-7C60-4AA4-8E64-FDFE5D5DB06F}">
          <x14:formula1>
            <xm:f>LISTAS!$A:$A</xm:f>
          </x14:formula1>
          <xm:sqref>S1:S128</xm:sqref>
        </x14:dataValidation>
        <x14:dataValidation type="list" allowBlank="1" showInputMessage="1" showErrorMessage="1" xr:uid="{CBB8C421-76B7-4EA8-953D-DE863012A5FB}">
          <x14:formula1>
            <xm:f>LISTAS!$E:$E</xm:f>
          </x14:formula1>
          <xm:sqref>U1:U128</xm:sqref>
        </x14:dataValidation>
        <x14:dataValidation type="list" allowBlank="1" showInputMessage="1" showErrorMessage="1" xr:uid="{F938E346-B9F2-4E34-812A-C63AD7893915}">
          <x14:formula1>
            <xm:f>LISTAS!$C:$C</xm:f>
          </x14:formula1>
          <xm:sqref>T2:T128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84CB-EAA6-4E68-A141-6442B7E12A2D}">
  <dimension ref="A1:AQ315"/>
  <sheetViews>
    <sheetView workbookViewId="0">
      <pane xSplit="6" topLeftCell="G1" activePane="topRight" state="frozen"/>
      <selection activeCell="AD34" sqref="AD34"/>
      <selection pane="topRight" activeCell="A301" sqref="A301"/>
    </sheetView>
  </sheetViews>
  <sheetFormatPr baseColWidth="10" defaultColWidth="11.42578125" defaultRowHeight="15" x14ac:dyDescent="0.2"/>
  <cols>
    <col min="1" max="1" width="14" style="1" bestFit="1" customWidth="1"/>
    <col min="2" max="2" width="9.42578125" style="1" customWidth="1"/>
    <col min="3" max="3" width="4.28515625" style="1" customWidth="1"/>
    <col min="4" max="4" width="3.85546875" customWidth="1"/>
    <col min="5" max="5" width="52.28515625" style="1" customWidth="1"/>
    <col min="6" max="6" width="10.5703125" style="50" bestFit="1" customWidth="1"/>
    <col min="7" max="7" width="8.5703125" bestFit="1" customWidth="1"/>
    <col min="8" max="8" width="6.85546875" bestFit="1" customWidth="1"/>
    <col min="9" max="9" width="5.42578125" customWidth="1"/>
    <col min="10" max="10" width="7.28515625" style="58" customWidth="1"/>
    <col min="11" max="11" width="10.28515625" customWidth="1"/>
    <col min="12" max="12" width="11.28515625" style="50" bestFit="1" customWidth="1"/>
    <col min="13" max="13" width="12.42578125" customWidth="1"/>
    <col min="14" max="14" width="11.28515625" bestFit="1" customWidth="1"/>
    <col min="15" max="15" width="10.7109375" bestFit="1" customWidth="1"/>
    <col min="16" max="16" width="13.5703125" customWidth="1"/>
    <col min="17" max="17" width="9.42578125" style="5" bestFit="1" customWidth="1"/>
    <col min="18" max="18" width="9.7109375" style="3" bestFit="1" customWidth="1"/>
    <col min="19" max="19" width="9.28515625" style="4" bestFit="1" customWidth="1"/>
    <col min="20" max="20" width="10.28515625" style="3" bestFit="1" customWidth="1"/>
    <col min="21" max="21" width="10.7109375" style="3" bestFit="1" customWidth="1"/>
    <col min="22" max="22" width="16.5703125" bestFit="1" customWidth="1"/>
    <col min="23" max="23" width="8.85546875" style="43" bestFit="1" customWidth="1"/>
    <col min="24" max="24" width="12" bestFit="1" customWidth="1"/>
    <col min="25" max="25" width="11.28515625" style="3" bestFit="1" customWidth="1"/>
    <col min="28" max="28" width="13.7109375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ht="15.75" hidden="1" x14ac:dyDescent="0.25">
      <c r="A2" s="1" t="s">
        <v>9970</v>
      </c>
      <c r="B2">
        <v>1121701</v>
      </c>
      <c r="C2" t="str">
        <f t="shared" ref="C2:C65" si="0">CONCATENATE(LEFT(T2,3),RIGHT(A2,8))</f>
        <v>ALM35000335</v>
      </c>
      <c r="D2" t="s">
        <v>8689</v>
      </c>
      <c r="E2" s="24" t="s">
        <v>9971</v>
      </c>
      <c r="F2" s="61">
        <f>VLOOKUP(ARTICULOS_GOLOMAX[[#This Row],[CodigoProveedor]],'PRECIOS GOLOMAX'!$A$1:$C$10000,3,FALSE)</f>
        <v>603.28</v>
      </c>
      <c r="G2" s="3">
        <v>0</v>
      </c>
      <c r="H2" s="3">
        <v>0</v>
      </c>
      <c r="I2">
        <v>1</v>
      </c>
      <c r="J2">
        <v>1</v>
      </c>
      <c r="K2" s="4"/>
      <c r="L2" s="65">
        <f>((ARTICULOS_GOLOMAX[[#This Row],[P. Compra]]*(1+ARTICULOS_GOLOMAX[[#This Row],[IVA]]%))/ARTICULOS_GOLOMAX[[#This Row],[UnidFact]])+ARTICULOS_GOLOMAX[[#This Row],[CostoFlete]]</f>
        <v>603.28</v>
      </c>
      <c r="M2">
        <v>30</v>
      </c>
      <c r="N2" s="63">
        <f t="shared" ref="N2:N65" si="1">IF(L2&gt;=10,MROUND(L2/(1-M2/100),50),20)</f>
        <v>850</v>
      </c>
      <c r="O2" s="3">
        <f>MROUND((ARTICULOS_GOLOMAX[[#This Row],[Precio]]/0.6),50)</f>
        <v>1400</v>
      </c>
      <c r="P2" t="s">
        <v>8693</v>
      </c>
      <c r="Q2">
        <v>6</v>
      </c>
      <c r="R2" s="42">
        <v>12</v>
      </c>
      <c r="S2" t="s">
        <v>17</v>
      </c>
      <c r="T2" t="s">
        <v>4</v>
      </c>
      <c r="U2" t="s">
        <v>60</v>
      </c>
      <c r="V2" t="s">
        <v>9972</v>
      </c>
      <c r="W2" t="s">
        <v>8692</v>
      </c>
      <c r="X2">
        <v>1</v>
      </c>
      <c r="Y2">
        <v>28</v>
      </c>
      <c r="AB2" s="80">
        <f>ARTICULOS_OSLE[[#This Row],[Costo]]*ARTICULOS_OSLE[[#This Row],[Pedido]]</f>
        <v>0</v>
      </c>
      <c r="AF2" s="2"/>
      <c r="AH2" s="2" t="str">
        <f>IF(AND(ARTICULOS_OSLE[[#This Row],[FechaVenc]]=0,ARTICULOS_OSLE[[#This Row],[DiasVenc]]=0),"",ARTICULOS_OSLE[[#This Row],[FechaVenc]]-ARTICULOS_OSLE[[#This Row],[DiasVenc]])</f>
        <v/>
      </c>
      <c r="AO2" s="30" t="s">
        <v>8689</v>
      </c>
    </row>
    <row r="3" spans="1:43" ht="15.75" hidden="1" x14ac:dyDescent="0.25">
      <c r="A3" s="1" t="s">
        <v>9973</v>
      </c>
      <c r="B3">
        <v>1121702</v>
      </c>
      <c r="C3" t="str">
        <f t="shared" si="0"/>
        <v>ALM35000342</v>
      </c>
      <c r="D3" t="s">
        <v>8689</v>
      </c>
      <c r="E3" s="1" t="s">
        <v>9974</v>
      </c>
      <c r="F3" s="61">
        <f>VLOOKUP(ARTICULOS_GOLOMAX[[#This Row],[CodigoProveedor]],'PRECIOS GOLOMAX'!$A$1:$C$10000,3,FALSE)</f>
        <v>603.28</v>
      </c>
      <c r="G3" s="3">
        <v>0</v>
      </c>
      <c r="H3" s="3">
        <v>0</v>
      </c>
      <c r="I3">
        <v>1</v>
      </c>
      <c r="J3">
        <v>1</v>
      </c>
      <c r="K3" s="4"/>
      <c r="L3" s="65">
        <f>((ARTICULOS_GOLOMAX[[#This Row],[P. Compra]]*(1+ARTICULOS_GOLOMAX[[#This Row],[IVA]]%))/ARTICULOS_GOLOMAX[[#This Row],[UnidFact]])+ARTICULOS_GOLOMAX[[#This Row],[CostoFlete]]</f>
        <v>603.28</v>
      </c>
      <c r="M3">
        <v>30</v>
      </c>
      <c r="N3" s="63">
        <f t="shared" si="1"/>
        <v>850</v>
      </c>
      <c r="O3" s="3">
        <f>MROUND((ARTICULOS_GOLOMAX[[#This Row],[Precio]]/0.6),50)</f>
        <v>1400</v>
      </c>
      <c r="P3" t="s">
        <v>8693</v>
      </c>
      <c r="Q3">
        <v>6</v>
      </c>
      <c r="R3" s="42">
        <v>12</v>
      </c>
      <c r="S3" t="s">
        <v>17</v>
      </c>
      <c r="T3" t="s">
        <v>4</v>
      </c>
      <c r="U3" t="s">
        <v>60</v>
      </c>
      <c r="V3" t="s">
        <v>9972</v>
      </c>
      <c r="W3" t="s">
        <v>8692</v>
      </c>
      <c r="X3">
        <v>1</v>
      </c>
      <c r="Y3">
        <v>3</v>
      </c>
      <c r="AB3" s="80">
        <f>ARTICULOS_OSLE[[#This Row],[Costo]]*ARTICULOS_OSLE[[#This Row],[Pedido]]</f>
        <v>0</v>
      </c>
      <c r="AH3" s="2" t="str">
        <f>IF(AND(ARTICULOS_OSLE[[#This Row],[FechaVenc]]=0,ARTICULOS_OSLE[[#This Row],[DiasVenc]]=0),"",ARTICULOS_OSLE[[#This Row],[FechaVenc]]-ARTICULOS_OSLE[[#This Row],[DiasVenc]])</f>
        <v/>
      </c>
      <c r="AO3" s="30" t="s">
        <v>8689</v>
      </c>
    </row>
    <row r="4" spans="1:43" ht="15.75" hidden="1" x14ac:dyDescent="0.25">
      <c r="A4" s="1" t="s">
        <v>9975</v>
      </c>
      <c r="B4">
        <v>1121703</v>
      </c>
      <c r="C4" t="str">
        <f t="shared" si="0"/>
        <v>ALM35000328</v>
      </c>
      <c r="D4" t="s">
        <v>8689</v>
      </c>
      <c r="E4" s="1" t="s">
        <v>9976</v>
      </c>
      <c r="F4" s="61">
        <f>VLOOKUP(ARTICULOS_GOLOMAX[[#This Row],[CodigoProveedor]],'PRECIOS GOLOMAX'!$A$1:$C$10000,3,FALSE)</f>
        <v>603.28</v>
      </c>
      <c r="G4" s="3">
        <v>0</v>
      </c>
      <c r="H4" s="3">
        <v>0</v>
      </c>
      <c r="I4">
        <v>1</v>
      </c>
      <c r="J4">
        <v>1</v>
      </c>
      <c r="K4" s="4"/>
      <c r="L4" s="65">
        <f>((ARTICULOS_GOLOMAX[[#This Row],[P. Compra]]*(1+ARTICULOS_GOLOMAX[[#This Row],[IVA]]%))/ARTICULOS_GOLOMAX[[#This Row],[UnidFact]])+ARTICULOS_GOLOMAX[[#This Row],[CostoFlete]]</f>
        <v>603.28</v>
      </c>
      <c r="M4">
        <v>30</v>
      </c>
      <c r="N4" s="63">
        <f t="shared" si="1"/>
        <v>850</v>
      </c>
      <c r="O4" s="3">
        <f>MROUND((ARTICULOS_GOLOMAX[[#This Row],[Precio]]/0.6),50)</f>
        <v>1400</v>
      </c>
      <c r="P4" t="s">
        <v>8693</v>
      </c>
      <c r="Q4">
        <v>6</v>
      </c>
      <c r="R4" s="42">
        <v>12</v>
      </c>
      <c r="S4" t="s">
        <v>17</v>
      </c>
      <c r="T4" t="s">
        <v>4</v>
      </c>
      <c r="U4" t="s">
        <v>60</v>
      </c>
      <c r="V4" t="s">
        <v>9972</v>
      </c>
      <c r="W4" t="s">
        <v>8692</v>
      </c>
      <c r="X4">
        <v>1</v>
      </c>
      <c r="Y4">
        <v>20</v>
      </c>
      <c r="AB4" s="80">
        <f>ARTICULOS_OSLE[[#This Row],[Costo]]*ARTICULOS_OSLE[[#This Row],[Pedido]]</f>
        <v>0</v>
      </c>
      <c r="AH4" s="2" t="str">
        <f>IF(AND(ARTICULOS_OSLE[[#This Row],[FechaVenc]]=0,ARTICULOS_OSLE[[#This Row],[DiasVenc]]=0),"",ARTICULOS_OSLE[[#This Row],[FechaVenc]]-ARTICULOS_OSLE[[#This Row],[DiasVenc]])</f>
        <v/>
      </c>
      <c r="AO4" s="30" t="s">
        <v>8689</v>
      </c>
    </row>
    <row r="5" spans="1:43" ht="15.75" hidden="1" x14ac:dyDescent="0.25">
      <c r="A5" s="1" t="s">
        <v>9977</v>
      </c>
      <c r="B5">
        <v>1307200</v>
      </c>
      <c r="C5" t="str">
        <f t="shared" si="0"/>
        <v>ALM03198696</v>
      </c>
      <c r="D5" t="s">
        <v>8689</v>
      </c>
      <c r="E5" s="1" t="s">
        <v>9978</v>
      </c>
      <c r="F5" s="61">
        <f>VLOOKUP(ARTICULOS_GOLOMAX[[#This Row],[CodigoProveedor]],'PRECIOS GOLOMAX'!$A$1:$C$10000,3,FALSE)</f>
        <v>564.32000000000005</v>
      </c>
      <c r="G5" s="3">
        <v>0</v>
      </c>
      <c r="H5" s="3">
        <v>0</v>
      </c>
      <c r="I5">
        <v>1</v>
      </c>
      <c r="J5">
        <v>1</v>
      </c>
      <c r="K5" s="4"/>
      <c r="L5" s="65">
        <f>((ARTICULOS_GOLOMAX[[#This Row],[P. Compra]]*(1+ARTICULOS_GOLOMAX[[#This Row],[IVA]]%))/ARTICULOS_GOLOMAX[[#This Row],[UnidFact]])+ARTICULOS_GOLOMAX[[#This Row],[CostoFlete]]</f>
        <v>564.32000000000005</v>
      </c>
      <c r="M5">
        <v>30</v>
      </c>
      <c r="N5" s="63">
        <f t="shared" si="1"/>
        <v>800</v>
      </c>
      <c r="O5" s="3">
        <f>MROUND((ARTICULOS_GOLOMAX[[#This Row],[Precio]]/0.6),50)</f>
        <v>1350</v>
      </c>
      <c r="P5" t="s">
        <v>8693</v>
      </c>
      <c r="Q5">
        <v>1</v>
      </c>
      <c r="R5" s="42">
        <v>3</v>
      </c>
      <c r="S5" t="s">
        <v>17</v>
      </c>
      <c r="T5" t="s">
        <v>4</v>
      </c>
      <c r="U5" t="s">
        <v>60</v>
      </c>
      <c r="V5" t="s">
        <v>9979</v>
      </c>
      <c r="W5" t="s">
        <v>8692</v>
      </c>
      <c r="X5">
        <v>1</v>
      </c>
      <c r="Y5">
        <v>2</v>
      </c>
      <c r="AB5" s="80">
        <f>ARTICULOS_OSLE[[#This Row],[Costo]]*ARTICULOS_OSLE[[#This Row],[Pedido]]</f>
        <v>0</v>
      </c>
      <c r="AH5" s="2" t="str">
        <f>IF(AND(ARTICULOS_OSLE[[#This Row],[FechaVenc]]=0,ARTICULOS_OSLE[[#This Row],[DiasVenc]]=0),"",ARTICULOS_OSLE[[#This Row],[FechaVenc]]-ARTICULOS_OSLE[[#This Row],[DiasVenc]])</f>
        <v/>
      </c>
      <c r="AO5" s="30" t="s">
        <v>8689</v>
      </c>
    </row>
    <row r="6" spans="1:43" ht="15.75" hidden="1" x14ac:dyDescent="0.25">
      <c r="A6" s="1" t="s">
        <v>9980</v>
      </c>
      <c r="B6">
        <v>1307204</v>
      </c>
      <c r="C6" t="str">
        <f t="shared" si="0"/>
        <v>ALM03198689</v>
      </c>
      <c r="D6" t="s">
        <v>8689</v>
      </c>
      <c r="E6" s="1" t="s">
        <v>9981</v>
      </c>
      <c r="F6" s="61">
        <f>VLOOKUP(ARTICULOS_GOLOMAX[[#This Row],[CodigoProveedor]],'PRECIOS GOLOMAX'!$A$1:$C$10000,3,FALSE)</f>
        <v>564.32000000000005</v>
      </c>
      <c r="G6" s="3">
        <v>0</v>
      </c>
      <c r="H6" s="3">
        <v>0</v>
      </c>
      <c r="I6">
        <v>1</v>
      </c>
      <c r="J6">
        <v>1</v>
      </c>
      <c r="K6" s="4"/>
      <c r="L6" s="65">
        <f>((ARTICULOS_GOLOMAX[[#This Row],[P. Compra]]*(1+ARTICULOS_GOLOMAX[[#This Row],[IVA]]%))/ARTICULOS_GOLOMAX[[#This Row],[UnidFact]])+ARTICULOS_GOLOMAX[[#This Row],[CostoFlete]]</f>
        <v>564.32000000000005</v>
      </c>
      <c r="M6">
        <v>30</v>
      </c>
      <c r="N6" s="63">
        <f t="shared" si="1"/>
        <v>800</v>
      </c>
      <c r="O6" s="3">
        <f>MROUND((ARTICULOS_GOLOMAX[[#This Row],[Precio]]/0.6),50)</f>
        <v>1350</v>
      </c>
      <c r="P6" t="s">
        <v>8693</v>
      </c>
      <c r="Q6">
        <v>1</v>
      </c>
      <c r="R6" s="42">
        <v>3</v>
      </c>
      <c r="S6" t="s">
        <v>17</v>
      </c>
      <c r="T6" t="s">
        <v>4</v>
      </c>
      <c r="U6" t="s">
        <v>60</v>
      </c>
      <c r="V6" t="s">
        <v>9979</v>
      </c>
      <c r="W6" t="s">
        <v>8692</v>
      </c>
      <c r="X6">
        <v>1</v>
      </c>
      <c r="Y6">
        <v>0</v>
      </c>
      <c r="AB6" s="80">
        <f>ARTICULOS_OSLE[[#This Row],[Costo]]*ARTICULOS_OSLE[[#This Row],[Pedido]]</f>
        <v>13950</v>
      </c>
      <c r="AH6" s="2" t="str">
        <f>IF(AND(ARTICULOS_OSLE[[#This Row],[FechaVenc]]=0,ARTICULOS_OSLE[[#This Row],[DiasVenc]]=0),"",ARTICULOS_OSLE[[#This Row],[FechaVenc]]-ARTICULOS_OSLE[[#This Row],[DiasVenc]])</f>
        <v/>
      </c>
      <c r="AO6" s="30" t="s">
        <v>8689</v>
      </c>
    </row>
    <row r="7" spans="1:43" ht="15.75" hidden="1" x14ac:dyDescent="0.25">
      <c r="A7" s="1" t="s">
        <v>9982</v>
      </c>
      <c r="B7" s="30">
        <v>1280262</v>
      </c>
      <c r="C7" t="str">
        <f t="shared" si="0"/>
        <v>ALM24156797</v>
      </c>
      <c r="D7" t="s">
        <v>8689</v>
      </c>
      <c r="E7" s="1" t="s">
        <v>9983</v>
      </c>
      <c r="F7" s="61">
        <f>VLOOKUP(ARTICULOS_GOLOMAX[[#This Row],[CodigoProveedor]],'PRECIOS GOLOMAX'!$A$1:$C$10000,3,FALSE)</f>
        <v>521.26</v>
      </c>
      <c r="G7" s="3">
        <v>0</v>
      </c>
      <c r="H7" s="3">
        <v>0</v>
      </c>
      <c r="I7">
        <v>1</v>
      </c>
      <c r="J7">
        <v>1</v>
      </c>
      <c r="K7" s="4"/>
      <c r="L7" s="65">
        <f>((ARTICULOS_GOLOMAX[[#This Row],[P. Compra]]*(1+ARTICULOS_GOLOMAX[[#This Row],[IVA]]%))/ARTICULOS_GOLOMAX[[#This Row],[UnidFact]])+ARTICULOS_GOLOMAX[[#This Row],[CostoFlete]]</f>
        <v>521.26</v>
      </c>
      <c r="M7">
        <v>30</v>
      </c>
      <c r="N7" s="63">
        <f t="shared" si="1"/>
        <v>750</v>
      </c>
      <c r="O7" s="3">
        <f>MROUND((ARTICULOS_GOLOMAX[[#This Row],[Precio]]/0.6),50)</f>
        <v>1250</v>
      </c>
      <c r="P7" t="s">
        <v>8693</v>
      </c>
      <c r="Q7">
        <v>3</v>
      </c>
      <c r="R7" s="42">
        <v>6</v>
      </c>
      <c r="S7" t="s">
        <v>17</v>
      </c>
      <c r="T7" t="s">
        <v>4</v>
      </c>
      <c r="U7" t="s">
        <v>60</v>
      </c>
      <c r="V7" t="s">
        <v>9984</v>
      </c>
      <c r="W7" t="s">
        <v>8692</v>
      </c>
      <c r="X7">
        <v>1</v>
      </c>
      <c r="Y7">
        <v>4</v>
      </c>
      <c r="AB7" s="80">
        <f>ARTICULOS_OSLE[[#This Row],[Costo]]*ARTICULOS_OSLE[[#This Row],[Pedido]]</f>
        <v>18600</v>
      </c>
      <c r="AH7" s="2" t="str">
        <f>IF(AND(ARTICULOS_OSLE[[#This Row],[FechaVenc]]=0,ARTICULOS_OSLE[[#This Row],[DiasVenc]]=0),"",ARTICULOS_OSLE[[#This Row],[FechaVenc]]-ARTICULOS_OSLE[[#This Row],[DiasVenc]])</f>
        <v/>
      </c>
      <c r="AO7" s="30" t="s">
        <v>8689</v>
      </c>
    </row>
    <row r="8" spans="1:43" ht="15.75" hidden="1" x14ac:dyDescent="0.25">
      <c r="A8" s="1" t="s">
        <v>9985</v>
      </c>
      <c r="B8" s="30">
        <v>1281615</v>
      </c>
      <c r="C8" t="str">
        <f t="shared" si="0"/>
        <v>ALM28102714</v>
      </c>
      <c r="D8" t="s">
        <v>8689</v>
      </c>
      <c r="E8" s="1" t="s">
        <v>9986</v>
      </c>
      <c r="F8" s="61">
        <f>VLOOKUP(ARTICULOS_GOLOMAX[[#This Row],[CodigoProveedor]],'PRECIOS GOLOMAX'!$A$1:$C$10000,3,FALSE)</f>
        <v>403.8</v>
      </c>
      <c r="G8" s="3">
        <v>0</v>
      </c>
      <c r="H8" s="3">
        <v>0</v>
      </c>
      <c r="I8">
        <v>1</v>
      </c>
      <c r="J8">
        <v>1</v>
      </c>
      <c r="K8" s="4"/>
      <c r="L8" s="65">
        <f>((ARTICULOS_GOLOMAX[[#This Row],[P. Compra]]*(1+ARTICULOS_GOLOMAX[[#This Row],[IVA]]%))/ARTICULOS_GOLOMAX[[#This Row],[UnidFact]])+ARTICULOS_GOLOMAX[[#This Row],[CostoFlete]]</f>
        <v>403.8</v>
      </c>
      <c r="M8">
        <v>30</v>
      </c>
      <c r="N8" s="63">
        <f t="shared" si="1"/>
        <v>600</v>
      </c>
      <c r="O8" s="3">
        <f>MROUND((ARTICULOS_GOLOMAX[[#This Row],[Precio]]/0.6),50)</f>
        <v>1000</v>
      </c>
      <c r="P8" t="s">
        <v>8693</v>
      </c>
      <c r="Q8">
        <v>3</v>
      </c>
      <c r="R8" s="42">
        <v>6</v>
      </c>
      <c r="S8" t="s">
        <v>17</v>
      </c>
      <c r="T8" t="s">
        <v>4</v>
      </c>
      <c r="U8" t="s">
        <v>60</v>
      </c>
      <c r="V8" t="s">
        <v>9987</v>
      </c>
      <c r="W8" t="s">
        <v>8692</v>
      </c>
      <c r="X8">
        <v>1</v>
      </c>
      <c r="Y8">
        <v>0</v>
      </c>
      <c r="AB8" s="80">
        <f>ARTICULOS_OSLE[[#This Row],[Costo]]*ARTICULOS_OSLE[[#This Row],[Pedido]]</f>
        <v>0</v>
      </c>
      <c r="AH8" s="2" t="str">
        <f>IF(AND(ARTICULOS_OSLE[[#This Row],[FechaVenc]]=0,ARTICULOS_OSLE[[#This Row],[DiasVenc]]=0),"",ARTICULOS_OSLE[[#This Row],[FechaVenc]]-ARTICULOS_OSLE[[#This Row],[DiasVenc]])</f>
        <v/>
      </c>
      <c r="AO8" s="30" t="s">
        <v>8689</v>
      </c>
    </row>
    <row r="9" spans="1:43" ht="15.75" hidden="1" x14ac:dyDescent="0.25">
      <c r="A9" s="1" t="s">
        <v>9988</v>
      </c>
      <c r="B9" s="30">
        <v>1287112</v>
      </c>
      <c r="C9" t="str">
        <f t="shared" si="0"/>
        <v>ALM87000729</v>
      </c>
      <c r="D9" t="s">
        <v>8689</v>
      </c>
      <c r="E9" s="24" t="s">
        <v>11783</v>
      </c>
      <c r="F9" s="61">
        <f>VLOOKUP(ARTICULOS_GOLOMAX[[#This Row],[CodigoProveedor]],'PRECIOS GOLOMAX'!$A$1:$C$10000,3,FALSE)</f>
        <v>391.69</v>
      </c>
      <c r="G9" s="3">
        <v>0</v>
      </c>
      <c r="H9" s="3">
        <v>0</v>
      </c>
      <c r="I9">
        <v>1</v>
      </c>
      <c r="J9">
        <v>1</v>
      </c>
      <c r="K9" s="4"/>
      <c r="L9" s="65">
        <f>((ARTICULOS_GOLOMAX[[#This Row],[P. Compra]]*(1+ARTICULOS_GOLOMAX[[#This Row],[IVA]]%))/ARTICULOS_GOLOMAX[[#This Row],[UnidFact]])+ARTICULOS_GOLOMAX[[#This Row],[CostoFlete]]</f>
        <v>391.69</v>
      </c>
      <c r="M9">
        <v>30</v>
      </c>
      <c r="N9" s="63">
        <f t="shared" si="1"/>
        <v>550</v>
      </c>
      <c r="O9" s="3">
        <f>MROUND((ARTICULOS_GOLOMAX[[#This Row],[Precio]]/0.6),50)</f>
        <v>900</v>
      </c>
      <c r="P9" t="s">
        <v>8693</v>
      </c>
      <c r="Q9">
        <v>3</v>
      </c>
      <c r="R9" s="42">
        <v>6</v>
      </c>
      <c r="S9" t="s">
        <v>17</v>
      </c>
      <c r="T9" t="s">
        <v>4</v>
      </c>
      <c r="U9" t="s">
        <v>60</v>
      </c>
      <c r="V9" t="s">
        <v>9989</v>
      </c>
      <c r="W9" t="s">
        <v>8692</v>
      </c>
      <c r="X9">
        <v>1</v>
      </c>
      <c r="Y9">
        <v>4</v>
      </c>
      <c r="AB9" s="80">
        <f>ARTICULOS_OSLE[[#This Row],[Costo]]*ARTICULOS_OSLE[[#This Row],[Pedido]]</f>
        <v>0</v>
      </c>
      <c r="AH9" s="2" t="str">
        <f>IF(AND(ARTICULOS_OSLE[[#This Row],[FechaVenc]]=0,ARTICULOS_OSLE[[#This Row],[DiasVenc]]=0),"",ARTICULOS_OSLE[[#This Row],[FechaVenc]]-ARTICULOS_OSLE[[#This Row],[DiasVenc]])</f>
        <v/>
      </c>
      <c r="AO9" s="30" t="s">
        <v>8689</v>
      </c>
    </row>
    <row r="10" spans="1:43" ht="15.75" hidden="1" x14ac:dyDescent="0.25">
      <c r="A10" s="1" t="s">
        <v>9990</v>
      </c>
      <c r="B10" s="30">
        <v>1287314</v>
      </c>
      <c r="C10" t="str">
        <f t="shared" si="0"/>
        <v>ALM87000774</v>
      </c>
      <c r="D10" t="s">
        <v>8689</v>
      </c>
      <c r="E10" s="1" t="s">
        <v>9991</v>
      </c>
      <c r="F10" s="61">
        <f>VLOOKUP(ARTICULOS_GOLOMAX[[#This Row],[CodigoProveedor]],'PRECIOS GOLOMAX'!$A$1:$C$10000,3,FALSE)</f>
        <v>694.09</v>
      </c>
      <c r="G10" s="3">
        <v>0</v>
      </c>
      <c r="H10" s="3">
        <v>0</v>
      </c>
      <c r="I10">
        <v>1</v>
      </c>
      <c r="J10">
        <v>1</v>
      </c>
      <c r="K10" s="4"/>
      <c r="L10" s="65">
        <f>((ARTICULOS_GOLOMAX[[#This Row],[P. Compra]]*(1+ARTICULOS_GOLOMAX[[#This Row],[IVA]]%))/ARTICULOS_GOLOMAX[[#This Row],[UnidFact]])+ARTICULOS_GOLOMAX[[#This Row],[CostoFlete]]</f>
        <v>694.09</v>
      </c>
      <c r="M10">
        <v>30</v>
      </c>
      <c r="N10" s="63">
        <f t="shared" si="1"/>
        <v>1000</v>
      </c>
      <c r="O10" s="3">
        <f>MROUND((ARTICULOS_GOLOMAX[[#This Row],[Precio]]/0.6),50)</f>
        <v>1650</v>
      </c>
      <c r="P10" t="s">
        <v>8693</v>
      </c>
      <c r="Q10">
        <v>3</v>
      </c>
      <c r="R10" s="42">
        <v>6</v>
      </c>
      <c r="S10" t="s">
        <v>17</v>
      </c>
      <c r="T10" t="s">
        <v>4</v>
      </c>
      <c r="U10" t="s">
        <v>60</v>
      </c>
      <c r="V10" t="s">
        <v>9989</v>
      </c>
      <c r="W10" t="s">
        <v>8692</v>
      </c>
      <c r="X10">
        <v>1</v>
      </c>
      <c r="Y10">
        <v>2</v>
      </c>
      <c r="AB10" s="80">
        <f>ARTICULOS_OSLE[[#This Row],[Costo]]*ARTICULOS_OSLE[[#This Row],[Pedido]]</f>
        <v>0</v>
      </c>
      <c r="AH10" s="2" t="str">
        <f>IF(AND(ARTICULOS_OSLE[[#This Row],[FechaVenc]]=0,ARTICULOS_OSLE[[#This Row],[DiasVenc]]=0),"",ARTICULOS_OSLE[[#This Row],[FechaVenc]]-ARTICULOS_OSLE[[#This Row],[DiasVenc]])</f>
        <v/>
      </c>
      <c r="AO10" s="30" t="s">
        <v>8689</v>
      </c>
    </row>
    <row r="11" spans="1:43" ht="15.75" hidden="1" x14ac:dyDescent="0.25">
      <c r="A11" s="1" t="s">
        <v>9992</v>
      </c>
      <c r="B11" s="30">
        <v>1287312</v>
      </c>
      <c r="C11" t="str">
        <f t="shared" si="0"/>
        <v>ALM87000644</v>
      </c>
      <c r="D11" t="s">
        <v>8689</v>
      </c>
      <c r="E11" s="1" t="s">
        <v>9993</v>
      </c>
      <c r="F11" s="61">
        <f>VLOOKUP(ARTICULOS_GOLOMAX[[#This Row],[CodigoProveedor]],'PRECIOS GOLOMAX'!$A$1:$C$10000,3,FALSE)</f>
        <v>694.09</v>
      </c>
      <c r="G11" s="3">
        <v>0</v>
      </c>
      <c r="H11" s="3">
        <v>0</v>
      </c>
      <c r="I11">
        <v>1</v>
      </c>
      <c r="J11">
        <v>1</v>
      </c>
      <c r="K11" s="4"/>
      <c r="L11" s="65">
        <f>((ARTICULOS_GOLOMAX[[#This Row],[P. Compra]]*(1+ARTICULOS_GOLOMAX[[#This Row],[IVA]]%))/ARTICULOS_GOLOMAX[[#This Row],[UnidFact]])+ARTICULOS_GOLOMAX[[#This Row],[CostoFlete]]</f>
        <v>694.09</v>
      </c>
      <c r="M11">
        <v>30</v>
      </c>
      <c r="N11" s="63">
        <f t="shared" si="1"/>
        <v>1000</v>
      </c>
      <c r="O11" s="3">
        <f>MROUND((ARTICULOS_GOLOMAX[[#This Row],[Precio]]/0.6),50)</f>
        <v>1650</v>
      </c>
      <c r="P11" t="s">
        <v>8693</v>
      </c>
      <c r="Q11">
        <v>3</v>
      </c>
      <c r="R11" s="42">
        <v>6</v>
      </c>
      <c r="S11" t="s">
        <v>17</v>
      </c>
      <c r="T11" t="s">
        <v>4</v>
      </c>
      <c r="U11" t="s">
        <v>60</v>
      </c>
      <c r="V11" t="s">
        <v>9989</v>
      </c>
      <c r="W11" t="s">
        <v>8692</v>
      </c>
      <c r="X11">
        <v>1</v>
      </c>
      <c r="Y11">
        <v>0</v>
      </c>
      <c r="AB11" s="80">
        <f>ARTICULOS_OSLE[[#This Row],[Costo]]*ARTICULOS_OSLE[[#This Row],[Pedido]]</f>
        <v>0</v>
      </c>
      <c r="AH11" s="2" t="str">
        <f>IF(AND(ARTICULOS_OSLE[[#This Row],[FechaVenc]]=0,ARTICULOS_OSLE[[#This Row],[DiasVenc]]=0),"",ARTICULOS_OSLE[[#This Row],[FechaVenc]]-ARTICULOS_OSLE[[#This Row],[DiasVenc]])</f>
        <v/>
      </c>
      <c r="AO11" s="30" t="s">
        <v>8689</v>
      </c>
    </row>
    <row r="12" spans="1:43" ht="15.75" hidden="1" x14ac:dyDescent="0.25">
      <c r="A12" s="1" t="s">
        <v>9994</v>
      </c>
      <c r="B12" s="30">
        <v>1287398</v>
      </c>
      <c r="C12" t="str">
        <f t="shared" si="0"/>
        <v>ALM87100986</v>
      </c>
      <c r="D12" t="s">
        <v>8689</v>
      </c>
      <c r="E12" s="1" t="s">
        <v>9995</v>
      </c>
      <c r="F12" s="61">
        <f>VLOOKUP(ARTICULOS_GOLOMAX[[#This Row],[CodigoProveedor]],'PRECIOS GOLOMAX'!$A$1:$C$10000,3,FALSE)</f>
        <v>694.09</v>
      </c>
      <c r="G12" s="3">
        <v>0</v>
      </c>
      <c r="H12" s="3">
        <v>0</v>
      </c>
      <c r="I12">
        <v>1</v>
      </c>
      <c r="J12">
        <v>1</v>
      </c>
      <c r="K12" s="4"/>
      <c r="L12" s="65">
        <f>((ARTICULOS_GOLOMAX[[#This Row],[P. Compra]]*(1+ARTICULOS_GOLOMAX[[#This Row],[IVA]]%))/ARTICULOS_GOLOMAX[[#This Row],[UnidFact]])+ARTICULOS_GOLOMAX[[#This Row],[CostoFlete]]</f>
        <v>694.09</v>
      </c>
      <c r="M12">
        <v>30</v>
      </c>
      <c r="N12" s="63">
        <f t="shared" si="1"/>
        <v>1000</v>
      </c>
      <c r="O12" s="3">
        <f>MROUND((ARTICULOS_GOLOMAX[[#This Row],[Precio]]/0.6),50)</f>
        <v>1650</v>
      </c>
      <c r="P12" t="s">
        <v>8693</v>
      </c>
      <c r="Q12">
        <v>3</v>
      </c>
      <c r="R12" s="42">
        <v>6</v>
      </c>
      <c r="S12" t="s">
        <v>17</v>
      </c>
      <c r="T12" t="s">
        <v>4</v>
      </c>
      <c r="U12" t="s">
        <v>60</v>
      </c>
      <c r="V12" t="s">
        <v>9989</v>
      </c>
      <c r="W12" t="s">
        <v>8692</v>
      </c>
      <c r="X12">
        <v>1</v>
      </c>
      <c r="Y12">
        <v>4</v>
      </c>
      <c r="AB12" s="80">
        <f>ARTICULOS_OSLE[[#This Row],[Costo]]*ARTICULOS_OSLE[[#This Row],[Pedido]]</f>
        <v>0</v>
      </c>
      <c r="AH12" s="2" t="str">
        <f>IF(AND(ARTICULOS_OSLE[[#This Row],[FechaVenc]]=0,ARTICULOS_OSLE[[#This Row],[DiasVenc]]=0),"",ARTICULOS_OSLE[[#This Row],[FechaVenc]]-ARTICULOS_OSLE[[#This Row],[DiasVenc]])</f>
        <v/>
      </c>
      <c r="AO12" s="30" t="s">
        <v>8689</v>
      </c>
    </row>
    <row r="13" spans="1:43" ht="15.75" hidden="1" x14ac:dyDescent="0.25">
      <c r="A13" s="1" t="s">
        <v>9996</v>
      </c>
      <c r="B13" s="30">
        <v>1287310</v>
      </c>
      <c r="C13" t="str">
        <f t="shared" si="0"/>
        <v>ALM87100719</v>
      </c>
      <c r="D13" t="s">
        <v>8689</v>
      </c>
      <c r="E13" s="1" t="s">
        <v>9997</v>
      </c>
      <c r="F13" s="61">
        <f>VLOOKUP(ARTICULOS_GOLOMAX[[#This Row],[CodigoProveedor]],'PRECIOS GOLOMAX'!$A$1:$C$10000,3,FALSE)</f>
        <v>694.09</v>
      </c>
      <c r="G13" s="3">
        <v>0</v>
      </c>
      <c r="H13" s="3">
        <v>0</v>
      </c>
      <c r="I13">
        <v>1</v>
      </c>
      <c r="J13">
        <v>1</v>
      </c>
      <c r="K13" s="4"/>
      <c r="L13" s="65">
        <f>((ARTICULOS_GOLOMAX[[#This Row],[P. Compra]]*(1+ARTICULOS_GOLOMAX[[#This Row],[IVA]]%))/ARTICULOS_GOLOMAX[[#This Row],[UnidFact]])+ARTICULOS_GOLOMAX[[#This Row],[CostoFlete]]</f>
        <v>694.09</v>
      </c>
      <c r="M13">
        <v>30</v>
      </c>
      <c r="N13" s="63">
        <f t="shared" si="1"/>
        <v>1000</v>
      </c>
      <c r="O13" s="3">
        <f>MROUND((ARTICULOS_GOLOMAX[[#This Row],[Precio]]/0.6),50)</f>
        <v>1650</v>
      </c>
      <c r="P13" t="s">
        <v>8693</v>
      </c>
      <c r="Q13">
        <v>3</v>
      </c>
      <c r="R13" s="42">
        <v>6</v>
      </c>
      <c r="S13" t="s">
        <v>17</v>
      </c>
      <c r="T13" t="s">
        <v>4</v>
      </c>
      <c r="U13" t="s">
        <v>60</v>
      </c>
      <c r="V13" t="s">
        <v>9989</v>
      </c>
      <c r="W13" t="s">
        <v>8692</v>
      </c>
      <c r="X13">
        <v>1</v>
      </c>
      <c r="Y13">
        <v>0</v>
      </c>
      <c r="AB13" s="80">
        <f>ARTICULOS_OSLE[[#This Row],[Costo]]*ARTICULOS_OSLE[[#This Row],[Pedido]]</f>
        <v>27300</v>
      </c>
      <c r="AH13" s="2" t="str">
        <f>IF(AND(ARTICULOS_OSLE[[#This Row],[FechaVenc]]=0,ARTICULOS_OSLE[[#This Row],[DiasVenc]]=0),"",ARTICULOS_OSLE[[#This Row],[FechaVenc]]-ARTICULOS_OSLE[[#This Row],[DiasVenc]])</f>
        <v/>
      </c>
      <c r="AO13" s="30" t="s">
        <v>8689</v>
      </c>
    </row>
    <row r="14" spans="1:43" ht="15.75" hidden="1" x14ac:dyDescent="0.25">
      <c r="A14" s="1" t="s">
        <v>9998</v>
      </c>
      <c r="B14" s="30">
        <v>1287306</v>
      </c>
      <c r="C14" t="str">
        <f t="shared" si="0"/>
        <v>ALM87001153</v>
      </c>
      <c r="D14" t="s">
        <v>8689</v>
      </c>
      <c r="E14" s="1" t="s">
        <v>9999</v>
      </c>
      <c r="F14" s="61">
        <f>VLOOKUP(ARTICULOS_GOLOMAX[[#This Row],[CodigoProveedor]],'PRECIOS GOLOMAX'!$A$1:$C$10000,3,FALSE)</f>
        <v>935.95</v>
      </c>
      <c r="G14" s="3">
        <v>0</v>
      </c>
      <c r="H14" s="3">
        <v>0</v>
      </c>
      <c r="I14">
        <v>1</v>
      </c>
      <c r="J14">
        <v>1</v>
      </c>
      <c r="K14" s="4"/>
      <c r="L14" s="65">
        <f>((ARTICULOS_GOLOMAX[[#This Row],[P. Compra]]*(1+ARTICULOS_GOLOMAX[[#This Row],[IVA]]%))/ARTICULOS_GOLOMAX[[#This Row],[UnidFact]])+ARTICULOS_GOLOMAX[[#This Row],[CostoFlete]]</f>
        <v>935.95</v>
      </c>
      <c r="M14">
        <v>30</v>
      </c>
      <c r="N14" s="63">
        <f t="shared" si="1"/>
        <v>1350</v>
      </c>
      <c r="O14" s="3">
        <f>MROUND((ARTICULOS_GOLOMAX[[#This Row],[Precio]]/0.6),50)</f>
        <v>2250</v>
      </c>
      <c r="P14" t="s">
        <v>8693</v>
      </c>
      <c r="Q14">
        <v>3</v>
      </c>
      <c r="R14" s="42">
        <v>6</v>
      </c>
      <c r="S14" t="s">
        <v>17</v>
      </c>
      <c r="T14" t="s">
        <v>4</v>
      </c>
      <c r="U14" t="s">
        <v>60</v>
      </c>
      <c r="V14" t="s">
        <v>9989</v>
      </c>
      <c r="W14" t="s">
        <v>8692</v>
      </c>
      <c r="X14">
        <v>1</v>
      </c>
      <c r="Y14">
        <v>0</v>
      </c>
      <c r="AB14" s="80">
        <f>ARTICULOS_OSLE[[#This Row],[Costo]]*ARTICULOS_OSLE[[#This Row],[Pedido]]</f>
        <v>24000</v>
      </c>
      <c r="AH14" s="2" t="str">
        <f>IF(AND(ARTICULOS_OSLE[[#This Row],[FechaVenc]]=0,ARTICULOS_OSLE[[#This Row],[DiasVenc]]=0),"",ARTICULOS_OSLE[[#This Row],[FechaVenc]]-ARTICULOS_OSLE[[#This Row],[DiasVenc]])</f>
        <v/>
      </c>
      <c r="AO14" s="30" t="s">
        <v>8689</v>
      </c>
    </row>
    <row r="15" spans="1:43" ht="15.75" hidden="1" x14ac:dyDescent="0.25">
      <c r="A15" s="1" t="s">
        <v>10000</v>
      </c>
      <c r="B15" s="30">
        <v>1287132</v>
      </c>
      <c r="C15" t="str">
        <f t="shared" si="0"/>
        <v>ALM87100979</v>
      </c>
      <c r="D15" t="s">
        <v>8689</v>
      </c>
      <c r="E15" s="1" t="s">
        <v>10001</v>
      </c>
      <c r="F15" s="61">
        <f>VLOOKUP(ARTICULOS_GOLOMAX[[#This Row],[CodigoProveedor]],'PRECIOS GOLOMAX'!$A$1:$C$10000,3,FALSE)</f>
        <v>684.04</v>
      </c>
      <c r="G15" s="3">
        <v>0</v>
      </c>
      <c r="H15" s="3">
        <v>0</v>
      </c>
      <c r="I15">
        <v>1</v>
      </c>
      <c r="J15">
        <v>1</v>
      </c>
      <c r="K15" s="4"/>
      <c r="L15" s="65">
        <f>((ARTICULOS_GOLOMAX[[#This Row],[P. Compra]]*(1+ARTICULOS_GOLOMAX[[#This Row],[IVA]]%))/ARTICULOS_GOLOMAX[[#This Row],[UnidFact]])+ARTICULOS_GOLOMAX[[#This Row],[CostoFlete]]</f>
        <v>684.04</v>
      </c>
      <c r="M15">
        <v>30</v>
      </c>
      <c r="N15" s="63">
        <f t="shared" si="1"/>
        <v>1000</v>
      </c>
      <c r="O15" s="3">
        <f>MROUND((ARTICULOS_GOLOMAX[[#This Row],[Precio]]/0.6),50)</f>
        <v>1650</v>
      </c>
      <c r="P15" t="s">
        <v>8693</v>
      </c>
      <c r="Q15">
        <v>3</v>
      </c>
      <c r="R15" s="42">
        <v>6</v>
      </c>
      <c r="S15" t="s">
        <v>17</v>
      </c>
      <c r="T15" t="s">
        <v>4</v>
      </c>
      <c r="U15" t="s">
        <v>60</v>
      </c>
      <c r="V15" t="s">
        <v>9989</v>
      </c>
      <c r="W15" t="s">
        <v>8692</v>
      </c>
      <c r="X15">
        <v>1</v>
      </c>
      <c r="Y15">
        <v>2</v>
      </c>
      <c r="AB15" s="80">
        <f>ARTICULOS_OSLE[[#This Row],[Costo]]*ARTICULOS_OSLE[[#This Row],[Pedido]]</f>
        <v>16200</v>
      </c>
      <c r="AH15" s="2" t="str">
        <f>IF(AND(ARTICULOS_OSLE[[#This Row],[FechaVenc]]=0,ARTICULOS_OSLE[[#This Row],[DiasVenc]]=0),"",ARTICULOS_OSLE[[#This Row],[FechaVenc]]-ARTICULOS_OSLE[[#This Row],[DiasVenc]])</f>
        <v/>
      </c>
      <c r="AO15" s="30" t="s">
        <v>8689</v>
      </c>
    </row>
    <row r="16" spans="1:43" ht="15.75" hidden="1" x14ac:dyDescent="0.25">
      <c r="A16" s="1" t="s">
        <v>10002</v>
      </c>
      <c r="B16" s="30">
        <v>1287131</v>
      </c>
      <c r="C16" t="str">
        <f t="shared" si="0"/>
        <v>ALM87100900</v>
      </c>
      <c r="D16" t="s">
        <v>8689</v>
      </c>
      <c r="E16" s="1" t="s">
        <v>10003</v>
      </c>
      <c r="F16" s="61">
        <f>VLOOKUP(ARTICULOS_GOLOMAX[[#This Row],[CodigoProveedor]],'PRECIOS GOLOMAX'!$A$1:$C$10000,3,FALSE)</f>
        <v>694.09</v>
      </c>
      <c r="G16" s="3">
        <v>0</v>
      </c>
      <c r="H16" s="3">
        <v>0</v>
      </c>
      <c r="I16">
        <v>1</v>
      </c>
      <c r="J16">
        <v>1</v>
      </c>
      <c r="K16" s="4"/>
      <c r="L16" s="65">
        <f>((ARTICULOS_GOLOMAX[[#This Row],[P. Compra]]*(1+ARTICULOS_GOLOMAX[[#This Row],[IVA]]%))/ARTICULOS_GOLOMAX[[#This Row],[UnidFact]])+ARTICULOS_GOLOMAX[[#This Row],[CostoFlete]]</f>
        <v>694.09</v>
      </c>
      <c r="M16">
        <v>30</v>
      </c>
      <c r="N16" s="63">
        <f t="shared" si="1"/>
        <v>1000</v>
      </c>
      <c r="O16" s="3">
        <f>MROUND((ARTICULOS_GOLOMAX[[#This Row],[Precio]]/0.6),50)</f>
        <v>1650</v>
      </c>
      <c r="P16" t="s">
        <v>8693</v>
      </c>
      <c r="Q16">
        <v>3</v>
      </c>
      <c r="R16" s="42">
        <v>6</v>
      </c>
      <c r="S16" t="s">
        <v>17</v>
      </c>
      <c r="T16" t="s">
        <v>4</v>
      </c>
      <c r="U16" t="s">
        <v>60</v>
      </c>
      <c r="V16" t="s">
        <v>9989</v>
      </c>
      <c r="W16" t="s">
        <v>8692</v>
      </c>
      <c r="X16">
        <v>1</v>
      </c>
      <c r="Y16">
        <v>0</v>
      </c>
      <c r="AB16" s="80">
        <f>ARTICULOS_OSLE[[#This Row],[Costo]]*ARTICULOS_OSLE[[#This Row],[Pedido]]</f>
        <v>27900</v>
      </c>
      <c r="AH16" s="2" t="str">
        <f>IF(AND(ARTICULOS_OSLE[[#This Row],[FechaVenc]]=0,ARTICULOS_OSLE[[#This Row],[DiasVenc]]=0),"",ARTICULOS_OSLE[[#This Row],[FechaVenc]]-ARTICULOS_OSLE[[#This Row],[DiasVenc]])</f>
        <v/>
      </c>
      <c r="AO16" s="30" t="s">
        <v>8689</v>
      </c>
    </row>
    <row r="17" spans="1:41" ht="15.75" hidden="1" x14ac:dyDescent="0.25">
      <c r="A17" s="1" t="s">
        <v>10004</v>
      </c>
      <c r="B17" s="30">
        <v>1287316</v>
      </c>
      <c r="C17" t="str">
        <f t="shared" si="0"/>
        <v>ALM87100696</v>
      </c>
      <c r="D17" t="s">
        <v>8689</v>
      </c>
      <c r="E17" s="1" t="s">
        <v>10005</v>
      </c>
      <c r="F17" s="61">
        <f>VLOOKUP(ARTICULOS_GOLOMAX[[#This Row],[CodigoProveedor]],'PRECIOS GOLOMAX'!$A$1:$C$10000,3,FALSE)</f>
        <v>694.09</v>
      </c>
      <c r="G17" s="3">
        <v>0</v>
      </c>
      <c r="H17" s="3">
        <v>0</v>
      </c>
      <c r="I17">
        <v>1</v>
      </c>
      <c r="J17">
        <v>1</v>
      </c>
      <c r="K17" s="4"/>
      <c r="L17" s="65">
        <f>((ARTICULOS_GOLOMAX[[#This Row],[P. Compra]]*(1+ARTICULOS_GOLOMAX[[#This Row],[IVA]]%))/ARTICULOS_GOLOMAX[[#This Row],[UnidFact]])+ARTICULOS_GOLOMAX[[#This Row],[CostoFlete]]</f>
        <v>694.09</v>
      </c>
      <c r="M17">
        <v>30</v>
      </c>
      <c r="N17" s="63">
        <f t="shared" si="1"/>
        <v>1000</v>
      </c>
      <c r="O17" s="3">
        <f>MROUND((ARTICULOS_GOLOMAX[[#This Row],[Precio]]/0.6),50)</f>
        <v>1650</v>
      </c>
      <c r="P17" t="s">
        <v>8693</v>
      </c>
      <c r="Q17">
        <v>3</v>
      </c>
      <c r="R17" s="42">
        <v>6</v>
      </c>
      <c r="S17" t="s">
        <v>17</v>
      </c>
      <c r="T17" t="s">
        <v>4</v>
      </c>
      <c r="U17" t="s">
        <v>60</v>
      </c>
      <c r="V17" t="s">
        <v>9989</v>
      </c>
      <c r="W17" t="s">
        <v>8692</v>
      </c>
      <c r="X17">
        <v>1</v>
      </c>
      <c r="Y17">
        <v>0</v>
      </c>
      <c r="AB17" s="80">
        <f>ARTICULOS_OSLE[[#This Row],[Costo]]*ARTICULOS_OSLE[[#This Row],[Pedido]]</f>
        <v>16700</v>
      </c>
      <c r="AH17" s="2" t="str">
        <f>IF(AND(ARTICULOS_OSLE[[#This Row],[FechaVenc]]=0,ARTICULOS_OSLE[[#This Row],[DiasVenc]]=0),"",ARTICULOS_OSLE[[#This Row],[FechaVenc]]-ARTICULOS_OSLE[[#This Row],[DiasVenc]])</f>
        <v/>
      </c>
      <c r="AO17" s="30" t="s">
        <v>8689</v>
      </c>
    </row>
    <row r="18" spans="1:41" ht="15.75" hidden="1" x14ac:dyDescent="0.25">
      <c r="A18" s="1" t="s">
        <v>10006</v>
      </c>
      <c r="B18" s="30">
        <v>1287332</v>
      </c>
      <c r="C18" t="str">
        <f t="shared" si="0"/>
        <v>ALM87100924</v>
      </c>
      <c r="D18" t="s">
        <v>8689</v>
      </c>
      <c r="E18" s="1" t="s">
        <v>10007</v>
      </c>
      <c r="F18" s="61">
        <f>VLOOKUP(ARTICULOS_GOLOMAX[[#This Row],[CodigoProveedor]],'PRECIOS GOLOMAX'!$A$1:$C$10000,3,FALSE)</f>
        <v>658.7</v>
      </c>
      <c r="G18" s="3">
        <v>0</v>
      </c>
      <c r="H18" s="3">
        <v>0</v>
      </c>
      <c r="I18">
        <v>1</v>
      </c>
      <c r="J18">
        <v>1</v>
      </c>
      <c r="K18" s="4"/>
      <c r="L18" s="65">
        <f>((ARTICULOS_GOLOMAX[[#This Row],[P. Compra]]*(1+ARTICULOS_GOLOMAX[[#This Row],[IVA]]%))/ARTICULOS_GOLOMAX[[#This Row],[UnidFact]])+ARTICULOS_GOLOMAX[[#This Row],[CostoFlete]]</f>
        <v>658.7</v>
      </c>
      <c r="M18">
        <v>30</v>
      </c>
      <c r="N18" s="63">
        <f t="shared" si="1"/>
        <v>950</v>
      </c>
      <c r="O18" s="3">
        <f>MROUND((ARTICULOS_GOLOMAX[[#This Row],[Precio]]/0.6),50)</f>
        <v>1600</v>
      </c>
      <c r="P18" t="s">
        <v>8693</v>
      </c>
      <c r="Q18">
        <v>3</v>
      </c>
      <c r="R18" s="42">
        <v>6</v>
      </c>
      <c r="S18" t="s">
        <v>17</v>
      </c>
      <c r="T18" t="s">
        <v>4</v>
      </c>
      <c r="U18" t="s">
        <v>60</v>
      </c>
      <c r="V18" t="s">
        <v>9989</v>
      </c>
      <c r="W18" t="s">
        <v>8692</v>
      </c>
      <c r="X18">
        <v>1</v>
      </c>
      <c r="Y18">
        <v>0</v>
      </c>
      <c r="AB18" s="80">
        <f>ARTICULOS_OSLE[[#This Row],[Costo]]*ARTICULOS_OSLE[[#This Row],[Pedido]]</f>
        <v>11350</v>
      </c>
      <c r="AH18" s="2" t="str">
        <f>IF(AND(ARTICULOS_OSLE[[#This Row],[FechaVenc]]=0,ARTICULOS_OSLE[[#This Row],[DiasVenc]]=0),"",ARTICULOS_OSLE[[#This Row],[FechaVenc]]-ARTICULOS_OSLE[[#This Row],[DiasVenc]])</f>
        <v/>
      </c>
      <c r="AO18" s="30" t="s">
        <v>8689</v>
      </c>
    </row>
    <row r="19" spans="1:41" ht="15.75" hidden="1" x14ac:dyDescent="0.25">
      <c r="A19" s="1" t="s">
        <v>12226</v>
      </c>
      <c r="B19" s="30">
        <v>1287301</v>
      </c>
      <c r="C19" t="str">
        <f t="shared" si="0"/>
        <v>ALM87101075</v>
      </c>
      <c r="D19" t="s">
        <v>8689</v>
      </c>
      <c r="E19" s="24" t="s">
        <v>10008</v>
      </c>
      <c r="F19" s="61">
        <f>VLOOKUP(ARTICULOS_GOLOMAX[[#This Row],[CodigoProveedor]],'PRECIOS GOLOMAX'!$A$1:$C$10000,3,FALSE)</f>
        <v>694.09</v>
      </c>
      <c r="G19" s="3">
        <v>0</v>
      </c>
      <c r="H19" s="3">
        <v>0</v>
      </c>
      <c r="I19">
        <v>1</v>
      </c>
      <c r="J19">
        <v>1</v>
      </c>
      <c r="K19" s="4"/>
      <c r="L19" s="65">
        <f>((ARTICULOS_GOLOMAX[[#This Row],[P. Compra]]*(1+ARTICULOS_GOLOMAX[[#This Row],[IVA]]%))/ARTICULOS_GOLOMAX[[#This Row],[UnidFact]])+ARTICULOS_GOLOMAX[[#This Row],[CostoFlete]]</f>
        <v>694.09</v>
      </c>
      <c r="M19">
        <v>30</v>
      </c>
      <c r="N19" s="63">
        <f t="shared" si="1"/>
        <v>1000</v>
      </c>
      <c r="O19" s="3">
        <f>MROUND((ARTICULOS_GOLOMAX[[#This Row],[Precio]]/0.6),50)</f>
        <v>1650</v>
      </c>
      <c r="P19" t="s">
        <v>8693</v>
      </c>
      <c r="Q19">
        <v>3</v>
      </c>
      <c r="R19" s="42">
        <v>6</v>
      </c>
      <c r="S19" t="s">
        <v>17</v>
      </c>
      <c r="T19" t="s">
        <v>4</v>
      </c>
      <c r="U19" t="s">
        <v>60</v>
      </c>
      <c r="V19" t="s">
        <v>9989</v>
      </c>
      <c r="W19" t="s">
        <v>8692</v>
      </c>
      <c r="X19">
        <v>1</v>
      </c>
      <c r="Y19">
        <v>2</v>
      </c>
      <c r="AB19" s="80">
        <f>ARTICULOS_OSLE[[#This Row],[Costo]]*ARTICULOS_OSLE[[#This Row],[Pedido]]</f>
        <v>0</v>
      </c>
      <c r="AH19" s="2" t="str">
        <f>IF(AND(ARTICULOS_OSLE[[#This Row],[FechaVenc]]=0,ARTICULOS_OSLE[[#This Row],[DiasVenc]]=0),"",ARTICULOS_OSLE[[#This Row],[FechaVenc]]-ARTICULOS_OSLE[[#This Row],[DiasVenc]])</f>
        <v/>
      </c>
      <c r="AO19" s="30" t="s">
        <v>8689</v>
      </c>
    </row>
    <row r="20" spans="1:41" ht="15.75" hidden="1" x14ac:dyDescent="0.25">
      <c r="A20" s="1" t="s">
        <v>10009</v>
      </c>
      <c r="B20" s="30">
        <v>1287320</v>
      </c>
      <c r="C20" t="str">
        <f t="shared" si="0"/>
        <v>ALM87000651</v>
      </c>
      <c r="D20" t="s">
        <v>8689</v>
      </c>
      <c r="E20" s="1" t="s">
        <v>10010</v>
      </c>
      <c r="F20" s="61">
        <f>VLOOKUP(ARTICULOS_GOLOMAX[[#This Row],[CodigoProveedor]],'PRECIOS GOLOMAX'!$A$1:$C$10000,3,FALSE)</f>
        <v>694.09</v>
      </c>
      <c r="G20" s="3">
        <v>0</v>
      </c>
      <c r="H20" s="3">
        <v>0</v>
      </c>
      <c r="I20">
        <v>1</v>
      </c>
      <c r="J20">
        <v>1</v>
      </c>
      <c r="K20" s="4"/>
      <c r="L20" s="65">
        <f>((ARTICULOS_GOLOMAX[[#This Row],[P. Compra]]*(1+ARTICULOS_GOLOMAX[[#This Row],[IVA]]%))/ARTICULOS_GOLOMAX[[#This Row],[UnidFact]])+ARTICULOS_GOLOMAX[[#This Row],[CostoFlete]]</f>
        <v>694.09</v>
      </c>
      <c r="M20">
        <v>30</v>
      </c>
      <c r="N20" s="63">
        <f t="shared" si="1"/>
        <v>1000</v>
      </c>
      <c r="O20" s="3">
        <f>MROUND((ARTICULOS_GOLOMAX[[#This Row],[Precio]]/0.6),50)</f>
        <v>1650</v>
      </c>
      <c r="P20" t="s">
        <v>8693</v>
      </c>
      <c r="Q20">
        <v>3</v>
      </c>
      <c r="R20" s="42">
        <v>6</v>
      </c>
      <c r="S20" t="s">
        <v>17</v>
      </c>
      <c r="T20" t="s">
        <v>4</v>
      </c>
      <c r="U20" t="s">
        <v>60</v>
      </c>
      <c r="V20" t="s">
        <v>9989</v>
      </c>
      <c r="W20" t="s">
        <v>8692</v>
      </c>
      <c r="X20">
        <v>1</v>
      </c>
      <c r="Y20">
        <v>2</v>
      </c>
      <c r="AB20" s="80">
        <f>ARTICULOS_OSLE[[#This Row],[Costo]]*ARTICULOS_OSLE[[#This Row],[Pedido]]</f>
        <v>0</v>
      </c>
      <c r="AH20" s="2" t="str">
        <f>IF(AND(ARTICULOS_OSLE[[#This Row],[FechaVenc]]=0,ARTICULOS_OSLE[[#This Row],[DiasVenc]]=0),"",ARTICULOS_OSLE[[#This Row],[FechaVenc]]-ARTICULOS_OSLE[[#This Row],[DiasVenc]])</f>
        <v/>
      </c>
      <c r="AO20" s="30" t="s">
        <v>8689</v>
      </c>
    </row>
    <row r="21" spans="1:41" ht="15.75" hidden="1" x14ac:dyDescent="0.25">
      <c r="A21" s="1" t="s">
        <v>10011</v>
      </c>
      <c r="B21" s="30">
        <v>1287462</v>
      </c>
      <c r="C21" t="str">
        <f t="shared" si="0"/>
        <v>ALM87100788</v>
      </c>
      <c r="D21" t="s">
        <v>8689</v>
      </c>
      <c r="E21" s="1" t="s">
        <v>10012</v>
      </c>
      <c r="F21" s="61">
        <f>VLOOKUP(ARTICULOS_GOLOMAX[[#This Row],[CodigoProveedor]],'PRECIOS GOLOMAX'!$A$1:$C$10000,3,FALSE)</f>
        <v>992.56</v>
      </c>
      <c r="G21" s="3">
        <v>0</v>
      </c>
      <c r="H21" s="3">
        <v>0</v>
      </c>
      <c r="I21">
        <v>1</v>
      </c>
      <c r="J21">
        <v>1</v>
      </c>
      <c r="K21" s="4"/>
      <c r="L21" s="65">
        <f>((ARTICULOS_GOLOMAX[[#This Row],[P. Compra]]*(1+ARTICULOS_GOLOMAX[[#This Row],[IVA]]%))/ARTICULOS_GOLOMAX[[#This Row],[UnidFact]])+ARTICULOS_GOLOMAX[[#This Row],[CostoFlete]]</f>
        <v>992.56</v>
      </c>
      <c r="M21">
        <v>30</v>
      </c>
      <c r="N21" s="63">
        <f t="shared" si="1"/>
        <v>1400</v>
      </c>
      <c r="O21" s="3">
        <f>MROUND((ARTICULOS_GOLOMAX[[#This Row],[Precio]]/0.6),50)</f>
        <v>2350</v>
      </c>
      <c r="P21" t="s">
        <v>8693</v>
      </c>
      <c r="Q21">
        <v>3</v>
      </c>
      <c r="R21" s="42">
        <v>6</v>
      </c>
      <c r="S21" t="s">
        <v>17</v>
      </c>
      <c r="T21" t="s">
        <v>4</v>
      </c>
      <c r="U21" t="s">
        <v>60</v>
      </c>
      <c r="V21" t="s">
        <v>9989</v>
      </c>
      <c r="W21" t="s">
        <v>8692</v>
      </c>
      <c r="X21">
        <v>1</v>
      </c>
      <c r="Y21">
        <v>0</v>
      </c>
      <c r="AB21" s="80">
        <f>ARTICULOS_OSLE[[#This Row],[Costo]]*ARTICULOS_OSLE[[#This Row],[Pedido]]</f>
        <v>11500</v>
      </c>
      <c r="AH21" s="2" t="str">
        <f>IF(AND(ARTICULOS_OSLE[[#This Row],[FechaVenc]]=0,ARTICULOS_OSLE[[#This Row],[DiasVenc]]=0),"",ARTICULOS_OSLE[[#This Row],[FechaVenc]]-ARTICULOS_OSLE[[#This Row],[DiasVenc]])</f>
        <v/>
      </c>
      <c r="AO21" s="30" t="s">
        <v>8689</v>
      </c>
    </row>
    <row r="22" spans="1:41" ht="15.75" hidden="1" x14ac:dyDescent="0.25">
      <c r="A22" s="1" t="s">
        <v>10013</v>
      </c>
      <c r="B22" s="30">
        <v>1300701</v>
      </c>
      <c r="C22" t="str">
        <f t="shared" si="0"/>
        <v>ALM80007315</v>
      </c>
      <c r="D22" t="s">
        <v>8689</v>
      </c>
      <c r="E22" s="1" t="s">
        <v>10014</v>
      </c>
      <c r="F22" s="61">
        <f>VLOOKUP(ARTICULOS_GOLOMAX[[#This Row],[CodigoProveedor]],'PRECIOS GOLOMAX'!$A$1:$C$10000,3,FALSE)</f>
        <v>765.6</v>
      </c>
      <c r="G22" s="3">
        <v>0</v>
      </c>
      <c r="H22" s="3">
        <v>0</v>
      </c>
      <c r="I22">
        <v>1</v>
      </c>
      <c r="J22">
        <v>1</v>
      </c>
      <c r="K22" s="4"/>
      <c r="L22" s="65">
        <f>((ARTICULOS_GOLOMAX[[#This Row],[P. Compra]]*(1+ARTICULOS_GOLOMAX[[#This Row],[IVA]]%))/ARTICULOS_GOLOMAX[[#This Row],[UnidFact]])+ARTICULOS_GOLOMAX[[#This Row],[CostoFlete]]</f>
        <v>765.6</v>
      </c>
      <c r="M22">
        <v>30</v>
      </c>
      <c r="N22" s="63">
        <f t="shared" si="1"/>
        <v>1100</v>
      </c>
      <c r="O22" s="3">
        <f>MROUND((ARTICULOS_GOLOMAX[[#This Row],[Precio]]/0.6),50)</f>
        <v>1850</v>
      </c>
      <c r="P22" t="s">
        <v>8693</v>
      </c>
      <c r="Q22">
        <v>3</v>
      </c>
      <c r="R22" s="42">
        <v>6</v>
      </c>
      <c r="S22" t="s">
        <v>17</v>
      </c>
      <c r="T22" t="s">
        <v>4</v>
      </c>
      <c r="U22" t="s">
        <v>60</v>
      </c>
      <c r="V22" t="s">
        <v>10015</v>
      </c>
      <c r="W22" t="s">
        <v>8692</v>
      </c>
      <c r="X22">
        <v>1</v>
      </c>
      <c r="Y22">
        <v>0</v>
      </c>
      <c r="AB22" s="80">
        <f>ARTICULOS_OSLE[[#This Row],[Costo]]*ARTICULOS_OSLE[[#This Row],[Pedido]]</f>
        <v>16500</v>
      </c>
      <c r="AH22" s="2" t="str">
        <f>IF(AND(ARTICULOS_OSLE[[#This Row],[FechaVenc]]=0,ARTICULOS_OSLE[[#This Row],[DiasVenc]]=0),"",ARTICULOS_OSLE[[#This Row],[FechaVenc]]-ARTICULOS_OSLE[[#This Row],[DiasVenc]])</f>
        <v/>
      </c>
      <c r="AO22" s="30" t="s">
        <v>8689</v>
      </c>
    </row>
    <row r="23" spans="1:41" ht="15.75" hidden="1" x14ac:dyDescent="0.25">
      <c r="A23" s="1" t="s">
        <v>10016</v>
      </c>
      <c r="B23" s="30">
        <v>1300704</v>
      </c>
      <c r="C23" t="str">
        <f t="shared" si="0"/>
        <v>ALM80006448</v>
      </c>
      <c r="D23" t="s">
        <v>8689</v>
      </c>
      <c r="E23" s="1" t="s">
        <v>10017</v>
      </c>
      <c r="F23" s="61">
        <f>VLOOKUP(ARTICULOS_GOLOMAX[[#This Row],[CodigoProveedor]],'PRECIOS GOLOMAX'!$A$1:$C$10000,3,FALSE)</f>
        <v>634.02</v>
      </c>
      <c r="G23" s="3">
        <v>0</v>
      </c>
      <c r="H23" s="3">
        <v>0</v>
      </c>
      <c r="I23">
        <v>1</v>
      </c>
      <c r="J23">
        <v>1</v>
      </c>
      <c r="K23" s="4"/>
      <c r="L23" s="65">
        <f>((ARTICULOS_GOLOMAX[[#This Row],[P. Compra]]*(1+ARTICULOS_GOLOMAX[[#This Row],[IVA]]%))/ARTICULOS_GOLOMAX[[#This Row],[UnidFact]])+ARTICULOS_GOLOMAX[[#This Row],[CostoFlete]]</f>
        <v>634.02</v>
      </c>
      <c r="M23">
        <v>30</v>
      </c>
      <c r="N23" s="63">
        <f t="shared" si="1"/>
        <v>900</v>
      </c>
      <c r="O23" s="3">
        <f>MROUND((ARTICULOS_GOLOMAX[[#This Row],[Precio]]/0.6),50)</f>
        <v>1500</v>
      </c>
      <c r="P23" t="s">
        <v>8693</v>
      </c>
      <c r="Q23">
        <v>3</v>
      </c>
      <c r="R23" s="42">
        <v>6</v>
      </c>
      <c r="S23" t="s">
        <v>17</v>
      </c>
      <c r="T23" t="s">
        <v>4</v>
      </c>
      <c r="U23" t="s">
        <v>60</v>
      </c>
      <c r="V23" t="s">
        <v>10015</v>
      </c>
      <c r="W23" t="s">
        <v>8692</v>
      </c>
      <c r="X23">
        <v>1</v>
      </c>
      <c r="Y23">
        <v>0</v>
      </c>
      <c r="AB23" s="80">
        <f>ARTICULOS_OSLE[[#This Row],[Costo]]*ARTICULOS_OSLE[[#This Row],[Pedido]]</f>
        <v>11400</v>
      </c>
      <c r="AH23" s="2" t="str">
        <f>IF(AND(ARTICULOS_OSLE[[#This Row],[FechaVenc]]=0,ARTICULOS_OSLE[[#This Row],[DiasVenc]]=0),"",ARTICULOS_OSLE[[#This Row],[FechaVenc]]-ARTICULOS_OSLE[[#This Row],[DiasVenc]])</f>
        <v/>
      </c>
      <c r="AO23" s="30" t="s">
        <v>8689</v>
      </c>
    </row>
    <row r="24" spans="1:41" ht="15.75" hidden="1" x14ac:dyDescent="0.25">
      <c r="A24" s="1" t="s">
        <v>10018</v>
      </c>
      <c r="B24" s="30">
        <v>1300702</v>
      </c>
      <c r="C24" t="str">
        <f t="shared" si="0"/>
        <v>ALM80007254</v>
      </c>
      <c r="D24" t="s">
        <v>8689</v>
      </c>
      <c r="E24" s="1" t="s">
        <v>10019</v>
      </c>
      <c r="F24" s="61">
        <f>VLOOKUP(ARTICULOS_GOLOMAX[[#This Row],[CodigoProveedor]],'PRECIOS GOLOMAX'!$A$1:$C$10000,3,FALSE)</f>
        <v>634.02</v>
      </c>
      <c r="G24" s="3">
        <v>0</v>
      </c>
      <c r="H24" s="3">
        <v>0</v>
      </c>
      <c r="I24">
        <v>1</v>
      </c>
      <c r="J24">
        <v>1</v>
      </c>
      <c r="K24" s="4"/>
      <c r="L24" s="65">
        <f>((ARTICULOS_GOLOMAX[[#This Row],[P. Compra]]*(1+ARTICULOS_GOLOMAX[[#This Row],[IVA]]%))/ARTICULOS_GOLOMAX[[#This Row],[UnidFact]])+ARTICULOS_GOLOMAX[[#This Row],[CostoFlete]]</f>
        <v>634.02</v>
      </c>
      <c r="M24">
        <v>30</v>
      </c>
      <c r="N24" s="63">
        <f t="shared" si="1"/>
        <v>900</v>
      </c>
      <c r="O24" s="3">
        <f>MROUND((ARTICULOS_GOLOMAX[[#This Row],[Precio]]/0.6),50)</f>
        <v>1500</v>
      </c>
      <c r="P24" t="s">
        <v>8693</v>
      </c>
      <c r="Q24">
        <v>3</v>
      </c>
      <c r="R24" s="42">
        <v>6</v>
      </c>
      <c r="S24" t="s">
        <v>17</v>
      </c>
      <c r="T24" t="s">
        <v>4</v>
      </c>
      <c r="U24" t="s">
        <v>60</v>
      </c>
      <c r="V24" t="s">
        <v>10015</v>
      </c>
      <c r="W24" t="s">
        <v>8692</v>
      </c>
      <c r="X24">
        <v>1</v>
      </c>
      <c r="Y24">
        <v>0</v>
      </c>
      <c r="AB24" s="80">
        <f>ARTICULOS_OSLE[[#This Row],[Costo]]*ARTICULOS_OSLE[[#This Row],[Pedido]]</f>
        <v>0</v>
      </c>
      <c r="AH24" s="2" t="str">
        <f>IF(AND(ARTICULOS_OSLE[[#This Row],[FechaVenc]]=0,ARTICULOS_OSLE[[#This Row],[DiasVenc]]=0),"",ARTICULOS_OSLE[[#This Row],[FechaVenc]]-ARTICULOS_OSLE[[#This Row],[DiasVenc]])</f>
        <v/>
      </c>
      <c r="AO24" s="30" t="s">
        <v>8689</v>
      </c>
    </row>
    <row r="25" spans="1:41" ht="15.75" hidden="1" x14ac:dyDescent="0.25">
      <c r="A25" s="1" t="s">
        <v>10020</v>
      </c>
      <c r="B25">
        <v>1304800</v>
      </c>
      <c r="C25" t="str">
        <f t="shared" si="0"/>
        <v>ALM35000106</v>
      </c>
      <c r="D25" t="s">
        <v>8689</v>
      </c>
      <c r="E25" s="1" t="s">
        <v>10021</v>
      </c>
      <c r="F25" s="61">
        <f>VLOOKUP(ARTICULOS_GOLOMAX[[#This Row],[CodigoProveedor]],'PRECIOS GOLOMAX'!$A$1:$C$10000,3,FALSE)</f>
        <v>681.43</v>
      </c>
      <c r="G25" s="3">
        <v>0</v>
      </c>
      <c r="H25" s="3">
        <v>0</v>
      </c>
      <c r="I25">
        <v>1</v>
      </c>
      <c r="J25">
        <v>1</v>
      </c>
      <c r="K25" s="4"/>
      <c r="L25" s="65">
        <f>((ARTICULOS_GOLOMAX[[#This Row],[P. Compra]]*(1+ARTICULOS_GOLOMAX[[#This Row],[IVA]]%))/ARTICULOS_GOLOMAX[[#This Row],[UnidFact]])+ARTICULOS_GOLOMAX[[#This Row],[CostoFlete]]</f>
        <v>681.43</v>
      </c>
      <c r="M25">
        <v>30</v>
      </c>
      <c r="N25" s="63">
        <f t="shared" si="1"/>
        <v>950</v>
      </c>
      <c r="O25" s="3">
        <f>MROUND((ARTICULOS_GOLOMAX[[#This Row],[Precio]]/0.6),50)</f>
        <v>1600</v>
      </c>
      <c r="P25" t="s">
        <v>8693</v>
      </c>
      <c r="Q25">
        <v>3</v>
      </c>
      <c r="R25" s="42">
        <v>6</v>
      </c>
      <c r="S25" t="s">
        <v>17</v>
      </c>
      <c r="T25" t="s">
        <v>4</v>
      </c>
      <c r="U25" t="s">
        <v>60</v>
      </c>
      <c r="V25" t="s">
        <v>9972</v>
      </c>
      <c r="W25" t="s">
        <v>8692</v>
      </c>
      <c r="X25">
        <v>1</v>
      </c>
      <c r="Y25">
        <v>0</v>
      </c>
      <c r="AB25" s="80">
        <f>ARTICULOS_OSLE[[#This Row],[Costo]]*ARTICULOS_OSLE[[#This Row],[Pedido]]</f>
        <v>11500</v>
      </c>
      <c r="AH25" s="2" t="str">
        <f>IF(AND(ARTICULOS_OSLE[[#This Row],[FechaVenc]]=0,ARTICULOS_OSLE[[#This Row],[DiasVenc]]=0),"",ARTICULOS_OSLE[[#This Row],[FechaVenc]]-ARTICULOS_OSLE[[#This Row],[DiasVenc]])</f>
        <v/>
      </c>
      <c r="AO25" s="30" t="s">
        <v>8689</v>
      </c>
    </row>
    <row r="26" spans="1:41" ht="15.75" hidden="1" x14ac:dyDescent="0.25">
      <c r="A26" s="1" t="s">
        <v>10022</v>
      </c>
      <c r="B26">
        <v>1304801</v>
      </c>
      <c r="C26" t="str">
        <f t="shared" si="0"/>
        <v>ALM35600917</v>
      </c>
      <c r="D26" t="s">
        <v>8689</v>
      </c>
      <c r="E26" s="1" t="s">
        <v>10023</v>
      </c>
      <c r="F26" s="61">
        <f>VLOOKUP(ARTICULOS_GOLOMAX[[#This Row],[CodigoProveedor]],'PRECIOS GOLOMAX'!$A$1:$C$10000,3,FALSE)</f>
        <v>712.12</v>
      </c>
      <c r="G26" s="3">
        <v>0</v>
      </c>
      <c r="H26" s="3">
        <v>0</v>
      </c>
      <c r="I26">
        <v>1</v>
      </c>
      <c r="J26">
        <v>1</v>
      </c>
      <c r="K26" s="4"/>
      <c r="L26" s="65">
        <f>((ARTICULOS_GOLOMAX[[#This Row],[P. Compra]]*(1+ARTICULOS_GOLOMAX[[#This Row],[IVA]]%))/ARTICULOS_GOLOMAX[[#This Row],[UnidFact]])+ARTICULOS_GOLOMAX[[#This Row],[CostoFlete]]</f>
        <v>712.12</v>
      </c>
      <c r="M26">
        <v>30</v>
      </c>
      <c r="N26" s="63">
        <f t="shared" si="1"/>
        <v>1000</v>
      </c>
      <c r="O26" s="3">
        <f>MROUND((ARTICULOS_GOLOMAX[[#This Row],[Precio]]/0.6),50)</f>
        <v>1650</v>
      </c>
      <c r="P26" t="s">
        <v>8693</v>
      </c>
      <c r="Q26">
        <v>3</v>
      </c>
      <c r="R26" s="42">
        <v>6</v>
      </c>
      <c r="S26" t="s">
        <v>17</v>
      </c>
      <c r="T26" t="s">
        <v>4</v>
      </c>
      <c r="U26" t="s">
        <v>60</v>
      </c>
      <c r="V26" t="s">
        <v>9972</v>
      </c>
      <c r="W26" t="s">
        <v>8692</v>
      </c>
      <c r="X26">
        <v>1</v>
      </c>
      <c r="Y26">
        <v>0</v>
      </c>
      <c r="AB26" s="80">
        <f>ARTICULOS_OSLE[[#This Row],[Costo]]*ARTICULOS_OSLE[[#This Row],[Pedido]]</f>
        <v>0</v>
      </c>
      <c r="AH26" s="2" t="str">
        <f>IF(AND(ARTICULOS_OSLE[[#This Row],[FechaVenc]]=0,ARTICULOS_OSLE[[#This Row],[DiasVenc]]=0),"",ARTICULOS_OSLE[[#This Row],[FechaVenc]]-ARTICULOS_OSLE[[#This Row],[DiasVenc]])</f>
        <v/>
      </c>
      <c r="AO26" s="30" t="s">
        <v>8689</v>
      </c>
    </row>
    <row r="27" spans="1:41" ht="15.75" hidden="1" x14ac:dyDescent="0.25">
      <c r="A27" s="1" t="s">
        <v>10024</v>
      </c>
      <c r="B27">
        <v>1307101</v>
      </c>
      <c r="C27" t="str">
        <f t="shared" si="0"/>
        <v>ALM03000364</v>
      </c>
      <c r="D27" t="s">
        <v>8689</v>
      </c>
      <c r="E27" s="1" t="s">
        <v>10025</v>
      </c>
      <c r="F27" s="61">
        <f>VLOOKUP(ARTICULOS_GOLOMAX[[#This Row],[CodigoProveedor]],'PRECIOS GOLOMAX'!$A$1:$C$10000,3,FALSE)</f>
        <v>498.04</v>
      </c>
      <c r="G27" s="3">
        <v>0</v>
      </c>
      <c r="H27" s="3">
        <v>0</v>
      </c>
      <c r="I27">
        <v>1</v>
      </c>
      <c r="J27">
        <v>1</v>
      </c>
      <c r="K27" s="4"/>
      <c r="L27" s="65">
        <f>((ARTICULOS_GOLOMAX[[#This Row],[P. Compra]]*(1+ARTICULOS_GOLOMAX[[#This Row],[IVA]]%))/ARTICULOS_GOLOMAX[[#This Row],[UnidFact]])+ARTICULOS_GOLOMAX[[#This Row],[CostoFlete]]</f>
        <v>498.04</v>
      </c>
      <c r="M27">
        <v>30</v>
      </c>
      <c r="N27" s="63">
        <f t="shared" si="1"/>
        <v>700</v>
      </c>
      <c r="O27" s="3">
        <f>MROUND((ARTICULOS_GOLOMAX[[#This Row],[Precio]]/0.6),50)</f>
        <v>1150</v>
      </c>
      <c r="P27" t="s">
        <v>8693</v>
      </c>
      <c r="Q27">
        <v>3</v>
      </c>
      <c r="R27" s="42">
        <v>6</v>
      </c>
      <c r="S27" t="s">
        <v>17</v>
      </c>
      <c r="T27" t="s">
        <v>4</v>
      </c>
      <c r="U27" t="s">
        <v>60</v>
      </c>
      <c r="V27" t="s">
        <v>9979</v>
      </c>
      <c r="W27" t="s">
        <v>8692</v>
      </c>
      <c r="X27">
        <v>1</v>
      </c>
      <c r="Y27">
        <v>0</v>
      </c>
      <c r="AB27" s="80">
        <f>ARTICULOS_OSLE[[#This Row],[Costo]]*ARTICULOS_OSLE[[#This Row],[Pedido]]</f>
        <v>11500</v>
      </c>
      <c r="AH27" s="2" t="str">
        <f>IF(AND(ARTICULOS_OSLE[[#This Row],[FechaVenc]]=0,ARTICULOS_OSLE[[#This Row],[DiasVenc]]=0),"",ARTICULOS_OSLE[[#This Row],[FechaVenc]]-ARTICULOS_OSLE[[#This Row],[DiasVenc]])</f>
        <v/>
      </c>
      <c r="AO27" s="30" t="s">
        <v>8689</v>
      </c>
    </row>
    <row r="28" spans="1:41" ht="15.75" hidden="1" x14ac:dyDescent="0.25">
      <c r="A28" s="24" t="s">
        <v>10026</v>
      </c>
      <c r="B28">
        <v>1307100</v>
      </c>
      <c r="C28" t="str">
        <f t="shared" si="0"/>
        <v>ALM03000333</v>
      </c>
      <c r="D28" t="s">
        <v>8689</v>
      </c>
      <c r="E28" s="24" t="s">
        <v>10027</v>
      </c>
      <c r="F28" s="61">
        <f>VLOOKUP(ARTICULOS_GOLOMAX[[#This Row],[CodigoProveedor]],'PRECIOS GOLOMAX'!$A$1:$C$10000,3,FALSE)</f>
        <v>498.04</v>
      </c>
      <c r="G28" s="3">
        <v>0</v>
      </c>
      <c r="H28" s="3">
        <v>0</v>
      </c>
      <c r="I28">
        <v>1</v>
      </c>
      <c r="J28">
        <v>1</v>
      </c>
      <c r="K28" s="4"/>
      <c r="L28" s="65">
        <f>((ARTICULOS_GOLOMAX[[#This Row],[P. Compra]]*(1+ARTICULOS_GOLOMAX[[#This Row],[IVA]]%))/ARTICULOS_GOLOMAX[[#This Row],[UnidFact]])+ARTICULOS_GOLOMAX[[#This Row],[CostoFlete]]</f>
        <v>498.04</v>
      </c>
      <c r="M28">
        <v>30</v>
      </c>
      <c r="N28" s="63">
        <f t="shared" si="1"/>
        <v>700</v>
      </c>
      <c r="O28" s="3">
        <f>MROUND((ARTICULOS_GOLOMAX[[#This Row],[Precio]]/0.6),50)</f>
        <v>1150</v>
      </c>
      <c r="P28" t="s">
        <v>8693</v>
      </c>
      <c r="Q28">
        <v>3</v>
      </c>
      <c r="R28" s="42">
        <v>6</v>
      </c>
      <c r="S28" t="s">
        <v>17</v>
      </c>
      <c r="T28" t="s">
        <v>4</v>
      </c>
      <c r="U28" t="s">
        <v>60</v>
      </c>
      <c r="V28" t="s">
        <v>9979</v>
      </c>
      <c r="W28" t="s">
        <v>8692</v>
      </c>
      <c r="X28">
        <v>1</v>
      </c>
      <c r="Y28">
        <v>0</v>
      </c>
      <c r="AB28" s="80">
        <f>ARTICULOS_OSLE[[#This Row],[Costo]]*ARTICULOS_OSLE[[#This Row],[Pedido]]</f>
        <v>0</v>
      </c>
      <c r="AH28" s="2" t="str">
        <f>IF(AND(ARTICULOS_OSLE[[#This Row],[FechaVenc]]=0,ARTICULOS_OSLE[[#This Row],[DiasVenc]]=0),"",ARTICULOS_OSLE[[#This Row],[FechaVenc]]-ARTICULOS_OSLE[[#This Row],[DiasVenc]])</f>
        <v/>
      </c>
      <c r="AO28" s="30" t="s">
        <v>8689</v>
      </c>
    </row>
    <row r="29" spans="1:41" ht="15.75" hidden="1" x14ac:dyDescent="0.25">
      <c r="A29" s="1" t="s">
        <v>10028</v>
      </c>
      <c r="B29">
        <v>1307103</v>
      </c>
      <c r="C29" t="str">
        <f t="shared" si="0"/>
        <v>ALM03000326</v>
      </c>
      <c r="D29" t="s">
        <v>8689</v>
      </c>
      <c r="E29" s="1" t="s">
        <v>10029</v>
      </c>
      <c r="F29" s="61">
        <f>VLOOKUP(ARTICULOS_GOLOMAX[[#This Row],[CodigoProveedor]],'PRECIOS GOLOMAX'!$A$1:$C$10000,3,FALSE)</f>
        <v>498.04</v>
      </c>
      <c r="G29" s="3">
        <v>0</v>
      </c>
      <c r="H29" s="3">
        <v>0</v>
      </c>
      <c r="I29">
        <v>1</v>
      </c>
      <c r="J29">
        <v>1</v>
      </c>
      <c r="K29" s="4"/>
      <c r="L29" s="65">
        <f>((ARTICULOS_GOLOMAX[[#This Row],[P. Compra]]*(1+ARTICULOS_GOLOMAX[[#This Row],[IVA]]%))/ARTICULOS_GOLOMAX[[#This Row],[UnidFact]])+ARTICULOS_GOLOMAX[[#This Row],[CostoFlete]]</f>
        <v>498.04</v>
      </c>
      <c r="M29">
        <v>30</v>
      </c>
      <c r="N29" s="63">
        <f t="shared" si="1"/>
        <v>700</v>
      </c>
      <c r="O29" s="3">
        <f>MROUND((ARTICULOS_GOLOMAX[[#This Row],[Precio]]/0.6),50)</f>
        <v>1150</v>
      </c>
      <c r="P29" t="s">
        <v>8693</v>
      </c>
      <c r="Q29">
        <v>3</v>
      </c>
      <c r="R29" s="42">
        <v>6</v>
      </c>
      <c r="S29" t="s">
        <v>17</v>
      </c>
      <c r="T29" t="s">
        <v>4</v>
      </c>
      <c r="U29" t="s">
        <v>60</v>
      </c>
      <c r="V29" t="s">
        <v>9979</v>
      </c>
      <c r="W29" t="s">
        <v>8692</v>
      </c>
      <c r="X29">
        <v>1</v>
      </c>
      <c r="Y29">
        <v>6</v>
      </c>
      <c r="AB29" s="80">
        <f>ARTICULOS_OSLE[[#This Row],[Costo]]*ARTICULOS_OSLE[[#This Row],[Pedido]]</f>
        <v>13900</v>
      </c>
      <c r="AH29" s="2" t="str">
        <f>IF(AND(ARTICULOS_OSLE[[#This Row],[FechaVenc]]=0,ARTICULOS_OSLE[[#This Row],[DiasVenc]]=0),"",ARTICULOS_OSLE[[#This Row],[FechaVenc]]-ARTICULOS_OSLE[[#This Row],[DiasVenc]])</f>
        <v/>
      </c>
      <c r="AO29" s="30" t="s">
        <v>8689</v>
      </c>
    </row>
    <row r="30" spans="1:41" ht="15.75" hidden="1" x14ac:dyDescent="0.25">
      <c r="A30" s="1" t="s">
        <v>10030</v>
      </c>
      <c r="B30" s="30">
        <v>1306700</v>
      </c>
      <c r="C30" t="str">
        <f t="shared" si="0"/>
        <v>ALM12000271</v>
      </c>
      <c r="D30" t="s">
        <v>8689</v>
      </c>
      <c r="E30" s="1" t="s">
        <v>10031</v>
      </c>
      <c r="F30" s="61">
        <f>VLOOKUP(ARTICULOS_GOLOMAX[[#This Row],[CodigoProveedor]],'PRECIOS GOLOMAX'!$A$1:$C$10000,3,FALSE)</f>
        <v>812.68</v>
      </c>
      <c r="G30" s="3">
        <v>0</v>
      </c>
      <c r="H30" s="3">
        <v>0</v>
      </c>
      <c r="I30">
        <v>1</v>
      </c>
      <c r="J30">
        <v>1</v>
      </c>
      <c r="K30" s="4"/>
      <c r="L30" s="65">
        <f>((ARTICULOS_GOLOMAX[[#This Row],[P. Compra]]*(1+ARTICULOS_GOLOMAX[[#This Row],[IVA]]%))/ARTICULOS_GOLOMAX[[#This Row],[UnidFact]])+ARTICULOS_GOLOMAX[[#This Row],[CostoFlete]]</f>
        <v>812.68</v>
      </c>
      <c r="M30">
        <v>30</v>
      </c>
      <c r="N30" s="63">
        <f t="shared" si="1"/>
        <v>1150</v>
      </c>
      <c r="O30" s="3">
        <f>MROUND((ARTICULOS_GOLOMAX[[#This Row],[Precio]]/0.6),50)</f>
        <v>1900</v>
      </c>
      <c r="P30" t="s">
        <v>8693</v>
      </c>
      <c r="Q30">
        <v>3</v>
      </c>
      <c r="R30" s="42">
        <v>6</v>
      </c>
      <c r="S30" t="s">
        <v>17</v>
      </c>
      <c r="T30" t="s">
        <v>4</v>
      </c>
      <c r="U30" t="s">
        <v>60</v>
      </c>
      <c r="V30" t="s">
        <v>10032</v>
      </c>
      <c r="W30" t="s">
        <v>8692</v>
      </c>
      <c r="X30">
        <v>1</v>
      </c>
      <c r="Y30">
        <v>0</v>
      </c>
      <c r="AB30" s="80">
        <f>ARTICULOS_OSLE[[#This Row],[Costo]]*ARTICULOS_OSLE[[#This Row],[Pedido]]</f>
        <v>0</v>
      </c>
      <c r="AH30" s="2" t="str">
        <f>IF(AND(ARTICULOS_OSLE[[#This Row],[FechaVenc]]=0,ARTICULOS_OSLE[[#This Row],[DiasVenc]]=0),"",ARTICULOS_OSLE[[#This Row],[FechaVenc]]-ARTICULOS_OSLE[[#This Row],[DiasVenc]])</f>
        <v/>
      </c>
      <c r="AO30" s="30" t="s">
        <v>8689</v>
      </c>
    </row>
    <row r="31" spans="1:41" ht="15.75" hidden="1" x14ac:dyDescent="0.25">
      <c r="A31" s="1" t="s">
        <v>11778</v>
      </c>
      <c r="B31" s="30">
        <v>1306738</v>
      </c>
      <c r="C31" t="str">
        <f t="shared" si="0"/>
        <v>ALM12000288</v>
      </c>
      <c r="D31" t="s">
        <v>8689</v>
      </c>
      <c r="E31" s="1" t="s">
        <v>11777</v>
      </c>
      <c r="F31" s="61">
        <f>VLOOKUP(ARTICULOS_GOLOMAX[[#This Row],[CodigoProveedor]],'PRECIOS GOLOMAX'!$A$1:$C$10000,3,FALSE)</f>
        <v>760.86</v>
      </c>
      <c r="G31" s="3">
        <v>0</v>
      </c>
      <c r="H31" s="3">
        <v>0</v>
      </c>
      <c r="I31">
        <v>1</v>
      </c>
      <c r="J31">
        <v>1</v>
      </c>
      <c r="K31" s="4"/>
      <c r="L31" s="65">
        <f>((ARTICULOS_GOLOMAX[[#This Row],[P. Compra]]*(1+ARTICULOS_GOLOMAX[[#This Row],[IVA]]%))/ARTICULOS_GOLOMAX[[#This Row],[UnidFact]])+ARTICULOS_GOLOMAX[[#This Row],[CostoFlete]]</f>
        <v>760.86</v>
      </c>
      <c r="M31">
        <v>30</v>
      </c>
      <c r="N31" s="63">
        <f t="shared" si="1"/>
        <v>1100</v>
      </c>
      <c r="O31" s="3">
        <f>MROUND((ARTICULOS_GOLOMAX[[#This Row],[Precio]]/0.6),50)</f>
        <v>1850</v>
      </c>
      <c r="P31" t="s">
        <v>8693</v>
      </c>
      <c r="Q31">
        <v>3</v>
      </c>
      <c r="R31" s="42">
        <v>6</v>
      </c>
      <c r="S31" t="s">
        <v>17</v>
      </c>
      <c r="T31" t="s">
        <v>4</v>
      </c>
      <c r="U31" t="s">
        <v>60</v>
      </c>
      <c r="V31" t="s">
        <v>10032</v>
      </c>
      <c r="W31" t="s">
        <v>8692</v>
      </c>
      <c r="X31">
        <v>1</v>
      </c>
      <c r="Y31">
        <v>5</v>
      </c>
      <c r="AB31" s="80" t="e">
        <f>ARTICULOS_OSLE[[#This Row],[Costo]]*ARTICULOS_OSLE[[#This Row],[Pedido]]</f>
        <v>#VALUE!</v>
      </c>
      <c r="AH31" s="2" t="e">
        <f>IF(AND(ARTICULOS_OSLE[[#This Row],[FechaVenc]]=0,ARTICULOS_OSLE[[#This Row],[DiasVenc]]=0),"",ARTICULOS_OSLE[[#This Row],[FechaVenc]]-ARTICULOS_OSLE[[#This Row],[DiasVenc]])</f>
        <v>#VALUE!</v>
      </c>
      <c r="AO31" s="30" t="s">
        <v>8689</v>
      </c>
    </row>
    <row r="32" spans="1:41" ht="15.75" hidden="1" x14ac:dyDescent="0.25">
      <c r="A32" s="1" t="s">
        <v>10033</v>
      </c>
      <c r="B32" s="30">
        <v>1306774</v>
      </c>
      <c r="C32" t="str">
        <f t="shared" si="0"/>
        <v>ALM12000295</v>
      </c>
      <c r="D32" t="s">
        <v>8689</v>
      </c>
      <c r="E32" s="1" t="s">
        <v>10034</v>
      </c>
      <c r="F32" s="61">
        <f>VLOOKUP(ARTICULOS_GOLOMAX[[#This Row],[CodigoProveedor]],'PRECIOS GOLOMAX'!$A$1:$C$10000,3,FALSE)</f>
        <v>812.68</v>
      </c>
      <c r="G32" s="3">
        <v>0</v>
      </c>
      <c r="H32" s="3">
        <v>0</v>
      </c>
      <c r="I32">
        <v>1</v>
      </c>
      <c r="J32">
        <v>1</v>
      </c>
      <c r="K32" s="4"/>
      <c r="L32" s="65">
        <f>((ARTICULOS_GOLOMAX[[#This Row],[P. Compra]]*(1+ARTICULOS_GOLOMAX[[#This Row],[IVA]]%))/ARTICULOS_GOLOMAX[[#This Row],[UnidFact]])+ARTICULOS_GOLOMAX[[#This Row],[CostoFlete]]</f>
        <v>812.68</v>
      </c>
      <c r="M32">
        <v>30</v>
      </c>
      <c r="N32" s="63">
        <f t="shared" si="1"/>
        <v>1150</v>
      </c>
      <c r="O32" s="3">
        <f>MROUND((ARTICULOS_GOLOMAX[[#This Row],[Precio]]/0.6),50)</f>
        <v>1900</v>
      </c>
      <c r="P32" t="s">
        <v>8693</v>
      </c>
      <c r="Q32">
        <v>3</v>
      </c>
      <c r="R32" s="42">
        <v>6</v>
      </c>
      <c r="S32" t="s">
        <v>17</v>
      </c>
      <c r="T32" t="s">
        <v>4</v>
      </c>
      <c r="U32" t="s">
        <v>60</v>
      </c>
      <c r="V32" t="s">
        <v>10032</v>
      </c>
      <c r="W32" t="s">
        <v>8692</v>
      </c>
      <c r="X32">
        <v>1</v>
      </c>
      <c r="Y32">
        <v>5</v>
      </c>
      <c r="AB32" s="80" t="e">
        <f>ARTICULOS_OSLE[[#This Row],[Costo]]*ARTICULOS_OSLE[[#This Row],[Pedido]]</f>
        <v>#VALUE!</v>
      </c>
      <c r="AH32" s="2" t="e">
        <f>IF(AND(ARTICULOS_OSLE[[#This Row],[FechaVenc]]=0,ARTICULOS_OSLE[[#This Row],[DiasVenc]]=0),"",ARTICULOS_OSLE[[#This Row],[FechaVenc]]-ARTICULOS_OSLE[[#This Row],[DiasVenc]])</f>
        <v>#VALUE!</v>
      </c>
      <c r="AO32" s="30" t="s">
        <v>8689</v>
      </c>
    </row>
    <row r="33" spans="1:41" ht="15.75" hidden="1" x14ac:dyDescent="0.25">
      <c r="A33" s="1" t="s">
        <v>10035</v>
      </c>
      <c r="B33" s="30">
        <v>1302400</v>
      </c>
      <c r="C33" t="str">
        <f t="shared" si="0"/>
        <v>ALM71090217</v>
      </c>
      <c r="D33" t="s">
        <v>8689</v>
      </c>
      <c r="E33" s="1" t="s">
        <v>10036</v>
      </c>
      <c r="F33" s="61">
        <f>VLOOKUP(ARTICULOS_GOLOMAX[[#This Row],[CodigoProveedor]],'PRECIOS GOLOMAX'!$A$1:$C$10000,3,FALSE)</f>
        <v>642.26</v>
      </c>
      <c r="G33" s="3">
        <v>0</v>
      </c>
      <c r="H33" s="3">
        <v>0</v>
      </c>
      <c r="I33">
        <v>1</v>
      </c>
      <c r="J33">
        <v>1</v>
      </c>
      <c r="K33" s="4"/>
      <c r="L33" s="65">
        <f>((ARTICULOS_GOLOMAX[[#This Row],[P. Compra]]*(1+ARTICULOS_GOLOMAX[[#This Row],[IVA]]%))/ARTICULOS_GOLOMAX[[#This Row],[UnidFact]])+ARTICULOS_GOLOMAX[[#This Row],[CostoFlete]]</f>
        <v>642.26</v>
      </c>
      <c r="M33">
        <v>30</v>
      </c>
      <c r="N33" s="63">
        <f t="shared" si="1"/>
        <v>900</v>
      </c>
      <c r="O33" s="3">
        <f>MROUND((ARTICULOS_GOLOMAX[[#This Row],[Precio]]/0.6),50)</f>
        <v>1500</v>
      </c>
      <c r="P33" t="s">
        <v>8693</v>
      </c>
      <c r="Q33">
        <v>3</v>
      </c>
      <c r="R33" s="42">
        <v>6</v>
      </c>
      <c r="S33" t="s">
        <v>17</v>
      </c>
      <c r="T33" t="s">
        <v>4</v>
      </c>
      <c r="U33" t="s">
        <v>60</v>
      </c>
      <c r="V33" t="s">
        <v>10037</v>
      </c>
      <c r="W33" t="s">
        <v>8692</v>
      </c>
      <c r="X33">
        <v>1</v>
      </c>
      <c r="Y33">
        <v>0</v>
      </c>
      <c r="AB33" s="80" t="e">
        <f>ARTICULOS_OSLE[[#This Row],[Costo]]*ARTICULOS_OSLE[[#This Row],[Pedido]]</f>
        <v>#VALUE!</v>
      </c>
      <c r="AH33" s="2" t="e">
        <f>IF(AND(ARTICULOS_OSLE[[#This Row],[FechaVenc]]=0,ARTICULOS_OSLE[[#This Row],[DiasVenc]]=0),"",ARTICULOS_OSLE[[#This Row],[FechaVenc]]-ARTICULOS_OSLE[[#This Row],[DiasVenc]])</f>
        <v>#VALUE!</v>
      </c>
      <c r="AO33" s="30" t="s">
        <v>8689</v>
      </c>
    </row>
    <row r="34" spans="1:41" ht="15.75" hidden="1" x14ac:dyDescent="0.25">
      <c r="A34" s="1" t="s">
        <v>10038</v>
      </c>
      <c r="B34" s="30">
        <v>1302412</v>
      </c>
      <c r="C34" t="str">
        <f t="shared" si="0"/>
        <v>ALM71090118</v>
      </c>
      <c r="D34" t="s">
        <v>8689</v>
      </c>
      <c r="E34" s="1" t="s">
        <v>10039</v>
      </c>
      <c r="F34" s="61">
        <f>VLOOKUP(ARTICULOS_GOLOMAX[[#This Row],[CodigoProveedor]],'PRECIOS GOLOMAX'!$A$1:$C$10000,3,FALSE)</f>
        <v>642.26</v>
      </c>
      <c r="G34" s="3">
        <v>0</v>
      </c>
      <c r="H34" s="3">
        <v>0</v>
      </c>
      <c r="I34">
        <v>1</v>
      </c>
      <c r="J34">
        <v>1</v>
      </c>
      <c r="K34" s="4"/>
      <c r="L34" s="65">
        <f>((ARTICULOS_GOLOMAX[[#This Row],[P. Compra]]*(1+ARTICULOS_GOLOMAX[[#This Row],[IVA]]%))/ARTICULOS_GOLOMAX[[#This Row],[UnidFact]])+ARTICULOS_GOLOMAX[[#This Row],[CostoFlete]]</f>
        <v>642.26</v>
      </c>
      <c r="M34">
        <v>30</v>
      </c>
      <c r="N34" s="63">
        <f t="shared" si="1"/>
        <v>900</v>
      </c>
      <c r="O34" s="3">
        <f>MROUND((ARTICULOS_GOLOMAX[[#This Row],[Precio]]/0.6),50)</f>
        <v>1500</v>
      </c>
      <c r="P34" t="s">
        <v>8693</v>
      </c>
      <c r="Q34">
        <v>3</v>
      </c>
      <c r="R34" s="42">
        <v>6</v>
      </c>
      <c r="S34" t="s">
        <v>17</v>
      </c>
      <c r="T34" t="s">
        <v>4</v>
      </c>
      <c r="U34" t="s">
        <v>60</v>
      </c>
      <c r="V34" t="s">
        <v>10037</v>
      </c>
      <c r="W34" t="s">
        <v>8692</v>
      </c>
      <c r="X34">
        <v>1</v>
      </c>
      <c r="Y34">
        <v>0</v>
      </c>
      <c r="AB34" s="80" t="e">
        <f>ARTICULOS_OSLE[[#This Row],[Costo]]*ARTICULOS_OSLE[[#This Row],[Pedido]]</f>
        <v>#VALUE!</v>
      </c>
      <c r="AH34" s="2" t="e">
        <f>IF(AND(ARTICULOS_OSLE[[#This Row],[FechaVenc]]=0,ARTICULOS_OSLE[[#This Row],[DiasVenc]]=0),"",ARTICULOS_OSLE[[#This Row],[FechaVenc]]-ARTICULOS_OSLE[[#This Row],[DiasVenc]])</f>
        <v>#VALUE!</v>
      </c>
      <c r="AO34" s="30" t="s">
        <v>8689</v>
      </c>
    </row>
    <row r="35" spans="1:41" ht="15.75" hidden="1" x14ac:dyDescent="0.25">
      <c r="A35" s="1" t="s">
        <v>10040</v>
      </c>
      <c r="B35" s="30">
        <v>1302499</v>
      </c>
      <c r="C35" t="str">
        <f t="shared" si="0"/>
        <v>ALM71090316</v>
      </c>
      <c r="D35" t="s">
        <v>8689</v>
      </c>
      <c r="E35" s="1" t="s">
        <v>10041</v>
      </c>
      <c r="F35" s="61">
        <f>VLOOKUP(ARTICULOS_GOLOMAX[[#This Row],[CodigoProveedor]],'PRECIOS GOLOMAX'!$A$1:$C$10000,3,FALSE)</f>
        <v>642.26</v>
      </c>
      <c r="G35" s="3">
        <v>0</v>
      </c>
      <c r="H35" s="3">
        <v>0</v>
      </c>
      <c r="I35">
        <v>1</v>
      </c>
      <c r="J35">
        <v>1</v>
      </c>
      <c r="K35" s="4"/>
      <c r="L35" s="65">
        <f>((ARTICULOS_GOLOMAX[[#This Row],[P. Compra]]*(1+ARTICULOS_GOLOMAX[[#This Row],[IVA]]%))/ARTICULOS_GOLOMAX[[#This Row],[UnidFact]])+ARTICULOS_GOLOMAX[[#This Row],[CostoFlete]]</f>
        <v>642.26</v>
      </c>
      <c r="M35">
        <v>30</v>
      </c>
      <c r="N35" s="63">
        <f t="shared" si="1"/>
        <v>900</v>
      </c>
      <c r="O35" s="3">
        <f>MROUND((ARTICULOS_GOLOMAX[[#This Row],[Precio]]/0.6),50)</f>
        <v>1500</v>
      </c>
      <c r="P35" t="s">
        <v>8693</v>
      </c>
      <c r="Q35">
        <v>3</v>
      </c>
      <c r="R35" s="42">
        <v>6</v>
      </c>
      <c r="S35" t="s">
        <v>17</v>
      </c>
      <c r="T35" t="s">
        <v>4</v>
      </c>
      <c r="U35" t="s">
        <v>60</v>
      </c>
      <c r="V35" t="s">
        <v>10037</v>
      </c>
      <c r="W35" t="s">
        <v>8692</v>
      </c>
      <c r="X35">
        <v>1</v>
      </c>
      <c r="Y35">
        <v>0</v>
      </c>
      <c r="AB35" s="80" t="e">
        <f>ARTICULOS_OSLE[[#This Row],[Costo]]*ARTICULOS_OSLE[[#This Row],[Pedido]]</f>
        <v>#VALUE!</v>
      </c>
      <c r="AH35" s="2" t="e">
        <f>IF(AND(ARTICULOS_OSLE[[#This Row],[FechaVenc]]=0,ARTICULOS_OSLE[[#This Row],[DiasVenc]]=0),"",ARTICULOS_OSLE[[#This Row],[FechaVenc]]-ARTICULOS_OSLE[[#This Row],[DiasVenc]])</f>
        <v>#VALUE!</v>
      </c>
      <c r="AO35" s="30" t="s">
        <v>8689</v>
      </c>
    </row>
    <row r="36" spans="1:41" ht="15.75" hidden="1" x14ac:dyDescent="0.25">
      <c r="A36" s="1" t="s">
        <v>10042</v>
      </c>
      <c r="B36" s="30">
        <v>1302474</v>
      </c>
      <c r="C36" t="str">
        <f t="shared" si="0"/>
        <v>ALM71090415</v>
      </c>
      <c r="D36" t="s">
        <v>8689</v>
      </c>
      <c r="E36" s="1" t="s">
        <v>10043</v>
      </c>
      <c r="F36" s="61">
        <f>VLOOKUP(ARTICULOS_GOLOMAX[[#This Row],[CodigoProveedor]],'PRECIOS GOLOMAX'!$A$1:$C$10000,3,FALSE)</f>
        <v>642.26</v>
      </c>
      <c r="G36" s="3">
        <v>0</v>
      </c>
      <c r="H36" s="3">
        <v>0</v>
      </c>
      <c r="I36">
        <v>1</v>
      </c>
      <c r="J36">
        <v>1</v>
      </c>
      <c r="K36" s="4"/>
      <c r="L36" s="65">
        <f>((ARTICULOS_GOLOMAX[[#This Row],[P. Compra]]*(1+ARTICULOS_GOLOMAX[[#This Row],[IVA]]%))/ARTICULOS_GOLOMAX[[#This Row],[UnidFact]])+ARTICULOS_GOLOMAX[[#This Row],[CostoFlete]]</f>
        <v>642.26</v>
      </c>
      <c r="M36">
        <v>30</v>
      </c>
      <c r="N36" s="63">
        <f t="shared" si="1"/>
        <v>900</v>
      </c>
      <c r="O36" s="3">
        <f>MROUND((ARTICULOS_GOLOMAX[[#This Row],[Precio]]/0.6),50)</f>
        <v>1500</v>
      </c>
      <c r="P36" t="s">
        <v>8693</v>
      </c>
      <c r="Q36">
        <v>3</v>
      </c>
      <c r="R36" s="42">
        <v>6</v>
      </c>
      <c r="S36" t="s">
        <v>17</v>
      </c>
      <c r="T36" t="s">
        <v>4</v>
      </c>
      <c r="U36" t="s">
        <v>60</v>
      </c>
      <c r="V36" t="s">
        <v>10037</v>
      </c>
      <c r="W36" t="s">
        <v>8692</v>
      </c>
      <c r="X36">
        <v>1</v>
      </c>
      <c r="Y36">
        <v>0</v>
      </c>
      <c r="AB36" s="80" t="e">
        <f>ARTICULOS_OSLE[[#This Row],[Costo]]*ARTICULOS_OSLE[[#This Row],[Pedido]]</f>
        <v>#VALUE!</v>
      </c>
      <c r="AH36" s="2" t="e">
        <f>IF(AND(ARTICULOS_OSLE[[#This Row],[FechaVenc]]=0,ARTICULOS_OSLE[[#This Row],[DiasVenc]]=0),"",ARTICULOS_OSLE[[#This Row],[FechaVenc]]-ARTICULOS_OSLE[[#This Row],[DiasVenc]])</f>
        <v>#VALUE!</v>
      </c>
      <c r="AO36" s="30" t="s">
        <v>8689</v>
      </c>
    </row>
    <row r="37" spans="1:41" ht="15.75" hidden="1" x14ac:dyDescent="0.25">
      <c r="A37" s="1" t="s">
        <v>10044</v>
      </c>
      <c r="B37" s="30">
        <v>1304394</v>
      </c>
      <c r="C37" t="str">
        <f t="shared" si="0"/>
        <v>ALM71070608</v>
      </c>
      <c r="D37" t="s">
        <v>8689</v>
      </c>
      <c r="E37" s="1" t="s">
        <v>10045</v>
      </c>
      <c r="F37" s="61">
        <f>VLOOKUP(ARTICULOS_GOLOMAX[[#This Row],[CodigoProveedor]],'PRECIOS GOLOMAX'!$A$1:$C$10000,3,FALSE)</f>
        <v>741.24</v>
      </c>
      <c r="G37" s="3">
        <v>0</v>
      </c>
      <c r="H37" s="3">
        <v>0</v>
      </c>
      <c r="I37">
        <v>1</v>
      </c>
      <c r="J37">
        <v>1</v>
      </c>
      <c r="K37" s="4"/>
      <c r="L37" s="65">
        <f>((ARTICULOS_GOLOMAX[[#This Row],[P. Compra]]*(1+ARTICULOS_GOLOMAX[[#This Row],[IVA]]%))/ARTICULOS_GOLOMAX[[#This Row],[UnidFact]])+ARTICULOS_GOLOMAX[[#This Row],[CostoFlete]]</f>
        <v>741.24</v>
      </c>
      <c r="M37">
        <v>30</v>
      </c>
      <c r="N37" s="63">
        <f t="shared" si="1"/>
        <v>1050</v>
      </c>
      <c r="O37" s="3">
        <f>MROUND((ARTICULOS_GOLOMAX[[#This Row],[Precio]]/0.6),50)</f>
        <v>1750</v>
      </c>
      <c r="P37" t="s">
        <v>8693</v>
      </c>
      <c r="Q37">
        <v>3</v>
      </c>
      <c r="R37" s="42">
        <v>6</v>
      </c>
      <c r="S37" t="s">
        <v>17</v>
      </c>
      <c r="T37" t="s">
        <v>4</v>
      </c>
      <c r="U37" t="s">
        <v>60</v>
      </c>
      <c r="V37" t="s">
        <v>10037</v>
      </c>
      <c r="W37" t="s">
        <v>8692</v>
      </c>
      <c r="X37">
        <v>1</v>
      </c>
      <c r="Y37">
        <v>0</v>
      </c>
      <c r="AB37" s="80" t="e">
        <f>ARTICULOS_OSLE[[#This Row],[Costo]]*ARTICULOS_OSLE[[#This Row],[Pedido]]</f>
        <v>#VALUE!</v>
      </c>
      <c r="AH37" s="2" t="e">
        <f>IF(AND(ARTICULOS_OSLE[[#This Row],[FechaVenc]]=0,ARTICULOS_OSLE[[#This Row],[DiasVenc]]=0),"",ARTICULOS_OSLE[[#This Row],[FechaVenc]]-ARTICULOS_OSLE[[#This Row],[DiasVenc]])</f>
        <v>#VALUE!</v>
      </c>
      <c r="AO37" s="30" t="s">
        <v>8689</v>
      </c>
    </row>
    <row r="38" spans="1:41" ht="15.75" hidden="1" x14ac:dyDescent="0.25">
      <c r="A38" s="1" t="s">
        <v>10046</v>
      </c>
      <c r="B38" s="30">
        <v>1287901</v>
      </c>
      <c r="C38" t="str">
        <f t="shared" si="0"/>
        <v>ALM77000067</v>
      </c>
      <c r="D38" t="s">
        <v>8689</v>
      </c>
      <c r="E38" s="1" t="s">
        <v>10047</v>
      </c>
      <c r="F38" s="61">
        <f>VLOOKUP(ARTICULOS_GOLOMAX[[#This Row],[CodigoProveedor]],'PRECIOS GOLOMAX'!$A$1:$C$10000,3,FALSE)</f>
        <v>679.18</v>
      </c>
      <c r="G38" s="3">
        <v>0</v>
      </c>
      <c r="H38" s="3">
        <v>0</v>
      </c>
      <c r="I38">
        <v>1</v>
      </c>
      <c r="J38">
        <v>1</v>
      </c>
      <c r="K38" s="4"/>
      <c r="L38" s="65">
        <f>((ARTICULOS_GOLOMAX[[#This Row],[P. Compra]]*(1+ARTICULOS_GOLOMAX[[#This Row],[IVA]]%))/ARTICULOS_GOLOMAX[[#This Row],[UnidFact]])+ARTICULOS_GOLOMAX[[#This Row],[CostoFlete]]</f>
        <v>679.18</v>
      </c>
      <c r="M38">
        <v>30</v>
      </c>
      <c r="N38" s="63">
        <f t="shared" si="1"/>
        <v>950</v>
      </c>
      <c r="O38" s="3">
        <f>MROUND((ARTICULOS_GOLOMAX[[#This Row],[Precio]]/0.6),50)</f>
        <v>1600</v>
      </c>
      <c r="P38" t="s">
        <v>8693</v>
      </c>
      <c r="Q38">
        <v>3</v>
      </c>
      <c r="R38" s="42">
        <v>6</v>
      </c>
      <c r="S38" t="s">
        <v>17</v>
      </c>
      <c r="T38" t="s">
        <v>4</v>
      </c>
      <c r="U38" t="s">
        <v>60</v>
      </c>
      <c r="V38" t="s">
        <v>10048</v>
      </c>
      <c r="W38" t="s">
        <v>8692</v>
      </c>
      <c r="X38">
        <v>1</v>
      </c>
      <c r="Y38">
        <v>0</v>
      </c>
      <c r="AB38" s="80" t="e">
        <f>ARTICULOS_OSLE[[#This Row],[Costo]]*ARTICULOS_OSLE[[#This Row],[Pedido]]</f>
        <v>#VALUE!</v>
      </c>
      <c r="AH38" s="2" t="e">
        <f>IF(AND(ARTICULOS_OSLE[[#This Row],[FechaVenc]]=0,ARTICULOS_OSLE[[#This Row],[DiasVenc]]=0),"",ARTICULOS_OSLE[[#This Row],[FechaVenc]]-ARTICULOS_OSLE[[#This Row],[DiasVenc]])</f>
        <v>#VALUE!</v>
      </c>
      <c r="AO38" s="30" t="s">
        <v>8689</v>
      </c>
    </row>
    <row r="39" spans="1:41" ht="15.75" hidden="1" x14ac:dyDescent="0.25">
      <c r="A39" s="1" t="s">
        <v>10049</v>
      </c>
      <c r="B39" s="30">
        <v>1287904</v>
      </c>
      <c r="C39" t="str">
        <f t="shared" si="0"/>
        <v>ALM77000326</v>
      </c>
      <c r="D39" t="s">
        <v>8689</v>
      </c>
      <c r="E39" s="1" t="s">
        <v>10050</v>
      </c>
      <c r="F39" s="61">
        <f>VLOOKUP(ARTICULOS_GOLOMAX[[#This Row],[CodigoProveedor]],'PRECIOS GOLOMAX'!$A$1:$C$10000,3,FALSE)</f>
        <v>1957.63</v>
      </c>
      <c r="G39" s="3">
        <v>0</v>
      </c>
      <c r="H39" s="3">
        <v>0</v>
      </c>
      <c r="I39">
        <v>6</v>
      </c>
      <c r="J39">
        <v>6</v>
      </c>
      <c r="K39" s="4"/>
      <c r="L39" s="65">
        <f>((ARTICULOS_GOLOMAX[[#This Row],[P. Compra]]*(1+ARTICULOS_GOLOMAX[[#This Row],[IVA]]%))/ARTICULOS_GOLOMAX[[#This Row],[UnidFact]])+ARTICULOS_GOLOMAX[[#This Row],[CostoFlete]]</f>
        <v>326.2716666666667</v>
      </c>
      <c r="M39">
        <v>30</v>
      </c>
      <c r="N39" s="63">
        <f t="shared" si="1"/>
        <v>450</v>
      </c>
      <c r="O39" s="3">
        <f>MROUND((ARTICULOS_GOLOMAX[[#This Row],[Precio]]/0.6),50)</f>
        <v>750</v>
      </c>
      <c r="P39" t="s">
        <v>8693</v>
      </c>
      <c r="Q39">
        <v>2</v>
      </c>
      <c r="R39" s="3">
        <f>ARTICULOS_GOLOMAX[[#This Row],[Bulto]]+ARTICULOS_GOLOMAX[[#This Row],[Minimo]]</f>
        <v>8</v>
      </c>
      <c r="S39" t="s">
        <v>17</v>
      </c>
      <c r="T39" t="s">
        <v>4</v>
      </c>
      <c r="U39" t="s">
        <v>60</v>
      </c>
      <c r="V39" t="s">
        <v>10048</v>
      </c>
      <c r="W39" t="s">
        <v>8692</v>
      </c>
      <c r="X39">
        <v>1</v>
      </c>
      <c r="Y39">
        <v>0</v>
      </c>
      <c r="AB39" s="80" t="e">
        <f>ARTICULOS_OSLE[[#This Row],[Costo]]*ARTICULOS_OSLE[[#This Row],[Pedido]]</f>
        <v>#VALUE!</v>
      </c>
      <c r="AH39" s="2" t="e">
        <f>IF(AND(ARTICULOS_OSLE[[#This Row],[FechaVenc]]=0,ARTICULOS_OSLE[[#This Row],[DiasVenc]]=0),"",ARTICULOS_OSLE[[#This Row],[FechaVenc]]-ARTICULOS_OSLE[[#This Row],[DiasVenc]])</f>
        <v>#VALUE!</v>
      </c>
      <c r="AO39" s="30" t="s">
        <v>8689</v>
      </c>
    </row>
    <row r="40" spans="1:41" ht="15.75" hidden="1" x14ac:dyDescent="0.25">
      <c r="A40" s="1" t="s">
        <v>10079</v>
      </c>
      <c r="B40" s="30">
        <v>1186328</v>
      </c>
      <c r="C40" t="str">
        <f t="shared" si="0"/>
        <v>ALM69802650</v>
      </c>
      <c r="D40" t="s">
        <v>8689</v>
      </c>
      <c r="E40" s="1" t="s">
        <v>10080</v>
      </c>
      <c r="F40" s="61">
        <f>VLOOKUP(ARTICULOS_GOLOMAX[[#This Row],[CodigoProveedor]],'PRECIOS GOLOMAX'!$A$1:$C$10000,3,FALSE)</f>
        <v>1194.48</v>
      </c>
      <c r="G40" s="3">
        <v>0</v>
      </c>
      <c r="H40" s="3">
        <v>0</v>
      </c>
      <c r="I40">
        <v>1</v>
      </c>
      <c r="J40">
        <v>1</v>
      </c>
      <c r="K40" s="4"/>
      <c r="L40" s="65">
        <f>((ARTICULOS_GOLOMAX[[#This Row],[P. Compra]]*(1+ARTICULOS_GOLOMAX[[#This Row],[IVA]]%))/ARTICULOS_GOLOMAX[[#This Row],[UnidFact]])+ARTICULOS_GOLOMAX[[#This Row],[CostoFlete]]</f>
        <v>1194.48</v>
      </c>
      <c r="M40">
        <v>30</v>
      </c>
      <c r="N40" s="63">
        <f t="shared" si="1"/>
        <v>1700</v>
      </c>
      <c r="O40" s="3">
        <f>MROUND((ARTICULOS_GOLOMAX[[#This Row],[Precio]]/0.6),50)</f>
        <v>2850</v>
      </c>
      <c r="P40" t="s">
        <v>8693</v>
      </c>
      <c r="Q40">
        <v>1</v>
      </c>
      <c r="R40" s="42">
        <v>3</v>
      </c>
      <c r="S40" t="s">
        <v>17</v>
      </c>
      <c r="T40" t="s">
        <v>4</v>
      </c>
      <c r="U40" t="s">
        <v>65</v>
      </c>
      <c r="V40" t="s">
        <v>10081</v>
      </c>
      <c r="W40" t="s">
        <v>8692</v>
      </c>
      <c r="X40">
        <v>1</v>
      </c>
      <c r="Y40">
        <v>1</v>
      </c>
      <c r="AB40" s="80" t="e">
        <f>ARTICULOS_OSLE[[#This Row],[Costo]]*ARTICULOS_OSLE[[#This Row],[Pedido]]</f>
        <v>#VALUE!</v>
      </c>
      <c r="AH40" s="2" t="e">
        <f>IF(AND(ARTICULOS_OSLE[[#This Row],[FechaVenc]]=0,ARTICULOS_OSLE[[#This Row],[DiasVenc]]=0),"",ARTICULOS_OSLE[[#This Row],[FechaVenc]]-ARTICULOS_OSLE[[#This Row],[DiasVenc]])</f>
        <v>#VALUE!</v>
      </c>
      <c r="AO40" s="30" t="s">
        <v>8689</v>
      </c>
    </row>
    <row r="41" spans="1:41" ht="15.75" hidden="1" x14ac:dyDescent="0.25">
      <c r="A41" s="1" t="s">
        <v>10082</v>
      </c>
      <c r="B41" s="30">
        <v>1186354</v>
      </c>
      <c r="C41" t="str">
        <f t="shared" si="0"/>
        <v>ALM69802681</v>
      </c>
      <c r="D41" t="s">
        <v>8689</v>
      </c>
      <c r="E41" s="1" t="s">
        <v>10083</v>
      </c>
      <c r="F41" s="61">
        <f>VLOOKUP(ARTICULOS_GOLOMAX[[#This Row],[CodigoProveedor]],'PRECIOS GOLOMAX'!$A$1:$C$10000,3,FALSE)</f>
        <v>1194.48</v>
      </c>
      <c r="G41" s="3">
        <v>0</v>
      </c>
      <c r="H41" s="3">
        <v>0</v>
      </c>
      <c r="I41">
        <v>1</v>
      </c>
      <c r="J41">
        <v>1</v>
      </c>
      <c r="K41" s="4"/>
      <c r="L41" s="65">
        <f>((ARTICULOS_GOLOMAX[[#This Row],[P. Compra]]*(1+ARTICULOS_GOLOMAX[[#This Row],[IVA]]%))/ARTICULOS_GOLOMAX[[#This Row],[UnidFact]])+ARTICULOS_GOLOMAX[[#This Row],[CostoFlete]]</f>
        <v>1194.48</v>
      </c>
      <c r="M41">
        <v>30</v>
      </c>
      <c r="N41" s="63">
        <f t="shared" si="1"/>
        <v>1700</v>
      </c>
      <c r="O41" s="3">
        <f>MROUND((ARTICULOS_GOLOMAX[[#This Row],[Precio]]/0.6),50)</f>
        <v>2850</v>
      </c>
      <c r="P41" t="s">
        <v>8693</v>
      </c>
      <c r="Q41">
        <v>1</v>
      </c>
      <c r="R41" s="42">
        <v>3</v>
      </c>
      <c r="S41" t="s">
        <v>17</v>
      </c>
      <c r="T41" t="s">
        <v>4</v>
      </c>
      <c r="U41" t="s">
        <v>65</v>
      </c>
      <c r="V41" t="s">
        <v>10081</v>
      </c>
      <c r="W41" t="s">
        <v>8692</v>
      </c>
      <c r="X41">
        <v>1</v>
      </c>
      <c r="Y41">
        <v>1</v>
      </c>
      <c r="AB41" s="80" t="e">
        <f>ARTICULOS_OSLE[[#This Row],[Costo]]*ARTICULOS_OSLE[[#This Row],[Pedido]]</f>
        <v>#VALUE!</v>
      </c>
      <c r="AH41" s="2" t="e">
        <f>IF(AND(ARTICULOS_OSLE[[#This Row],[FechaVenc]]=0,ARTICULOS_OSLE[[#This Row],[DiasVenc]]=0),"",ARTICULOS_OSLE[[#This Row],[FechaVenc]]-ARTICULOS_OSLE[[#This Row],[DiasVenc]])</f>
        <v>#VALUE!</v>
      </c>
      <c r="AO41" s="30" t="s">
        <v>8689</v>
      </c>
    </row>
    <row r="42" spans="1:41" ht="15.75" hidden="1" x14ac:dyDescent="0.25">
      <c r="A42" s="24" t="s">
        <v>11800</v>
      </c>
      <c r="B42" s="30">
        <v>1186363</v>
      </c>
      <c r="C42" t="str">
        <f t="shared" si="0"/>
        <v>ALM69802667</v>
      </c>
      <c r="D42" t="s">
        <v>8689</v>
      </c>
      <c r="E42" s="24" t="s">
        <v>11801</v>
      </c>
      <c r="F42" s="61">
        <f>VLOOKUP(ARTICULOS_GOLOMAX[[#This Row],[CodigoProveedor]],'PRECIOS GOLOMAX'!$A$1:$C$10000,3,FALSE)</f>
        <v>1194.48</v>
      </c>
      <c r="G42" s="3">
        <v>0</v>
      </c>
      <c r="H42" s="3">
        <v>0</v>
      </c>
      <c r="I42">
        <v>1</v>
      </c>
      <c r="J42">
        <v>1</v>
      </c>
      <c r="K42" s="4"/>
      <c r="L42" s="65">
        <f>((ARTICULOS_GOLOMAX[[#This Row],[P. Compra]]*(1+ARTICULOS_GOLOMAX[[#This Row],[IVA]]%))/ARTICULOS_GOLOMAX[[#This Row],[UnidFact]])+ARTICULOS_GOLOMAX[[#This Row],[CostoFlete]]</f>
        <v>1194.48</v>
      </c>
      <c r="M42">
        <v>30</v>
      </c>
      <c r="N42" s="63">
        <f t="shared" si="1"/>
        <v>1700</v>
      </c>
      <c r="O42" s="3">
        <f>MROUND((ARTICULOS_GOLOMAX[[#This Row],[Precio]]/0.6),50)</f>
        <v>2850</v>
      </c>
      <c r="P42" t="s">
        <v>8693</v>
      </c>
      <c r="Q42">
        <v>1</v>
      </c>
      <c r="R42" s="42">
        <v>3</v>
      </c>
      <c r="S42" t="s">
        <v>17</v>
      </c>
      <c r="T42" t="s">
        <v>4</v>
      </c>
      <c r="U42" t="s">
        <v>65</v>
      </c>
      <c r="V42" t="s">
        <v>10081</v>
      </c>
      <c r="W42" t="s">
        <v>8692</v>
      </c>
      <c r="X42">
        <v>1</v>
      </c>
      <c r="Y42">
        <v>2</v>
      </c>
      <c r="AB42" s="80" t="e">
        <f>ARTICULOS_OSLE[[#This Row],[Costo]]*ARTICULOS_OSLE[[#This Row],[Pedido]]</f>
        <v>#VALUE!</v>
      </c>
      <c r="AH42" s="2" t="e">
        <f>IF(AND(ARTICULOS_OSLE[[#This Row],[FechaVenc]]=0,ARTICULOS_OSLE[[#This Row],[DiasVenc]]=0),"",ARTICULOS_OSLE[[#This Row],[FechaVenc]]-ARTICULOS_OSLE[[#This Row],[DiasVenc]])</f>
        <v>#VALUE!</v>
      </c>
      <c r="AO42" s="30" t="s">
        <v>8689</v>
      </c>
    </row>
    <row r="43" spans="1:41" ht="15.75" hidden="1" x14ac:dyDescent="0.25">
      <c r="A43" s="1" t="s">
        <v>10084</v>
      </c>
      <c r="B43" s="30">
        <v>1186235</v>
      </c>
      <c r="C43" t="str">
        <f t="shared" si="0"/>
        <v>ALM69802698</v>
      </c>
      <c r="D43" t="s">
        <v>8689</v>
      </c>
      <c r="E43" s="1" t="s">
        <v>10085</v>
      </c>
      <c r="F43" s="61">
        <f>VLOOKUP(ARTICULOS_GOLOMAX[[#This Row],[CodigoProveedor]],'PRECIOS GOLOMAX'!$A$1:$C$10000,3,FALSE)</f>
        <v>2884.32</v>
      </c>
      <c r="G43" s="3">
        <v>0</v>
      </c>
      <c r="H43" s="3">
        <v>0</v>
      </c>
      <c r="I43">
        <v>1</v>
      </c>
      <c r="J43">
        <v>1</v>
      </c>
      <c r="K43" s="4"/>
      <c r="L43" s="65">
        <f>((ARTICULOS_GOLOMAX[[#This Row],[P. Compra]]*(1+ARTICULOS_GOLOMAX[[#This Row],[IVA]]%))/ARTICULOS_GOLOMAX[[#This Row],[UnidFact]])+ARTICULOS_GOLOMAX[[#This Row],[CostoFlete]]</f>
        <v>2884.32</v>
      </c>
      <c r="M43">
        <v>30</v>
      </c>
      <c r="N43" s="63">
        <f t="shared" si="1"/>
        <v>4100</v>
      </c>
      <c r="O43" s="3">
        <f>MROUND((ARTICULOS_GOLOMAX[[#This Row],[Precio]]/0.6),50)</f>
        <v>6850</v>
      </c>
      <c r="P43" t="s">
        <v>8693</v>
      </c>
      <c r="Q43">
        <v>1</v>
      </c>
      <c r="R43" s="42">
        <v>3</v>
      </c>
      <c r="S43" t="s">
        <v>17</v>
      </c>
      <c r="T43" t="s">
        <v>4</v>
      </c>
      <c r="U43" t="s">
        <v>65</v>
      </c>
      <c r="V43" t="s">
        <v>10081</v>
      </c>
      <c r="W43" t="s">
        <v>8692</v>
      </c>
      <c r="X43">
        <v>1</v>
      </c>
      <c r="Y43">
        <v>1</v>
      </c>
      <c r="AB43" s="80" t="e">
        <f>ARTICULOS_OSLE[[#This Row],[Costo]]*ARTICULOS_OSLE[[#This Row],[Pedido]]</f>
        <v>#VALUE!</v>
      </c>
      <c r="AH43" s="2" t="e">
        <f>IF(AND(ARTICULOS_OSLE[[#This Row],[FechaVenc]]=0,ARTICULOS_OSLE[[#This Row],[DiasVenc]]=0),"",ARTICULOS_OSLE[[#This Row],[FechaVenc]]-ARTICULOS_OSLE[[#This Row],[DiasVenc]])</f>
        <v>#VALUE!</v>
      </c>
      <c r="AO43" s="30" t="s">
        <v>8689</v>
      </c>
    </row>
    <row r="44" spans="1:41" ht="15.75" hidden="1" x14ac:dyDescent="0.25">
      <c r="A44" s="1" t="s">
        <v>10231</v>
      </c>
      <c r="B44">
        <v>2181626</v>
      </c>
      <c r="C44" t="str">
        <f t="shared" si="0"/>
        <v>ALM35601204</v>
      </c>
      <c r="D44" t="s">
        <v>8689</v>
      </c>
      <c r="E44" s="1" t="s">
        <v>10232</v>
      </c>
      <c r="F44" s="61">
        <f>VLOOKUP(ARTICULOS_GOLOMAX[[#This Row],[CodigoProveedor]],'PRECIOS GOLOMAX'!$A$1:$C$10000,3,FALSE)</f>
        <v>1062.53</v>
      </c>
      <c r="G44" s="3">
        <v>0</v>
      </c>
      <c r="H44" s="3">
        <v>0</v>
      </c>
      <c r="I44">
        <v>1</v>
      </c>
      <c r="J44">
        <v>1</v>
      </c>
      <c r="K44" s="4"/>
      <c r="L44" s="65">
        <f>((ARTICULOS_GOLOMAX[[#This Row],[P. Compra]]*(1+ARTICULOS_GOLOMAX[[#This Row],[IVA]]%))/ARTICULOS_GOLOMAX[[#This Row],[UnidFact]])+ARTICULOS_GOLOMAX[[#This Row],[CostoFlete]]</f>
        <v>1062.53</v>
      </c>
      <c r="M44">
        <v>30</v>
      </c>
      <c r="N44" s="63">
        <f t="shared" si="1"/>
        <v>1500</v>
      </c>
      <c r="O44" s="3">
        <f>MROUND((ARTICULOS_GOLOMAX[[#This Row],[Precio]]/0.6),50)</f>
        <v>2500</v>
      </c>
      <c r="P44" t="s">
        <v>8693</v>
      </c>
      <c r="Q44">
        <v>2</v>
      </c>
      <c r="R44" s="42">
        <v>6</v>
      </c>
      <c r="S44" t="s">
        <v>17</v>
      </c>
      <c r="T44" t="s">
        <v>4</v>
      </c>
      <c r="U44" t="s">
        <v>98</v>
      </c>
      <c r="V44" t="s">
        <v>9972</v>
      </c>
      <c r="W44" t="s">
        <v>8692</v>
      </c>
      <c r="X44">
        <v>1</v>
      </c>
      <c r="Y44">
        <v>0</v>
      </c>
      <c r="AB44" s="80" t="e">
        <f>ARTICULOS_OSLE[[#This Row],[Costo]]*ARTICULOS_OSLE[[#This Row],[Pedido]]</f>
        <v>#VALUE!</v>
      </c>
      <c r="AH44" s="2" t="e">
        <f>IF(AND(ARTICULOS_OSLE[[#This Row],[FechaVenc]]=0,ARTICULOS_OSLE[[#This Row],[DiasVenc]]=0),"",ARTICULOS_OSLE[[#This Row],[FechaVenc]]-ARTICULOS_OSLE[[#This Row],[DiasVenc]])</f>
        <v>#VALUE!</v>
      </c>
      <c r="AO44" s="30" t="s">
        <v>8689</v>
      </c>
    </row>
    <row r="45" spans="1:41" ht="15.75" hidden="1" x14ac:dyDescent="0.25">
      <c r="A45" s="1" t="s">
        <v>10233</v>
      </c>
      <c r="B45">
        <v>2181667</v>
      </c>
      <c r="C45" t="str">
        <f t="shared" si="0"/>
        <v>ALM35601181</v>
      </c>
      <c r="D45" t="s">
        <v>8689</v>
      </c>
      <c r="E45" s="1" t="s">
        <v>10234</v>
      </c>
      <c r="F45" s="61">
        <f>VLOOKUP(ARTICULOS_GOLOMAX[[#This Row],[CodigoProveedor]],'PRECIOS GOLOMAX'!$A$1:$C$10000,3,FALSE)</f>
        <v>1062.53</v>
      </c>
      <c r="G45" s="3">
        <v>0</v>
      </c>
      <c r="H45" s="3">
        <v>0</v>
      </c>
      <c r="I45">
        <v>1</v>
      </c>
      <c r="J45">
        <v>1</v>
      </c>
      <c r="K45" s="4"/>
      <c r="L45" s="65">
        <f>((ARTICULOS_GOLOMAX[[#This Row],[P. Compra]]*(1+ARTICULOS_GOLOMAX[[#This Row],[IVA]]%))/ARTICULOS_GOLOMAX[[#This Row],[UnidFact]])+ARTICULOS_GOLOMAX[[#This Row],[CostoFlete]]</f>
        <v>1062.53</v>
      </c>
      <c r="M45">
        <v>30</v>
      </c>
      <c r="N45" s="63">
        <f t="shared" si="1"/>
        <v>1500</v>
      </c>
      <c r="O45" s="3">
        <f>MROUND((ARTICULOS_GOLOMAX[[#This Row],[Precio]]/0.6),50)</f>
        <v>2500</v>
      </c>
      <c r="P45" t="s">
        <v>8693</v>
      </c>
      <c r="Q45">
        <v>2</v>
      </c>
      <c r="R45" s="42">
        <v>6</v>
      </c>
      <c r="S45" t="s">
        <v>17</v>
      </c>
      <c r="T45" t="s">
        <v>4</v>
      </c>
      <c r="U45" t="s">
        <v>98</v>
      </c>
      <c r="V45" t="s">
        <v>9972</v>
      </c>
      <c r="W45" t="s">
        <v>8692</v>
      </c>
      <c r="X45">
        <v>1</v>
      </c>
      <c r="Y45">
        <v>0</v>
      </c>
      <c r="AB45" s="80" t="e">
        <f>ARTICULOS_OSLE[[#This Row],[Costo]]*ARTICULOS_OSLE[[#This Row],[Pedido]]</f>
        <v>#VALUE!</v>
      </c>
      <c r="AH45" s="2" t="e">
        <f>IF(AND(ARTICULOS_OSLE[[#This Row],[FechaVenc]]=0,ARTICULOS_OSLE[[#This Row],[DiasVenc]]=0),"",ARTICULOS_OSLE[[#This Row],[FechaVenc]]-ARTICULOS_OSLE[[#This Row],[DiasVenc]])</f>
        <v>#VALUE!</v>
      </c>
      <c r="AO45" s="30" t="s">
        <v>8689</v>
      </c>
    </row>
    <row r="46" spans="1:41" ht="15.75" hidden="1" x14ac:dyDescent="0.25">
      <c r="A46" s="1" t="s">
        <v>10235</v>
      </c>
      <c r="B46">
        <v>2181600</v>
      </c>
      <c r="C46" t="str">
        <f t="shared" si="0"/>
        <v>ALM35601167</v>
      </c>
      <c r="D46" t="s">
        <v>8689</v>
      </c>
      <c r="E46" s="1" t="s">
        <v>10236</v>
      </c>
      <c r="F46" s="61">
        <f>VLOOKUP(ARTICULOS_GOLOMAX[[#This Row],[CodigoProveedor]],'PRECIOS GOLOMAX'!$A$1:$C$10000,3,FALSE)</f>
        <v>1062.53</v>
      </c>
      <c r="G46" s="3">
        <v>0</v>
      </c>
      <c r="H46" s="3">
        <v>0</v>
      </c>
      <c r="I46">
        <v>1</v>
      </c>
      <c r="J46">
        <v>1</v>
      </c>
      <c r="K46" s="4"/>
      <c r="L46" s="65">
        <f>((ARTICULOS_GOLOMAX[[#This Row],[P. Compra]]*(1+ARTICULOS_GOLOMAX[[#This Row],[IVA]]%))/ARTICULOS_GOLOMAX[[#This Row],[UnidFact]])+ARTICULOS_GOLOMAX[[#This Row],[CostoFlete]]</f>
        <v>1062.53</v>
      </c>
      <c r="M46">
        <v>30</v>
      </c>
      <c r="N46" s="63">
        <f t="shared" si="1"/>
        <v>1500</v>
      </c>
      <c r="O46" s="3">
        <f>MROUND((ARTICULOS_GOLOMAX[[#This Row],[Precio]]/0.6),50)</f>
        <v>2500</v>
      </c>
      <c r="P46" t="s">
        <v>8693</v>
      </c>
      <c r="Q46">
        <v>2</v>
      </c>
      <c r="R46" s="42">
        <v>6</v>
      </c>
      <c r="S46" t="s">
        <v>17</v>
      </c>
      <c r="T46" t="s">
        <v>4</v>
      </c>
      <c r="U46" t="s">
        <v>98</v>
      </c>
      <c r="V46" t="s">
        <v>9972</v>
      </c>
      <c r="W46" t="s">
        <v>8692</v>
      </c>
      <c r="X46">
        <v>1</v>
      </c>
      <c r="Y46">
        <v>0</v>
      </c>
      <c r="AB46" s="80" t="e">
        <f>ARTICULOS_OSLE[[#This Row],[Costo]]*ARTICULOS_OSLE[[#This Row],[Pedido]]</f>
        <v>#VALUE!</v>
      </c>
      <c r="AH46" s="2" t="e">
        <f>IF(AND(ARTICULOS_OSLE[[#This Row],[FechaVenc]]=0,ARTICULOS_OSLE[[#This Row],[DiasVenc]]=0),"",ARTICULOS_OSLE[[#This Row],[FechaVenc]]-ARTICULOS_OSLE[[#This Row],[DiasVenc]])</f>
        <v>#VALUE!</v>
      </c>
      <c r="AO46" s="30" t="s">
        <v>8689</v>
      </c>
    </row>
    <row r="47" spans="1:41" ht="15.75" hidden="1" x14ac:dyDescent="0.25">
      <c r="A47" s="1" t="s">
        <v>10237</v>
      </c>
      <c r="B47">
        <v>2181624</v>
      </c>
      <c r="C47" t="str">
        <f t="shared" si="0"/>
        <v>ALM73560117</v>
      </c>
      <c r="D47" t="s">
        <v>8689</v>
      </c>
      <c r="E47" s="1" t="s">
        <v>10238</v>
      </c>
      <c r="F47" s="61">
        <f>VLOOKUP(ARTICULOS_GOLOMAX[[#This Row],[CodigoProveedor]],'PRECIOS GOLOMAX'!$A$1:$C$10000,3,FALSE)</f>
        <v>1062.53</v>
      </c>
      <c r="G47" s="3">
        <v>0</v>
      </c>
      <c r="H47" s="3">
        <v>0</v>
      </c>
      <c r="I47">
        <v>1</v>
      </c>
      <c r="J47">
        <v>1</v>
      </c>
      <c r="K47" s="31"/>
      <c r="L47" s="65">
        <f>((ARTICULOS_GOLOMAX[[#This Row],[P. Compra]]*(1+ARTICULOS_GOLOMAX[[#This Row],[IVA]]%))/ARTICULOS_GOLOMAX[[#This Row],[UnidFact]])+ARTICULOS_GOLOMAX[[#This Row],[CostoFlete]]</f>
        <v>1062.53</v>
      </c>
      <c r="M47">
        <v>30</v>
      </c>
      <c r="N47" s="63">
        <f t="shared" si="1"/>
        <v>1500</v>
      </c>
      <c r="O47" s="3">
        <f>MROUND((ARTICULOS_GOLOMAX[[#This Row],[Precio]]/0.6),50)</f>
        <v>2500</v>
      </c>
      <c r="P47" t="s">
        <v>8693</v>
      </c>
      <c r="Q47">
        <v>2</v>
      </c>
      <c r="R47" s="42">
        <v>6</v>
      </c>
      <c r="S47" t="s">
        <v>17</v>
      </c>
      <c r="T47" t="s">
        <v>4</v>
      </c>
      <c r="U47" t="s">
        <v>98</v>
      </c>
      <c r="V47" t="s">
        <v>9972</v>
      </c>
      <c r="W47" t="s">
        <v>8692</v>
      </c>
      <c r="X47">
        <v>1</v>
      </c>
      <c r="Y47">
        <v>0</v>
      </c>
      <c r="AB47" s="80" t="e">
        <f>ARTICULOS_OSLE[[#This Row],[Costo]]*ARTICULOS_OSLE[[#This Row],[Pedido]]</f>
        <v>#VALUE!</v>
      </c>
      <c r="AH47" s="2" t="e">
        <f>IF(AND(ARTICULOS_OSLE[[#This Row],[FechaVenc]]=0,ARTICULOS_OSLE[[#This Row],[DiasVenc]]=0),"",ARTICULOS_OSLE[[#This Row],[FechaVenc]]-ARTICULOS_OSLE[[#This Row],[DiasVenc]])</f>
        <v>#VALUE!</v>
      </c>
      <c r="AO47" s="30" t="s">
        <v>8689</v>
      </c>
    </row>
    <row r="48" spans="1:41" ht="15.75" hidden="1" x14ac:dyDescent="0.25">
      <c r="A48" s="1" t="s">
        <v>10239</v>
      </c>
      <c r="B48">
        <v>2181635</v>
      </c>
      <c r="C48" t="str">
        <f t="shared" si="0"/>
        <v>ALM35601174</v>
      </c>
      <c r="D48" t="s">
        <v>8689</v>
      </c>
      <c r="E48" s="1" t="s">
        <v>10240</v>
      </c>
      <c r="F48" s="61">
        <f>VLOOKUP(ARTICULOS_GOLOMAX[[#This Row],[CodigoProveedor]],'PRECIOS GOLOMAX'!$A$1:$C$10000,3,FALSE)</f>
        <v>1062.53</v>
      </c>
      <c r="G48" s="3">
        <v>0</v>
      </c>
      <c r="H48" s="3">
        <v>0</v>
      </c>
      <c r="I48">
        <v>1</v>
      </c>
      <c r="J48">
        <v>1</v>
      </c>
      <c r="K48" s="4"/>
      <c r="L48" s="65">
        <f>((ARTICULOS_GOLOMAX[[#This Row],[P. Compra]]*(1+ARTICULOS_GOLOMAX[[#This Row],[IVA]]%))/ARTICULOS_GOLOMAX[[#This Row],[UnidFact]])+ARTICULOS_GOLOMAX[[#This Row],[CostoFlete]]</f>
        <v>1062.53</v>
      </c>
      <c r="M48">
        <v>30</v>
      </c>
      <c r="N48" s="63">
        <f t="shared" si="1"/>
        <v>1500</v>
      </c>
      <c r="O48" s="3">
        <f>MROUND((ARTICULOS_GOLOMAX[[#This Row],[Precio]]/0.6),50)</f>
        <v>2500</v>
      </c>
      <c r="P48" t="s">
        <v>8693</v>
      </c>
      <c r="Q48">
        <v>2</v>
      </c>
      <c r="R48" s="42">
        <v>6</v>
      </c>
      <c r="S48" t="s">
        <v>17</v>
      </c>
      <c r="T48" t="s">
        <v>4</v>
      </c>
      <c r="U48" t="s">
        <v>98</v>
      </c>
      <c r="V48" t="s">
        <v>9972</v>
      </c>
      <c r="W48" t="s">
        <v>8692</v>
      </c>
      <c r="X48">
        <v>1</v>
      </c>
      <c r="Y48">
        <v>0</v>
      </c>
      <c r="AB48" s="80" t="e">
        <f>ARTICULOS_OSLE[[#This Row],[Costo]]*ARTICULOS_OSLE[[#This Row],[Pedido]]</f>
        <v>#VALUE!</v>
      </c>
      <c r="AH48" s="2" t="e">
        <f>IF(AND(ARTICULOS_OSLE[[#This Row],[FechaVenc]]=0,ARTICULOS_OSLE[[#This Row],[DiasVenc]]=0),"",ARTICULOS_OSLE[[#This Row],[FechaVenc]]-ARTICULOS_OSLE[[#This Row],[DiasVenc]])</f>
        <v>#VALUE!</v>
      </c>
      <c r="AO48" s="30" t="s">
        <v>8689</v>
      </c>
    </row>
    <row r="49" spans="1:41" ht="15.75" hidden="1" x14ac:dyDescent="0.25">
      <c r="A49" s="1" t="s">
        <v>10241</v>
      </c>
      <c r="B49">
        <v>1428102</v>
      </c>
      <c r="C49" t="str">
        <f t="shared" si="0"/>
        <v>ALM64773711</v>
      </c>
      <c r="D49" t="s">
        <v>8689</v>
      </c>
      <c r="E49" s="1" t="s">
        <v>10242</v>
      </c>
      <c r="F49" s="61">
        <f>VLOOKUP(ARTICULOS_GOLOMAX[[#This Row],[CodigoProveedor]],'PRECIOS GOLOMAX'!$A$1:$C$10000,3,FALSE)</f>
        <v>632.21</v>
      </c>
      <c r="G49" s="3">
        <v>0</v>
      </c>
      <c r="H49" s="3">
        <v>0</v>
      </c>
      <c r="I49">
        <v>1</v>
      </c>
      <c r="J49">
        <v>1</v>
      </c>
      <c r="K49" s="4"/>
      <c r="L49" s="65">
        <f>((ARTICULOS_GOLOMAX[[#This Row],[P. Compra]]*(1+ARTICULOS_GOLOMAX[[#This Row],[IVA]]%))/ARTICULOS_GOLOMAX[[#This Row],[UnidFact]])+ARTICULOS_GOLOMAX[[#This Row],[CostoFlete]]</f>
        <v>632.21</v>
      </c>
      <c r="M49">
        <v>30</v>
      </c>
      <c r="N49" s="63">
        <f t="shared" si="1"/>
        <v>900</v>
      </c>
      <c r="O49" s="3">
        <f>MROUND((ARTICULOS_GOLOMAX[[#This Row],[Precio]]/0.6),50)</f>
        <v>1500</v>
      </c>
      <c r="P49" t="s">
        <v>8693</v>
      </c>
      <c r="Q49">
        <v>2</v>
      </c>
      <c r="R49" s="42">
        <v>6</v>
      </c>
      <c r="S49" t="s">
        <v>17</v>
      </c>
      <c r="T49" t="s">
        <v>4</v>
      </c>
      <c r="U49" t="s">
        <v>102</v>
      </c>
      <c r="V49" t="s">
        <v>10243</v>
      </c>
      <c r="W49" t="s">
        <v>8692</v>
      </c>
      <c r="X49">
        <v>1</v>
      </c>
      <c r="Y49">
        <v>2</v>
      </c>
      <c r="AB49" s="80" t="e">
        <f>ARTICULOS_OSLE[[#This Row],[Costo]]*ARTICULOS_OSLE[[#This Row],[Pedido]]</f>
        <v>#VALUE!</v>
      </c>
      <c r="AH49" s="2" t="e">
        <f>IF(AND(ARTICULOS_OSLE[[#This Row],[FechaVenc]]=0,ARTICULOS_OSLE[[#This Row],[DiasVenc]]=0),"",ARTICULOS_OSLE[[#This Row],[FechaVenc]]-ARTICULOS_OSLE[[#This Row],[DiasVenc]])</f>
        <v>#VALUE!</v>
      </c>
      <c r="AO49" s="30" t="s">
        <v>8689</v>
      </c>
    </row>
    <row r="50" spans="1:41" ht="15.75" hidden="1" x14ac:dyDescent="0.25">
      <c r="A50" s="1" t="s">
        <v>10244</v>
      </c>
      <c r="B50">
        <v>1428104</v>
      </c>
      <c r="C50" t="str">
        <f t="shared" si="0"/>
        <v>ALM12916282</v>
      </c>
      <c r="D50" t="s">
        <v>8689</v>
      </c>
      <c r="E50" s="1" t="s">
        <v>10245</v>
      </c>
      <c r="F50" s="61">
        <f>VLOOKUP(ARTICULOS_GOLOMAX[[#This Row],[CodigoProveedor]],'PRECIOS GOLOMAX'!$A$1:$C$10000,3,FALSE)</f>
        <v>632.21</v>
      </c>
      <c r="G50" s="3">
        <v>0</v>
      </c>
      <c r="H50" s="3">
        <v>0</v>
      </c>
      <c r="I50">
        <v>1</v>
      </c>
      <c r="J50">
        <v>1</v>
      </c>
      <c r="K50" s="4"/>
      <c r="L50" s="65">
        <f>((ARTICULOS_GOLOMAX[[#This Row],[P. Compra]]*(1+ARTICULOS_GOLOMAX[[#This Row],[IVA]]%))/ARTICULOS_GOLOMAX[[#This Row],[UnidFact]])+ARTICULOS_GOLOMAX[[#This Row],[CostoFlete]]</f>
        <v>632.21</v>
      </c>
      <c r="M50">
        <v>30</v>
      </c>
      <c r="N50" s="63">
        <f t="shared" si="1"/>
        <v>900</v>
      </c>
      <c r="O50" s="3">
        <f>MROUND((ARTICULOS_GOLOMAX[[#This Row],[Precio]]/0.6),50)</f>
        <v>1500</v>
      </c>
      <c r="P50" t="s">
        <v>8693</v>
      </c>
      <c r="Q50">
        <v>2</v>
      </c>
      <c r="R50" s="42">
        <v>6</v>
      </c>
      <c r="S50" t="s">
        <v>17</v>
      </c>
      <c r="T50" t="s">
        <v>4</v>
      </c>
      <c r="U50" t="s">
        <v>102</v>
      </c>
      <c r="V50" t="s">
        <v>10243</v>
      </c>
      <c r="W50" t="s">
        <v>8692</v>
      </c>
      <c r="X50">
        <v>1</v>
      </c>
      <c r="Y50">
        <v>0</v>
      </c>
      <c r="AB50" s="80" t="e">
        <f>ARTICULOS_OSLE[[#This Row],[Costo]]*ARTICULOS_OSLE[[#This Row],[Pedido]]</f>
        <v>#VALUE!</v>
      </c>
      <c r="AH50" s="2" t="e">
        <f>IF(AND(ARTICULOS_OSLE[[#This Row],[FechaVenc]]=0,ARTICULOS_OSLE[[#This Row],[DiasVenc]]=0),"",ARTICULOS_OSLE[[#This Row],[FechaVenc]]-ARTICULOS_OSLE[[#This Row],[DiasVenc]])</f>
        <v>#VALUE!</v>
      </c>
      <c r="AO50" s="30" t="s">
        <v>8689</v>
      </c>
    </row>
    <row r="51" spans="1:41" ht="15.75" hidden="1" x14ac:dyDescent="0.25">
      <c r="A51" s="1" t="s">
        <v>10246</v>
      </c>
      <c r="B51">
        <v>1428105</v>
      </c>
      <c r="C51" t="str">
        <f t="shared" si="0"/>
        <v>ALM73732794</v>
      </c>
      <c r="D51" t="s">
        <v>8689</v>
      </c>
      <c r="E51" s="1" t="s">
        <v>10247</v>
      </c>
      <c r="F51" s="61">
        <f>VLOOKUP(ARTICULOS_GOLOMAX[[#This Row],[CodigoProveedor]],'PRECIOS GOLOMAX'!$A$1:$C$10000,3,FALSE)</f>
        <v>726.71</v>
      </c>
      <c r="G51" s="3">
        <v>0</v>
      </c>
      <c r="H51" s="3">
        <v>0</v>
      </c>
      <c r="I51">
        <v>1</v>
      </c>
      <c r="J51">
        <v>1</v>
      </c>
      <c r="K51" s="4"/>
      <c r="L51" s="65">
        <f>((ARTICULOS_GOLOMAX[[#This Row],[P. Compra]]*(1+ARTICULOS_GOLOMAX[[#This Row],[IVA]]%))/ARTICULOS_GOLOMAX[[#This Row],[UnidFact]])+ARTICULOS_GOLOMAX[[#This Row],[CostoFlete]]</f>
        <v>726.71</v>
      </c>
      <c r="M51">
        <v>30</v>
      </c>
      <c r="N51" s="63">
        <f t="shared" si="1"/>
        <v>1050</v>
      </c>
      <c r="O51" s="3">
        <f>MROUND((ARTICULOS_GOLOMAX[[#This Row],[Precio]]/0.6),50)</f>
        <v>1750</v>
      </c>
      <c r="P51" t="s">
        <v>8693</v>
      </c>
      <c r="Q51">
        <v>2</v>
      </c>
      <c r="R51" s="42">
        <v>6</v>
      </c>
      <c r="S51" t="s">
        <v>17</v>
      </c>
      <c r="T51" t="s">
        <v>4</v>
      </c>
      <c r="U51" t="s">
        <v>102</v>
      </c>
      <c r="V51" t="s">
        <v>10243</v>
      </c>
      <c r="W51" t="s">
        <v>8692</v>
      </c>
      <c r="X51">
        <v>1</v>
      </c>
      <c r="Y51">
        <v>1</v>
      </c>
      <c r="AB51" s="80" t="e">
        <f>ARTICULOS_OSLE[[#This Row],[Costo]]*ARTICULOS_OSLE[[#This Row],[Pedido]]</f>
        <v>#VALUE!</v>
      </c>
      <c r="AH51" s="2" t="e">
        <f>IF(AND(ARTICULOS_OSLE[[#This Row],[FechaVenc]]=0,ARTICULOS_OSLE[[#This Row],[DiasVenc]]=0),"",ARTICULOS_OSLE[[#This Row],[FechaVenc]]-ARTICULOS_OSLE[[#This Row],[DiasVenc]])</f>
        <v>#VALUE!</v>
      </c>
      <c r="AO51" s="30" t="s">
        <v>8689</v>
      </c>
    </row>
    <row r="52" spans="1:41" ht="15.75" hidden="1" x14ac:dyDescent="0.25">
      <c r="A52" s="1" t="s">
        <v>10248</v>
      </c>
      <c r="B52">
        <v>1428103</v>
      </c>
      <c r="C52" t="str">
        <f t="shared" si="0"/>
        <v>ALM12916268</v>
      </c>
      <c r="D52" t="s">
        <v>8689</v>
      </c>
      <c r="E52" s="1" t="s">
        <v>10249</v>
      </c>
      <c r="F52" s="61">
        <f>VLOOKUP(ARTICULOS_GOLOMAX[[#This Row],[CodigoProveedor]],'PRECIOS GOLOMAX'!$A$1:$C$10000,3,FALSE)</f>
        <v>726.71</v>
      </c>
      <c r="G52" s="3">
        <v>0</v>
      </c>
      <c r="H52" s="3">
        <v>0</v>
      </c>
      <c r="I52">
        <v>1</v>
      </c>
      <c r="J52">
        <v>1</v>
      </c>
      <c r="K52" s="4"/>
      <c r="L52" s="65">
        <f>((ARTICULOS_GOLOMAX[[#This Row],[P. Compra]]*(1+ARTICULOS_GOLOMAX[[#This Row],[IVA]]%))/ARTICULOS_GOLOMAX[[#This Row],[UnidFact]])+ARTICULOS_GOLOMAX[[#This Row],[CostoFlete]]</f>
        <v>726.71</v>
      </c>
      <c r="M52">
        <v>30</v>
      </c>
      <c r="N52" s="63">
        <f t="shared" si="1"/>
        <v>1050</v>
      </c>
      <c r="O52" s="3">
        <f>MROUND((ARTICULOS_GOLOMAX[[#This Row],[Precio]]/0.6),50)</f>
        <v>1750</v>
      </c>
      <c r="P52" t="s">
        <v>8693</v>
      </c>
      <c r="Q52">
        <v>2</v>
      </c>
      <c r="R52" s="42">
        <v>6</v>
      </c>
      <c r="S52" t="s">
        <v>17</v>
      </c>
      <c r="T52" t="s">
        <v>4</v>
      </c>
      <c r="U52" t="s">
        <v>102</v>
      </c>
      <c r="V52" t="s">
        <v>10243</v>
      </c>
      <c r="W52" t="s">
        <v>8692</v>
      </c>
      <c r="X52">
        <v>1</v>
      </c>
      <c r="Y52">
        <v>0</v>
      </c>
      <c r="AB52" s="80" t="e">
        <f>ARTICULOS_OSLE[[#This Row],[Costo]]*ARTICULOS_OSLE[[#This Row],[Pedido]]</f>
        <v>#VALUE!</v>
      </c>
      <c r="AH52" s="2" t="e">
        <f>IF(AND(ARTICULOS_OSLE[[#This Row],[FechaVenc]]=0,ARTICULOS_OSLE[[#This Row],[DiasVenc]]=0),"",ARTICULOS_OSLE[[#This Row],[FechaVenc]]-ARTICULOS_OSLE[[#This Row],[DiasVenc]])</f>
        <v>#VALUE!</v>
      </c>
      <c r="AO52" s="30" t="s">
        <v>8689</v>
      </c>
    </row>
    <row r="53" spans="1:41" ht="15.75" hidden="1" x14ac:dyDescent="0.25">
      <c r="A53" s="1" t="s">
        <v>10250</v>
      </c>
      <c r="B53">
        <v>1428101</v>
      </c>
      <c r="C53" t="str">
        <f t="shared" si="0"/>
        <v>ALM12916275</v>
      </c>
      <c r="D53" t="s">
        <v>8689</v>
      </c>
      <c r="E53" s="1" t="s">
        <v>10251</v>
      </c>
      <c r="F53" s="61">
        <f>VLOOKUP(ARTICULOS_GOLOMAX[[#This Row],[CodigoProveedor]],'PRECIOS GOLOMAX'!$A$1:$C$10000,3,FALSE)</f>
        <v>726.71</v>
      </c>
      <c r="G53" s="3">
        <v>0</v>
      </c>
      <c r="H53" s="3">
        <v>0</v>
      </c>
      <c r="I53">
        <v>1</v>
      </c>
      <c r="J53">
        <v>1</v>
      </c>
      <c r="K53" s="4"/>
      <c r="L53" s="65">
        <f>((ARTICULOS_GOLOMAX[[#This Row],[P. Compra]]*(1+ARTICULOS_GOLOMAX[[#This Row],[IVA]]%))/ARTICULOS_GOLOMAX[[#This Row],[UnidFact]])+ARTICULOS_GOLOMAX[[#This Row],[CostoFlete]]</f>
        <v>726.71</v>
      </c>
      <c r="M53">
        <v>30</v>
      </c>
      <c r="N53" s="63">
        <f t="shared" si="1"/>
        <v>1050</v>
      </c>
      <c r="O53" s="3">
        <f>MROUND((ARTICULOS_GOLOMAX[[#This Row],[Precio]]/0.6),50)</f>
        <v>1750</v>
      </c>
      <c r="P53" t="s">
        <v>8693</v>
      </c>
      <c r="Q53">
        <v>2</v>
      </c>
      <c r="R53" s="42">
        <v>6</v>
      </c>
      <c r="S53" t="s">
        <v>17</v>
      </c>
      <c r="T53" t="s">
        <v>4</v>
      </c>
      <c r="U53" t="s">
        <v>102</v>
      </c>
      <c r="V53" t="s">
        <v>10243</v>
      </c>
      <c r="W53" t="s">
        <v>8692</v>
      </c>
      <c r="X53">
        <v>1</v>
      </c>
      <c r="Y53">
        <v>3</v>
      </c>
      <c r="AB53" s="80" t="e">
        <f>ARTICULOS_OSLE[[#This Row],[Costo]]*ARTICULOS_OSLE[[#This Row],[Pedido]]</f>
        <v>#VALUE!</v>
      </c>
      <c r="AH53" s="2" t="e">
        <f>IF(AND(ARTICULOS_OSLE[[#This Row],[FechaVenc]]=0,ARTICULOS_OSLE[[#This Row],[DiasVenc]]=0),"",ARTICULOS_OSLE[[#This Row],[FechaVenc]]-ARTICULOS_OSLE[[#This Row],[DiasVenc]])</f>
        <v>#VALUE!</v>
      </c>
      <c r="AO53" s="30" t="s">
        <v>8689</v>
      </c>
    </row>
    <row r="54" spans="1:41" ht="15.75" hidden="1" x14ac:dyDescent="0.25">
      <c r="A54" s="1" t="s">
        <v>10259</v>
      </c>
      <c r="B54" s="30">
        <v>1425800</v>
      </c>
      <c r="C54" t="str">
        <f t="shared" si="0"/>
        <v>ALM00184932</v>
      </c>
      <c r="D54" t="s">
        <v>8689</v>
      </c>
      <c r="E54" s="24" t="s">
        <v>10260</v>
      </c>
      <c r="F54" s="61">
        <f>VLOOKUP(ARTICULOS_GOLOMAX[[#This Row],[CodigoProveedor]],'PRECIOS GOLOMAX'!$A$1:$C$10000,3,FALSE)</f>
        <v>3715.61</v>
      </c>
      <c r="G54" s="3">
        <v>0</v>
      </c>
      <c r="H54" s="3">
        <v>0</v>
      </c>
      <c r="I54">
        <v>1</v>
      </c>
      <c r="J54">
        <v>1</v>
      </c>
      <c r="K54" s="4"/>
      <c r="L54" s="65">
        <f>((ARTICULOS_GOLOMAX[[#This Row],[P. Compra]]*(1+ARTICULOS_GOLOMAX[[#This Row],[IVA]]%))/ARTICULOS_GOLOMAX[[#This Row],[UnidFact]])+ARTICULOS_GOLOMAX[[#This Row],[CostoFlete]]</f>
        <v>3715.61</v>
      </c>
      <c r="M54">
        <v>30</v>
      </c>
      <c r="N54" s="63">
        <f t="shared" si="1"/>
        <v>5300</v>
      </c>
      <c r="O54" s="3">
        <f>MROUND((ARTICULOS_GOLOMAX[[#This Row],[Precio]]/0.6),50)</f>
        <v>8850</v>
      </c>
      <c r="P54" t="s">
        <v>8693</v>
      </c>
      <c r="Q54">
        <v>1</v>
      </c>
      <c r="R54" s="42">
        <v>5</v>
      </c>
      <c r="S54" t="s">
        <v>17</v>
      </c>
      <c r="T54" t="s">
        <v>4</v>
      </c>
      <c r="U54" t="s">
        <v>102</v>
      </c>
      <c r="V54" t="s">
        <v>10261</v>
      </c>
      <c r="W54" t="s">
        <v>8692</v>
      </c>
      <c r="X54">
        <v>1</v>
      </c>
      <c r="Y54">
        <v>1</v>
      </c>
      <c r="AB54" s="80" t="e">
        <f>ARTICULOS_OSLE[[#This Row],[Costo]]*ARTICULOS_OSLE[[#This Row],[Pedido]]</f>
        <v>#VALUE!</v>
      </c>
      <c r="AH54" s="2" t="e">
        <f>IF(AND(ARTICULOS_OSLE[[#This Row],[FechaVenc]]=0,ARTICULOS_OSLE[[#This Row],[DiasVenc]]=0),"",ARTICULOS_OSLE[[#This Row],[FechaVenc]]-ARTICULOS_OSLE[[#This Row],[DiasVenc]])</f>
        <v>#VALUE!</v>
      </c>
      <c r="AO54" s="30" t="s">
        <v>8689</v>
      </c>
    </row>
    <row r="55" spans="1:41" ht="15.75" hidden="1" x14ac:dyDescent="0.25">
      <c r="A55" s="1" t="s">
        <v>10262</v>
      </c>
      <c r="B55" s="30">
        <v>1425500</v>
      </c>
      <c r="C55" t="str">
        <f t="shared" si="0"/>
        <v>ALM00845246</v>
      </c>
      <c r="D55" t="s">
        <v>8689</v>
      </c>
      <c r="E55" s="24" t="s">
        <v>10263</v>
      </c>
      <c r="F55" s="61">
        <f>VLOOKUP(ARTICULOS_GOLOMAX[[#This Row],[CodigoProveedor]],'PRECIOS GOLOMAX'!$A$1:$C$10000,3,FALSE)</f>
        <v>1803.6</v>
      </c>
      <c r="G55" s="3">
        <v>0</v>
      </c>
      <c r="H55" s="3">
        <v>0</v>
      </c>
      <c r="I55">
        <v>1</v>
      </c>
      <c r="J55">
        <v>1</v>
      </c>
      <c r="K55" s="4"/>
      <c r="L55" s="65">
        <f>((ARTICULOS_GOLOMAX[[#This Row],[P. Compra]]*(1+ARTICULOS_GOLOMAX[[#This Row],[IVA]]%))/ARTICULOS_GOLOMAX[[#This Row],[UnidFact]])+ARTICULOS_GOLOMAX[[#This Row],[CostoFlete]]</f>
        <v>1803.6</v>
      </c>
      <c r="M55">
        <v>30</v>
      </c>
      <c r="N55" s="63">
        <f t="shared" si="1"/>
        <v>2600</v>
      </c>
      <c r="O55" s="3">
        <f>MROUND((ARTICULOS_GOLOMAX[[#This Row],[Precio]]/0.6),50)</f>
        <v>4350</v>
      </c>
      <c r="P55" t="s">
        <v>8693</v>
      </c>
      <c r="Q55">
        <v>1</v>
      </c>
      <c r="R55" s="42">
        <v>5</v>
      </c>
      <c r="S55" t="s">
        <v>17</v>
      </c>
      <c r="T55" t="s">
        <v>4</v>
      </c>
      <c r="U55" t="s">
        <v>102</v>
      </c>
      <c r="V55" t="s">
        <v>10261</v>
      </c>
      <c r="W55" t="s">
        <v>8692</v>
      </c>
      <c r="X55">
        <v>1</v>
      </c>
      <c r="Y55">
        <v>0</v>
      </c>
      <c r="AB55" s="80" t="e">
        <f>ARTICULOS_OSLE[[#This Row],[Costo]]*ARTICULOS_OSLE[[#This Row],[Pedido]]</f>
        <v>#VALUE!</v>
      </c>
      <c r="AH55" s="2" t="e">
        <f>IF(AND(ARTICULOS_OSLE[[#This Row],[FechaVenc]]=0,ARTICULOS_OSLE[[#This Row],[DiasVenc]]=0),"",ARTICULOS_OSLE[[#This Row],[FechaVenc]]-ARTICULOS_OSLE[[#This Row],[DiasVenc]])</f>
        <v>#VALUE!</v>
      </c>
      <c r="AO55" s="30" t="s">
        <v>8689</v>
      </c>
    </row>
    <row r="56" spans="1:41" ht="15.75" hidden="1" x14ac:dyDescent="0.25">
      <c r="A56" s="1" t="s">
        <v>9951</v>
      </c>
      <c r="B56">
        <v>5320760</v>
      </c>
      <c r="C56" t="str">
        <f t="shared" si="0"/>
        <v>BAZ34665663</v>
      </c>
      <c r="D56" t="s">
        <v>8689</v>
      </c>
      <c r="E56" s="1" t="s">
        <v>9952</v>
      </c>
      <c r="F56" s="61">
        <f>VLOOKUP(ARTICULOS_GOLOMAX[[#This Row],[CodigoProveedor]],'PRECIOS GOLOMAX'!$A$1:$C$10000,3,FALSE)</f>
        <v>4700.0600000000004</v>
      </c>
      <c r="G56" s="3">
        <v>0</v>
      </c>
      <c r="H56" s="3">
        <v>0</v>
      </c>
      <c r="I56">
        <v>1</v>
      </c>
      <c r="J56">
        <v>1</v>
      </c>
      <c r="K56" s="4"/>
      <c r="L56" s="65">
        <f>((ARTICULOS_GOLOMAX[[#This Row],[P. Compra]]*(1+ARTICULOS_GOLOMAX[[#This Row],[IVA]]%))/ARTICULOS_GOLOMAX[[#This Row],[UnidFact]])+ARTICULOS_GOLOMAX[[#This Row],[CostoFlete]]</f>
        <v>4700.0600000000004</v>
      </c>
      <c r="M56">
        <v>20</v>
      </c>
      <c r="N56" s="63">
        <f t="shared" si="1"/>
        <v>5900</v>
      </c>
      <c r="O56" s="3">
        <f>MROUND((ARTICULOS_GOLOMAX[[#This Row],[Precio]]/0.6),50)</f>
        <v>9850</v>
      </c>
      <c r="P56" t="s">
        <v>8693</v>
      </c>
      <c r="Q56">
        <v>1</v>
      </c>
      <c r="R56" s="42">
        <v>4</v>
      </c>
      <c r="S56" t="s">
        <v>17</v>
      </c>
      <c r="T56" t="s">
        <v>7</v>
      </c>
      <c r="U56" t="s">
        <v>48</v>
      </c>
      <c r="V56" t="s">
        <v>9953</v>
      </c>
      <c r="W56" t="s">
        <v>8692</v>
      </c>
      <c r="X56">
        <v>1</v>
      </c>
      <c r="Y56">
        <v>1</v>
      </c>
      <c r="AB56" s="80" t="e">
        <f>ARTICULOS_OSLE[[#This Row],[Costo]]*ARTICULOS_OSLE[[#This Row],[Pedido]]</f>
        <v>#VALUE!</v>
      </c>
      <c r="AH56" s="2" t="e">
        <f>IF(AND(ARTICULOS_OSLE[[#This Row],[FechaVenc]]=0,ARTICULOS_OSLE[[#This Row],[DiasVenc]]=0),"",ARTICULOS_OSLE[[#This Row],[FechaVenc]]-ARTICULOS_OSLE[[#This Row],[DiasVenc]])</f>
        <v>#VALUE!</v>
      </c>
      <c r="AO56" s="30" t="s">
        <v>8689</v>
      </c>
    </row>
    <row r="57" spans="1:41" ht="15.75" hidden="1" x14ac:dyDescent="0.25">
      <c r="A57" s="1" t="s">
        <v>9954</v>
      </c>
      <c r="B57">
        <v>5320720</v>
      </c>
      <c r="C57" t="str">
        <f t="shared" si="0"/>
        <v>BAZ34665175</v>
      </c>
      <c r="D57" t="s">
        <v>8689</v>
      </c>
      <c r="E57" s="1" t="s">
        <v>9955</v>
      </c>
      <c r="F57" s="61">
        <f>VLOOKUP(ARTICULOS_GOLOMAX[[#This Row],[CodigoProveedor]],'PRECIOS GOLOMAX'!$A$1:$C$10000,3,FALSE)</f>
        <v>2311.2199999999998</v>
      </c>
      <c r="G57" s="3">
        <v>0</v>
      </c>
      <c r="H57" s="3">
        <v>0</v>
      </c>
      <c r="I57">
        <v>1</v>
      </c>
      <c r="J57">
        <v>1</v>
      </c>
      <c r="K57" s="4"/>
      <c r="L57" s="65">
        <f>((ARTICULOS_GOLOMAX[[#This Row],[P. Compra]]*(1+ARTICULOS_GOLOMAX[[#This Row],[IVA]]%))/ARTICULOS_GOLOMAX[[#This Row],[UnidFact]])+ARTICULOS_GOLOMAX[[#This Row],[CostoFlete]]</f>
        <v>2311.2199999999998</v>
      </c>
      <c r="M57">
        <v>20</v>
      </c>
      <c r="N57" s="63">
        <f t="shared" si="1"/>
        <v>2900</v>
      </c>
      <c r="O57" s="3">
        <f>MROUND((ARTICULOS_GOLOMAX[[#This Row],[Precio]]/0.6),50)</f>
        <v>4850</v>
      </c>
      <c r="P57" t="s">
        <v>8693</v>
      </c>
      <c r="Q57">
        <v>1</v>
      </c>
      <c r="R57" s="42">
        <v>4</v>
      </c>
      <c r="S57" t="s">
        <v>17</v>
      </c>
      <c r="T57" t="s">
        <v>7</v>
      </c>
      <c r="U57" t="s">
        <v>48</v>
      </c>
      <c r="V57" t="s">
        <v>9953</v>
      </c>
      <c r="W57" t="s">
        <v>8692</v>
      </c>
      <c r="X57">
        <v>1</v>
      </c>
      <c r="Y57">
        <v>1</v>
      </c>
      <c r="AB57" s="80" t="e">
        <f>ARTICULOS_OSLE[[#This Row],[Costo]]*ARTICULOS_OSLE[[#This Row],[Pedido]]</f>
        <v>#VALUE!</v>
      </c>
      <c r="AH57" s="2" t="e">
        <f>IF(AND(ARTICULOS_OSLE[[#This Row],[FechaVenc]]=0,ARTICULOS_OSLE[[#This Row],[DiasVenc]]=0),"",ARTICULOS_OSLE[[#This Row],[FechaVenc]]-ARTICULOS_OSLE[[#This Row],[DiasVenc]])</f>
        <v>#VALUE!</v>
      </c>
      <c r="AO57" s="30" t="s">
        <v>8689</v>
      </c>
    </row>
    <row r="58" spans="1:41" ht="15.75" hidden="1" x14ac:dyDescent="0.25">
      <c r="A58" s="1" t="s">
        <v>9956</v>
      </c>
      <c r="B58">
        <v>5320721</v>
      </c>
      <c r="C58" t="str">
        <f t="shared" si="0"/>
        <v>BAZ34665212</v>
      </c>
      <c r="D58" t="s">
        <v>8689</v>
      </c>
      <c r="E58" s="1" t="s">
        <v>9957</v>
      </c>
      <c r="F58" s="61">
        <f>VLOOKUP(ARTICULOS_GOLOMAX[[#This Row],[CodigoProveedor]],'PRECIOS GOLOMAX'!$A$1:$C$10000,3,FALSE)</f>
        <v>2529.6</v>
      </c>
      <c r="G58" s="3">
        <v>0</v>
      </c>
      <c r="H58" s="3">
        <v>0</v>
      </c>
      <c r="I58">
        <v>1</v>
      </c>
      <c r="J58">
        <v>1</v>
      </c>
      <c r="K58" s="4"/>
      <c r="L58" s="65">
        <f>((ARTICULOS_GOLOMAX[[#This Row],[P. Compra]]*(1+ARTICULOS_GOLOMAX[[#This Row],[IVA]]%))/ARTICULOS_GOLOMAX[[#This Row],[UnidFact]])+ARTICULOS_GOLOMAX[[#This Row],[CostoFlete]]</f>
        <v>2529.6</v>
      </c>
      <c r="M58">
        <v>20</v>
      </c>
      <c r="N58" s="63">
        <f t="shared" si="1"/>
        <v>3150</v>
      </c>
      <c r="O58" s="3">
        <f>MROUND((ARTICULOS_GOLOMAX[[#This Row],[Precio]]/0.6),50)</f>
        <v>5250</v>
      </c>
      <c r="P58" t="s">
        <v>8693</v>
      </c>
      <c r="Q58">
        <v>1</v>
      </c>
      <c r="R58" s="42">
        <v>4</v>
      </c>
      <c r="S58" t="s">
        <v>17</v>
      </c>
      <c r="T58" t="s">
        <v>7</v>
      </c>
      <c r="U58" t="s">
        <v>48</v>
      </c>
      <c r="V58" t="s">
        <v>9953</v>
      </c>
      <c r="W58" t="s">
        <v>8692</v>
      </c>
      <c r="X58">
        <v>1</v>
      </c>
      <c r="Y58">
        <v>0</v>
      </c>
      <c r="AB58" s="80" t="e">
        <f>ARTICULOS_OSLE[[#This Row],[Costo]]*ARTICULOS_OSLE[[#This Row],[Pedido]]</f>
        <v>#VALUE!</v>
      </c>
      <c r="AH58" s="2" t="e">
        <f>IF(AND(ARTICULOS_OSLE[[#This Row],[FechaVenc]]=0,ARTICULOS_OSLE[[#This Row],[DiasVenc]]=0),"",ARTICULOS_OSLE[[#This Row],[FechaVenc]]-ARTICULOS_OSLE[[#This Row],[DiasVenc]])</f>
        <v>#VALUE!</v>
      </c>
      <c r="AO58" s="30" t="s">
        <v>8689</v>
      </c>
    </row>
    <row r="59" spans="1:41" ht="15.75" hidden="1" x14ac:dyDescent="0.25">
      <c r="A59" s="1" t="s">
        <v>9958</v>
      </c>
      <c r="B59">
        <v>5320738</v>
      </c>
      <c r="C59" t="str">
        <f t="shared" si="0"/>
        <v>BAZ97480088</v>
      </c>
      <c r="D59" t="s">
        <v>8689</v>
      </c>
      <c r="E59" s="1" t="s">
        <v>9959</v>
      </c>
      <c r="F59" s="61">
        <f>VLOOKUP(ARTICULOS_GOLOMAX[[#This Row],[CodigoProveedor]],'PRECIOS GOLOMAX'!$A$1:$C$10000,3,FALSE)</f>
        <v>2529.6</v>
      </c>
      <c r="G59" s="3">
        <v>0</v>
      </c>
      <c r="H59" s="3">
        <v>0</v>
      </c>
      <c r="I59">
        <v>1</v>
      </c>
      <c r="J59">
        <v>1</v>
      </c>
      <c r="K59" s="4"/>
      <c r="L59" s="65">
        <f>((ARTICULOS_GOLOMAX[[#This Row],[P. Compra]]*(1+ARTICULOS_GOLOMAX[[#This Row],[IVA]]%))/ARTICULOS_GOLOMAX[[#This Row],[UnidFact]])+ARTICULOS_GOLOMAX[[#This Row],[CostoFlete]]</f>
        <v>2529.6</v>
      </c>
      <c r="M59">
        <v>20</v>
      </c>
      <c r="N59" s="63">
        <f t="shared" si="1"/>
        <v>3150</v>
      </c>
      <c r="O59" s="3">
        <f>MROUND((ARTICULOS_GOLOMAX[[#This Row],[Precio]]/0.6),50)</f>
        <v>5250</v>
      </c>
      <c r="P59" t="s">
        <v>8693</v>
      </c>
      <c r="Q59">
        <v>1</v>
      </c>
      <c r="R59" s="42">
        <v>4</v>
      </c>
      <c r="S59" t="s">
        <v>17</v>
      </c>
      <c r="T59" t="s">
        <v>7</v>
      </c>
      <c r="U59" t="s">
        <v>48</v>
      </c>
      <c r="V59" t="s">
        <v>9953</v>
      </c>
      <c r="W59" t="s">
        <v>8692</v>
      </c>
      <c r="X59">
        <v>1</v>
      </c>
      <c r="Y59">
        <v>3</v>
      </c>
      <c r="AB59" s="80" t="e">
        <f>ARTICULOS_OSLE[[#This Row],[Costo]]*ARTICULOS_OSLE[[#This Row],[Pedido]]</f>
        <v>#VALUE!</v>
      </c>
      <c r="AH59" s="2" t="e">
        <f>IF(AND(ARTICULOS_OSLE[[#This Row],[FechaVenc]]=0,ARTICULOS_OSLE[[#This Row],[DiasVenc]]=0),"",ARTICULOS_OSLE[[#This Row],[FechaVenc]]-ARTICULOS_OSLE[[#This Row],[DiasVenc]])</f>
        <v>#VALUE!</v>
      </c>
      <c r="AO59" s="30" t="s">
        <v>8689</v>
      </c>
    </row>
    <row r="60" spans="1:41" ht="15.75" hidden="1" x14ac:dyDescent="0.25">
      <c r="A60" s="1" t="s">
        <v>9960</v>
      </c>
      <c r="B60">
        <v>5320774</v>
      </c>
      <c r="C60" t="str">
        <f t="shared" si="0"/>
        <v>BAZ34665403</v>
      </c>
      <c r="D60" t="s">
        <v>8689</v>
      </c>
      <c r="E60" s="1" t="s">
        <v>9961</v>
      </c>
      <c r="F60" s="61">
        <f>VLOOKUP(ARTICULOS_GOLOMAX[[#This Row],[CodigoProveedor]],'PRECIOS GOLOMAX'!$A$1:$C$10000,3,FALSE)</f>
        <v>5279.71</v>
      </c>
      <c r="G60" s="3">
        <v>0</v>
      </c>
      <c r="H60" s="3">
        <v>0</v>
      </c>
      <c r="I60">
        <v>1</v>
      </c>
      <c r="J60">
        <v>1</v>
      </c>
      <c r="K60" s="4"/>
      <c r="L60" s="65">
        <f>((ARTICULOS_GOLOMAX[[#This Row],[P. Compra]]*(1+ARTICULOS_GOLOMAX[[#This Row],[IVA]]%))/ARTICULOS_GOLOMAX[[#This Row],[UnidFact]])+ARTICULOS_GOLOMAX[[#This Row],[CostoFlete]]</f>
        <v>5279.71</v>
      </c>
      <c r="M60">
        <v>20</v>
      </c>
      <c r="N60" s="63">
        <f t="shared" si="1"/>
        <v>6600</v>
      </c>
      <c r="O60" s="3">
        <f>MROUND((ARTICULOS_GOLOMAX[[#This Row],[Precio]]/0.6),50)</f>
        <v>11000</v>
      </c>
      <c r="P60" t="s">
        <v>8693</v>
      </c>
      <c r="Q60">
        <v>1</v>
      </c>
      <c r="R60" s="42">
        <v>4</v>
      </c>
      <c r="S60" t="s">
        <v>17</v>
      </c>
      <c r="T60" t="s">
        <v>7</v>
      </c>
      <c r="U60" t="s">
        <v>48</v>
      </c>
      <c r="V60" t="s">
        <v>9953</v>
      </c>
      <c r="W60" t="s">
        <v>8692</v>
      </c>
      <c r="X60">
        <v>1</v>
      </c>
      <c r="Y60">
        <v>3</v>
      </c>
      <c r="AB60" s="80" t="e">
        <f>ARTICULOS_OSLE[[#This Row],[Costo]]*ARTICULOS_OSLE[[#This Row],[Pedido]]</f>
        <v>#VALUE!</v>
      </c>
      <c r="AH60" s="2" t="e">
        <f>IF(AND(ARTICULOS_OSLE[[#This Row],[FechaVenc]]=0,ARTICULOS_OSLE[[#This Row],[DiasVenc]]=0),"",ARTICULOS_OSLE[[#This Row],[FechaVenc]]-ARTICULOS_OSLE[[#This Row],[DiasVenc]])</f>
        <v>#VALUE!</v>
      </c>
      <c r="AO60" s="30" t="s">
        <v>8689</v>
      </c>
    </row>
    <row r="61" spans="1:41" ht="15.75" hidden="1" x14ac:dyDescent="0.25">
      <c r="A61" s="1" t="s">
        <v>9962</v>
      </c>
      <c r="B61">
        <v>5320751</v>
      </c>
      <c r="C61" t="str">
        <f t="shared" si="0"/>
        <v>BAZ34665649</v>
      </c>
      <c r="D61" t="s">
        <v>8689</v>
      </c>
      <c r="E61" s="1" t="s">
        <v>9963</v>
      </c>
      <c r="F61" s="61">
        <f>VLOOKUP(ARTICULOS_GOLOMAX[[#This Row],[CodigoProveedor]],'PRECIOS GOLOMAX'!$A$1:$C$10000,3,FALSE)</f>
        <v>6266.82</v>
      </c>
      <c r="G61" s="3">
        <v>0</v>
      </c>
      <c r="H61" s="3">
        <v>0</v>
      </c>
      <c r="I61">
        <v>1</v>
      </c>
      <c r="J61">
        <v>1</v>
      </c>
      <c r="K61" s="4"/>
      <c r="L61" s="65">
        <f>((ARTICULOS_GOLOMAX[[#This Row],[P. Compra]]*(1+ARTICULOS_GOLOMAX[[#This Row],[IVA]]%))/ARTICULOS_GOLOMAX[[#This Row],[UnidFact]])+ARTICULOS_GOLOMAX[[#This Row],[CostoFlete]]</f>
        <v>6266.82</v>
      </c>
      <c r="M61">
        <v>20</v>
      </c>
      <c r="N61" s="63">
        <f t="shared" si="1"/>
        <v>7850</v>
      </c>
      <c r="O61" s="3">
        <f>MROUND((ARTICULOS_GOLOMAX[[#This Row],[Precio]]/0.6),50)</f>
        <v>13100</v>
      </c>
      <c r="P61" t="s">
        <v>8693</v>
      </c>
      <c r="Q61">
        <v>1</v>
      </c>
      <c r="R61" s="42">
        <v>4</v>
      </c>
      <c r="S61" t="s">
        <v>17</v>
      </c>
      <c r="T61" t="s">
        <v>7</v>
      </c>
      <c r="U61" t="s">
        <v>48</v>
      </c>
      <c r="V61" t="s">
        <v>9953</v>
      </c>
      <c r="W61" t="s">
        <v>8692</v>
      </c>
      <c r="X61">
        <v>1</v>
      </c>
      <c r="Y61">
        <v>3</v>
      </c>
      <c r="AB61" s="80" t="e">
        <f>ARTICULOS_OSLE[[#This Row],[Costo]]*ARTICULOS_OSLE[[#This Row],[Pedido]]</f>
        <v>#VALUE!</v>
      </c>
      <c r="AH61" s="2" t="e">
        <f>IF(AND(ARTICULOS_OSLE[[#This Row],[FechaVenc]]=0,ARTICULOS_OSLE[[#This Row],[DiasVenc]]=0),"",ARTICULOS_OSLE[[#This Row],[FechaVenc]]-ARTICULOS_OSLE[[#This Row],[DiasVenc]])</f>
        <v>#VALUE!</v>
      </c>
      <c r="AO61" s="30" t="s">
        <v>8689</v>
      </c>
    </row>
    <row r="62" spans="1:41" ht="15.75" hidden="1" x14ac:dyDescent="0.25">
      <c r="A62" s="1" t="s">
        <v>9964</v>
      </c>
      <c r="B62">
        <v>5320752</v>
      </c>
      <c r="C62" t="str">
        <f t="shared" si="0"/>
        <v>BAZ34665632</v>
      </c>
      <c r="D62" t="s">
        <v>8689</v>
      </c>
      <c r="E62" s="1" t="s">
        <v>9965</v>
      </c>
      <c r="F62" s="61">
        <f>VLOOKUP(ARTICULOS_GOLOMAX[[#This Row],[CodigoProveedor]],'PRECIOS GOLOMAX'!$A$1:$C$10000,3,FALSE)</f>
        <v>6266.82</v>
      </c>
      <c r="G62" s="3">
        <v>0</v>
      </c>
      <c r="H62" s="3">
        <v>0</v>
      </c>
      <c r="I62">
        <v>1</v>
      </c>
      <c r="J62">
        <v>1</v>
      </c>
      <c r="K62" s="4"/>
      <c r="L62" s="65">
        <f>((ARTICULOS_GOLOMAX[[#This Row],[P. Compra]]*(1+ARTICULOS_GOLOMAX[[#This Row],[IVA]]%))/ARTICULOS_GOLOMAX[[#This Row],[UnidFact]])+ARTICULOS_GOLOMAX[[#This Row],[CostoFlete]]</f>
        <v>6266.82</v>
      </c>
      <c r="M62">
        <v>20</v>
      </c>
      <c r="N62" s="63">
        <f t="shared" si="1"/>
        <v>7850</v>
      </c>
      <c r="O62" s="3">
        <f>MROUND((ARTICULOS_GOLOMAX[[#This Row],[Precio]]/0.6),50)</f>
        <v>13100</v>
      </c>
      <c r="P62" t="s">
        <v>8693</v>
      </c>
      <c r="Q62">
        <v>1</v>
      </c>
      <c r="R62" s="42">
        <v>4</v>
      </c>
      <c r="S62" t="s">
        <v>17</v>
      </c>
      <c r="T62" t="s">
        <v>7</v>
      </c>
      <c r="U62" t="s">
        <v>48</v>
      </c>
      <c r="V62" t="s">
        <v>9953</v>
      </c>
      <c r="W62" t="s">
        <v>8692</v>
      </c>
      <c r="X62">
        <v>1</v>
      </c>
      <c r="Y62">
        <v>2</v>
      </c>
      <c r="AB62" s="80" t="e">
        <f>ARTICULOS_OSLE[[#This Row],[Costo]]*ARTICULOS_OSLE[[#This Row],[Pedido]]</f>
        <v>#VALUE!</v>
      </c>
      <c r="AH62" s="2" t="e">
        <f>IF(AND(ARTICULOS_OSLE[[#This Row],[FechaVenc]]=0,ARTICULOS_OSLE[[#This Row],[DiasVenc]]=0),"",ARTICULOS_OSLE[[#This Row],[FechaVenc]]-ARTICULOS_OSLE[[#This Row],[DiasVenc]])</f>
        <v>#VALUE!</v>
      </c>
      <c r="AO62" s="30" t="s">
        <v>8689</v>
      </c>
    </row>
    <row r="63" spans="1:41" ht="15.75" hidden="1" x14ac:dyDescent="0.25">
      <c r="A63" s="1" t="s">
        <v>9966</v>
      </c>
      <c r="B63">
        <v>5320740</v>
      </c>
      <c r="C63" t="str">
        <f t="shared" si="0"/>
        <v>BAZ34665640</v>
      </c>
      <c r="D63" t="s">
        <v>8689</v>
      </c>
      <c r="E63" s="1" t="s">
        <v>9967</v>
      </c>
      <c r="F63" s="61">
        <f>VLOOKUP(ARTICULOS_GOLOMAX[[#This Row],[CodigoProveedor]],'PRECIOS GOLOMAX'!$A$1:$C$10000,3,FALSE)</f>
        <v>6692.06</v>
      </c>
      <c r="G63" s="3">
        <v>0</v>
      </c>
      <c r="H63" s="3">
        <v>0</v>
      </c>
      <c r="I63">
        <v>1</v>
      </c>
      <c r="J63">
        <v>1</v>
      </c>
      <c r="K63" s="4"/>
      <c r="L63" s="65">
        <f>((ARTICULOS_GOLOMAX[[#This Row],[P. Compra]]*(1+ARTICULOS_GOLOMAX[[#This Row],[IVA]]%))/ARTICULOS_GOLOMAX[[#This Row],[UnidFact]])+ARTICULOS_GOLOMAX[[#This Row],[CostoFlete]]</f>
        <v>6692.06</v>
      </c>
      <c r="M63">
        <v>20</v>
      </c>
      <c r="N63" s="63">
        <f t="shared" si="1"/>
        <v>8350</v>
      </c>
      <c r="O63" s="3">
        <f>MROUND((ARTICULOS_GOLOMAX[[#This Row],[Precio]]/0.6),50)</f>
        <v>13900</v>
      </c>
      <c r="P63" t="s">
        <v>8693</v>
      </c>
      <c r="Q63">
        <v>1</v>
      </c>
      <c r="R63" s="42">
        <v>4</v>
      </c>
      <c r="S63" t="s">
        <v>17</v>
      </c>
      <c r="T63" t="s">
        <v>7</v>
      </c>
      <c r="U63" t="s">
        <v>48</v>
      </c>
      <c r="V63" t="s">
        <v>9953</v>
      </c>
      <c r="W63" t="s">
        <v>8692</v>
      </c>
      <c r="X63">
        <v>1</v>
      </c>
      <c r="Y63">
        <v>0</v>
      </c>
      <c r="AB63" s="80" t="e">
        <f>ARTICULOS_OSLE[[#This Row],[Costo]]*ARTICULOS_OSLE[[#This Row],[Pedido]]</f>
        <v>#VALUE!</v>
      </c>
      <c r="AH63" s="2" t="e">
        <f>IF(AND(ARTICULOS_OSLE[[#This Row],[FechaVenc]]=0,ARTICULOS_OSLE[[#This Row],[DiasVenc]]=0),"",ARTICULOS_OSLE[[#This Row],[FechaVenc]]-ARTICULOS_OSLE[[#This Row],[DiasVenc]])</f>
        <v>#VALUE!</v>
      </c>
      <c r="AO63" s="30" t="s">
        <v>8689</v>
      </c>
    </row>
    <row r="64" spans="1:41" ht="15.75" hidden="1" x14ac:dyDescent="0.25">
      <c r="A64" s="1" t="s">
        <v>9968</v>
      </c>
      <c r="B64">
        <v>5320742</v>
      </c>
      <c r="C64" t="str">
        <f t="shared" si="0"/>
        <v>BAZ34665633</v>
      </c>
      <c r="D64" t="s">
        <v>8689</v>
      </c>
      <c r="E64" s="1" t="s">
        <v>9969</v>
      </c>
      <c r="F64" s="61">
        <f>VLOOKUP(ARTICULOS_GOLOMAX[[#This Row],[CodigoProveedor]],'PRECIOS GOLOMAX'!$A$1:$C$10000,3,FALSE)</f>
        <v>7162.07</v>
      </c>
      <c r="G64" s="3">
        <v>0</v>
      </c>
      <c r="H64" s="3">
        <v>0</v>
      </c>
      <c r="I64">
        <v>1</v>
      </c>
      <c r="J64">
        <v>1</v>
      </c>
      <c r="K64" s="4"/>
      <c r="L64" s="65">
        <f>((ARTICULOS_GOLOMAX[[#This Row],[P. Compra]]*(1+ARTICULOS_GOLOMAX[[#This Row],[IVA]]%))/ARTICULOS_GOLOMAX[[#This Row],[UnidFact]])+ARTICULOS_GOLOMAX[[#This Row],[CostoFlete]]</f>
        <v>7162.07</v>
      </c>
      <c r="M64">
        <v>20</v>
      </c>
      <c r="N64" s="63">
        <f t="shared" si="1"/>
        <v>8950</v>
      </c>
      <c r="O64" s="3">
        <f>MROUND((ARTICULOS_GOLOMAX[[#This Row],[Precio]]/0.6),50)</f>
        <v>14900</v>
      </c>
      <c r="P64" t="s">
        <v>8693</v>
      </c>
      <c r="Q64">
        <v>1</v>
      </c>
      <c r="R64" s="42">
        <v>4</v>
      </c>
      <c r="S64" t="s">
        <v>17</v>
      </c>
      <c r="T64" t="s">
        <v>7</v>
      </c>
      <c r="U64" t="s">
        <v>48</v>
      </c>
      <c r="V64" t="s">
        <v>9953</v>
      </c>
      <c r="W64" t="s">
        <v>8692</v>
      </c>
      <c r="X64">
        <v>1</v>
      </c>
      <c r="Y64">
        <v>0</v>
      </c>
      <c r="AB64" s="80" t="e">
        <f>ARTICULOS_OSLE[[#This Row],[Costo]]*ARTICULOS_OSLE[[#This Row],[Pedido]]</f>
        <v>#VALUE!</v>
      </c>
      <c r="AH64" s="2" t="e">
        <f>IF(AND(ARTICULOS_OSLE[[#This Row],[FechaVenc]]=0,ARTICULOS_OSLE[[#This Row],[DiasVenc]]=0),"",ARTICULOS_OSLE[[#This Row],[FechaVenc]]-ARTICULOS_OSLE[[#This Row],[DiasVenc]])</f>
        <v>#VALUE!</v>
      </c>
      <c r="AO64" s="30" t="s">
        <v>8689</v>
      </c>
    </row>
    <row r="65" spans="1:41" ht="15.75" hidden="1" x14ac:dyDescent="0.25">
      <c r="A65" s="1" t="s">
        <v>10275</v>
      </c>
      <c r="B65" s="30">
        <v>5320729</v>
      </c>
      <c r="C65" t="str">
        <f t="shared" si="0"/>
        <v>BAZ36153275</v>
      </c>
      <c r="D65" t="s">
        <v>8689</v>
      </c>
      <c r="E65" s="1" t="s">
        <v>10276</v>
      </c>
      <c r="F65" s="61">
        <f>VLOOKUP(ARTICULOS_GOLOMAX[[#This Row],[CodigoProveedor]],'PRECIOS GOLOMAX'!$A$1:$C$10000,3,FALSE)</f>
        <v>5259.42</v>
      </c>
      <c r="G65" s="3">
        <v>0</v>
      </c>
      <c r="H65" s="3">
        <v>0</v>
      </c>
      <c r="I65" s="35">
        <v>1</v>
      </c>
      <c r="J65" s="35">
        <v>1</v>
      </c>
      <c r="K65" s="4"/>
      <c r="L65" s="65">
        <f>((ARTICULOS_GOLOMAX[[#This Row],[P. Compra]]*(1+ARTICULOS_GOLOMAX[[#This Row],[IVA]]%))/ARTICULOS_GOLOMAX[[#This Row],[UnidFact]])+ARTICULOS_GOLOMAX[[#This Row],[CostoFlete]]</f>
        <v>5259.42</v>
      </c>
      <c r="M65">
        <v>20</v>
      </c>
      <c r="N65" s="63">
        <f t="shared" si="1"/>
        <v>6550</v>
      </c>
      <c r="O65" s="3">
        <f>MROUND((ARTICULOS_GOLOMAX[[#This Row],[Precio]]/0.6),50)</f>
        <v>10900</v>
      </c>
      <c r="P65" t="s">
        <v>8693</v>
      </c>
      <c r="Q65" s="35">
        <v>1</v>
      </c>
      <c r="R65" s="36">
        <v>4</v>
      </c>
      <c r="S65" t="s">
        <v>17</v>
      </c>
      <c r="T65" t="s">
        <v>7</v>
      </c>
      <c r="U65" t="s">
        <v>48</v>
      </c>
      <c r="V65" t="s">
        <v>9953</v>
      </c>
      <c r="W65" t="s">
        <v>8692</v>
      </c>
      <c r="X65">
        <v>1</v>
      </c>
      <c r="Y65">
        <v>3</v>
      </c>
      <c r="AB65" s="80" t="e">
        <f>ARTICULOS_OSLE[[#This Row],[Costo]]*ARTICULOS_OSLE[[#This Row],[Pedido]]</f>
        <v>#VALUE!</v>
      </c>
      <c r="AH65" s="2" t="e">
        <f>IF(AND(ARTICULOS_OSLE[[#This Row],[FechaVenc]]=0,ARTICULOS_OSLE[[#This Row],[DiasVenc]]=0),"",ARTICULOS_OSLE[[#This Row],[FechaVenc]]-ARTICULOS_OSLE[[#This Row],[DiasVenc]])</f>
        <v>#VALUE!</v>
      </c>
      <c r="AO65" s="30" t="s">
        <v>8689</v>
      </c>
    </row>
    <row r="66" spans="1:41" ht="15.75" hidden="1" x14ac:dyDescent="0.25">
      <c r="A66" s="1" t="s">
        <v>10102</v>
      </c>
      <c r="B66">
        <v>1209131</v>
      </c>
      <c r="C66" t="str">
        <f t="shared" ref="C66:C135" si="2">CONCATENATE(LEFT(T66,3),RIGHT(A66,8))</f>
        <v>BAZ95302528</v>
      </c>
      <c r="D66" t="s">
        <v>8689</v>
      </c>
      <c r="E66" s="1" t="s">
        <v>10103</v>
      </c>
      <c r="F66" s="61">
        <f>VLOOKUP(ARTICULOS_GOLOMAX[[#This Row],[CodigoProveedor]],'PRECIOS GOLOMAX'!$A$1:$C$10000,3,FALSE)</f>
        <v>13539.15</v>
      </c>
      <c r="G66" s="3">
        <v>0</v>
      </c>
      <c r="H66" s="3">
        <v>0</v>
      </c>
      <c r="I66">
        <v>8</v>
      </c>
      <c r="J66">
        <v>8</v>
      </c>
      <c r="K66" s="4"/>
      <c r="L66" s="65">
        <f>((ARTICULOS_GOLOMAX[[#This Row],[P. Compra]]*(1+ARTICULOS_GOLOMAX[[#This Row],[IVA]]%))/ARTICULOS_GOLOMAX[[#This Row],[UnidFact]])+ARTICULOS_GOLOMAX[[#This Row],[CostoFlete]]</f>
        <v>1692.39375</v>
      </c>
      <c r="M66">
        <v>39</v>
      </c>
      <c r="N66" s="63">
        <f t="shared" ref="N66:N135" si="3">IF(L66&gt;=10,MROUND(L66/(1-M66/100),50),20)</f>
        <v>2750</v>
      </c>
      <c r="O66" s="3">
        <f>MROUND((ARTICULOS_GOLOMAX[[#This Row],[Precio]]/0.6),50)</f>
        <v>4600</v>
      </c>
      <c r="P66" t="s">
        <v>8693</v>
      </c>
      <c r="Q66">
        <v>2</v>
      </c>
      <c r="R66" s="42">
        <f>ARTICULOS_GOLOMAX[[#This Row],[Bulto]]+ARTICULOS_GOLOMAX[[#This Row],[Minimo]]</f>
        <v>10</v>
      </c>
      <c r="S66" t="s">
        <v>17</v>
      </c>
      <c r="T66" t="s">
        <v>7</v>
      </c>
      <c r="U66" t="s">
        <v>78</v>
      </c>
      <c r="V66" t="s">
        <v>10104</v>
      </c>
      <c r="W66" t="s">
        <v>8692</v>
      </c>
      <c r="X66">
        <v>1</v>
      </c>
      <c r="Y66">
        <v>1</v>
      </c>
      <c r="AB66" s="80" t="e">
        <f>ARTICULOS_OSLE[[#This Row],[Costo]]*ARTICULOS_OSLE[[#This Row],[Pedido]]</f>
        <v>#VALUE!</v>
      </c>
      <c r="AH66" s="2" t="e">
        <f>IF(AND(ARTICULOS_OSLE[[#This Row],[FechaVenc]]=0,ARTICULOS_OSLE[[#This Row],[DiasVenc]]=0),"",ARTICULOS_OSLE[[#This Row],[FechaVenc]]-ARTICULOS_OSLE[[#This Row],[DiasVenc]])</f>
        <v>#VALUE!</v>
      </c>
      <c r="AO66" s="30" t="s">
        <v>8689</v>
      </c>
    </row>
    <row r="67" spans="1:41" ht="15.75" hidden="1" x14ac:dyDescent="0.25">
      <c r="A67" s="1" t="s">
        <v>10105</v>
      </c>
      <c r="B67">
        <v>1209193</v>
      </c>
      <c r="C67" t="str">
        <f t="shared" si="2"/>
        <v>BAZ95300302</v>
      </c>
      <c r="D67" t="s">
        <v>8689</v>
      </c>
      <c r="E67" s="1" t="s">
        <v>10106</v>
      </c>
      <c r="F67" s="61">
        <f>VLOOKUP(ARTICULOS_GOLOMAX[[#This Row],[CodigoProveedor]],'PRECIOS GOLOMAX'!$A$1:$C$10000,3,FALSE)</f>
        <v>13983.06</v>
      </c>
      <c r="G67" s="3">
        <v>0</v>
      </c>
      <c r="H67" s="3">
        <v>0</v>
      </c>
      <c r="I67">
        <v>8</v>
      </c>
      <c r="J67">
        <v>8</v>
      </c>
      <c r="K67" s="4"/>
      <c r="L67" s="65">
        <f>((ARTICULOS_GOLOMAX[[#This Row],[P. Compra]]*(1+ARTICULOS_GOLOMAX[[#This Row],[IVA]]%))/ARTICULOS_GOLOMAX[[#This Row],[UnidFact]])+ARTICULOS_GOLOMAX[[#This Row],[CostoFlete]]</f>
        <v>1747.8824999999999</v>
      </c>
      <c r="M67">
        <v>31</v>
      </c>
      <c r="N67" s="63">
        <f t="shared" si="3"/>
        <v>2550</v>
      </c>
      <c r="O67" s="3">
        <f>MROUND((ARTICULOS_GOLOMAX[[#This Row],[Precio]]/0.6),50)</f>
        <v>4250</v>
      </c>
      <c r="P67" t="s">
        <v>8693</v>
      </c>
      <c r="Q67">
        <v>2</v>
      </c>
      <c r="R67" s="42">
        <f>ARTICULOS_GOLOMAX[[#This Row],[Bulto]]+ARTICULOS_GOLOMAX[[#This Row],[Minimo]]</f>
        <v>10</v>
      </c>
      <c r="S67" t="s">
        <v>17</v>
      </c>
      <c r="T67" t="s">
        <v>7</v>
      </c>
      <c r="U67" t="s">
        <v>78</v>
      </c>
      <c r="V67" t="s">
        <v>10104</v>
      </c>
      <c r="W67" t="s">
        <v>8692</v>
      </c>
      <c r="X67">
        <v>1</v>
      </c>
      <c r="Y67">
        <v>0</v>
      </c>
      <c r="AB67" s="80" t="e">
        <f>ARTICULOS_OSLE[[#This Row],[Costo]]*ARTICULOS_OSLE[[#This Row],[Pedido]]</f>
        <v>#VALUE!</v>
      </c>
      <c r="AH67" s="2" t="e">
        <f>IF(AND(ARTICULOS_OSLE[[#This Row],[FechaVenc]]=0,ARTICULOS_OSLE[[#This Row],[DiasVenc]]=0),"",ARTICULOS_OSLE[[#This Row],[FechaVenc]]-ARTICULOS_OSLE[[#This Row],[DiasVenc]])</f>
        <v>#VALUE!</v>
      </c>
      <c r="AO67" s="30" t="s">
        <v>8689</v>
      </c>
    </row>
    <row r="68" spans="1:41" ht="15.75" hidden="1" x14ac:dyDescent="0.25">
      <c r="A68" s="1" t="s">
        <v>10107</v>
      </c>
      <c r="B68">
        <v>1209191</v>
      </c>
      <c r="C68" t="str">
        <f t="shared" si="2"/>
        <v>BAZ95301033</v>
      </c>
      <c r="D68" t="s">
        <v>8689</v>
      </c>
      <c r="E68" s="1" t="s">
        <v>10108</v>
      </c>
      <c r="F68" s="61">
        <f>VLOOKUP(ARTICULOS_GOLOMAX[[#This Row],[CodigoProveedor]],'PRECIOS GOLOMAX'!$A$1:$C$10000,3,FALSE)</f>
        <v>6599.41</v>
      </c>
      <c r="G68" s="3">
        <v>0</v>
      </c>
      <c r="H68" s="3">
        <v>0</v>
      </c>
      <c r="I68">
        <v>1</v>
      </c>
      <c r="J68">
        <v>1</v>
      </c>
      <c r="K68" s="4"/>
      <c r="L68" s="65">
        <f>((ARTICULOS_GOLOMAX[[#This Row],[P. Compra]]*(1+ARTICULOS_GOLOMAX[[#This Row],[IVA]]%))/ARTICULOS_GOLOMAX[[#This Row],[UnidFact]])+ARTICULOS_GOLOMAX[[#This Row],[CostoFlete]]</f>
        <v>6599.41</v>
      </c>
      <c r="M68">
        <v>30</v>
      </c>
      <c r="N68" s="63">
        <f t="shared" si="3"/>
        <v>9450</v>
      </c>
      <c r="O68" s="3">
        <f>MROUND((ARTICULOS_GOLOMAX[[#This Row],[Precio]]/0.6),50)</f>
        <v>15750</v>
      </c>
      <c r="P68" t="s">
        <v>8693</v>
      </c>
      <c r="Q68">
        <v>1</v>
      </c>
      <c r="R68" s="42">
        <v>3</v>
      </c>
      <c r="S68" t="s">
        <v>17</v>
      </c>
      <c r="T68" t="s">
        <v>7</v>
      </c>
      <c r="U68" t="s">
        <v>78</v>
      </c>
      <c r="V68" t="s">
        <v>10104</v>
      </c>
      <c r="W68" t="s">
        <v>8692</v>
      </c>
      <c r="X68">
        <v>1</v>
      </c>
      <c r="Y68">
        <v>3</v>
      </c>
      <c r="AB68" s="80" t="e">
        <f>ARTICULOS_OSLE[[#This Row],[Costo]]*ARTICULOS_OSLE[[#This Row],[Pedido]]</f>
        <v>#VALUE!</v>
      </c>
      <c r="AH68" s="2" t="e">
        <f>IF(AND(ARTICULOS_OSLE[[#This Row],[FechaVenc]]=0,ARTICULOS_OSLE[[#This Row],[DiasVenc]]=0),"",ARTICULOS_OSLE[[#This Row],[FechaVenc]]-ARTICULOS_OSLE[[#This Row],[DiasVenc]])</f>
        <v>#VALUE!</v>
      </c>
      <c r="AO68" s="30" t="s">
        <v>8689</v>
      </c>
    </row>
    <row r="69" spans="1:41" ht="15.75" hidden="1" x14ac:dyDescent="0.25">
      <c r="A69" s="1" t="s">
        <v>11072</v>
      </c>
      <c r="B69" s="30">
        <v>2140320</v>
      </c>
      <c r="C69" t="str">
        <f t="shared" si="2"/>
        <v>BEB13301611</v>
      </c>
      <c r="D69" t="s">
        <v>8689</v>
      </c>
      <c r="E69" s="1" t="s">
        <v>11073</v>
      </c>
      <c r="F69" s="61">
        <f>VLOOKUP(ARTICULOS_GOLOMAX[[#This Row],[CodigoProveedor]],'PRECIOS GOLOMAX'!$A$1:$C$10000,3,FALSE)</f>
        <v>407.1</v>
      </c>
      <c r="G69" s="3">
        <v>0</v>
      </c>
      <c r="H69" s="3">
        <v>0</v>
      </c>
      <c r="I69">
        <v>1</v>
      </c>
      <c r="J69">
        <v>1</v>
      </c>
      <c r="K69" s="31"/>
      <c r="L69" s="65">
        <f>((ARTICULOS_GOLOMAX[[#This Row],[P. Compra]]*(1+ARTICULOS_GOLOMAX[[#This Row],[IVA]]%))/ARTICULOS_GOLOMAX[[#This Row],[UnidFact]])+ARTICULOS_GOLOMAX[[#This Row],[CostoFlete]]</f>
        <v>407.1</v>
      </c>
      <c r="M69">
        <v>40</v>
      </c>
      <c r="N69" s="63">
        <f t="shared" si="3"/>
        <v>700</v>
      </c>
      <c r="O69" s="23">
        <f>MROUND((ARTICULOS_GOLOMAX[[#This Row],[Precio]]/0.6),50)</f>
        <v>1150</v>
      </c>
      <c r="P69" t="s">
        <v>8693</v>
      </c>
      <c r="Q69">
        <v>12</v>
      </c>
      <c r="R69" s="36">
        <v>4</v>
      </c>
      <c r="S69" t="s">
        <v>23</v>
      </c>
      <c r="T69" t="s">
        <v>10</v>
      </c>
      <c r="U69" t="s">
        <v>5</v>
      </c>
      <c r="V69" t="s">
        <v>11074</v>
      </c>
      <c r="W69" t="s">
        <v>8692</v>
      </c>
      <c r="X69">
        <v>1</v>
      </c>
      <c r="Y69">
        <v>0</v>
      </c>
      <c r="AB69" s="80" t="e">
        <f>ARTICULOS_OSLE[[#This Row],[Costo]]*ARTICULOS_OSLE[[#This Row],[Pedido]]</f>
        <v>#VALUE!</v>
      </c>
      <c r="AH69" s="2" t="e">
        <f>IF(AND(ARTICULOS_OSLE[[#This Row],[FechaVenc]]=0,ARTICULOS_OSLE[[#This Row],[DiasVenc]]=0),"",ARTICULOS_OSLE[[#This Row],[FechaVenc]]-ARTICULOS_OSLE[[#This Row],[DiasVenc]])</f>
        <v>#VALUE!</v>
      </c>
      <c r="AO69" s="30" t="s">
        <v>8689</v>
      </c>
    </row>
    <row r="70" spans="1:41" ht="15.75" hidden="1" x14ac:dyDescent="0.25">
      <c r="A70" s="1" t="s">
        <v>11075</v>
      </c>
      <c r="B70" s="30">
        <v>2140306</v>
      </c>
      <c r="C70" t="str">
        <f t="shared" si="2"/>
        <v>BEB13300270</v>
      </c>
      <c r="D70" t="s">
        <v>8689</v>
      </c>
      <c r="E70" s="1" t="s">
        <v>11076</v>
      </c>
      <c r="F70" s="61">
        <f>VLOOKUP(ARTICULOS_GOLOMAX[[#This Row],[CodigoProveedor]],'PRECIOS GOLOMAX'!$A$1:$C$10000,3,FALSE)</f>
        <v>257.01</v>
      </c>
      <c r="G70" s="3">
        <v>0</v>
      </c>
      <c r="H70" s="3">
        <v>0</v>
      </c>
      <c r="I70">
        <v>1</v>
      </c>
      <c r="J70">
        <v>1</v>
      </c>
      <c r="K70" s="31"/>
      <c r="L70" s="65">
        <f>((ARTICULOS_GOLOMAX[[#This Row],[P. Compra]]*(1+ARTICULOS_GOLOMAX[[#This Row],[IVA]]%))/ARTICULOS_GOLOMAX[[#This Row],[UnidFact]])+ARTICULOS_GOLOMAX[[#This Row],[CostoFlete]]</f>
        <v>257.01</v>
      </c>
      <c r="M70">
        <v>40</v>
      </c>
      <c r="N70" s="63">
        <f t="shared" si="3"/>
        <v>450</v>
      </c>
      <c r="O70" s="23">
        <f>MROUND((ARTICULOS_GOLOMAX[[#This Row],[Precio]]/0.6),50)</f>
        <v>750</v>
      </c>
      <c r="P70" t="s">
        <v>8693</v>
      </c>
      <c r="Q70">
        <v>12</v>
      </c>
      <c r="R70" s="36">
        <v>4</v>
      </c>
      <c r="S70" t="s">
        <v>23</v>
      </c>
      <c r="T70" t="s">
        <v>10</v>
      </c>
      <c r="U70" t="s">
        <v>5</v>
      </c>
      <c r="V70" t="s">
        <v>11074</v>
      </c>
      <c r="W70" t="s">
        <v>8692</v>
      </c>
      <c r="X70">
        <v>1</v>
      </c>
      <c r="Y70">
        <v>0</v>
      </c>
      <c r="AB70" s="80" t="e">
        <f>ARTICULOS_OSLE[[#This Row],[Costo]]*ARTICULOS_OSLE[[#This Row],[Pedido]]</f>
        <v>#VALUE!</v>
      </c>
      <c r="AH70" s="2" t="e">
        <f>IF(AND(ARTICULOS_OSLE[[#This Row],[FechaVenc]]=0,ARTICULOS_OSLE[[#This Row],[DiasVenc]]=0),"",ARTICULOS_OSLE[[#This Row],[FechaVenc]]-ARTICULOS_OSLE[[#This Row],[DiasVenc]])</f>
        <v>#VALUE!</v>
      </c>
      <c r="AO70" s="30" t="s">
        <v>8689</v>
      </c>
    </row>
    <row r="71" spans="1:41" ht="15.75" hidden="1" x14ac:dyDescent="0.25">
      <c r="A71" s="81" t="s">
        <v>11077</v>
      </c>
      <c r="B71" s="30">
        <v>2140269</v>
      </c>
      <c r="C71" t="str">
        <f t="shared" si="2"/>
        <v>BEB13302069</v>
      </c>
      <c r="D71" t="s">
        <v>8689</v>
      </c>
      <c r="E71" s="1" t="s">
        <v>11078</v>
      </c>
      <c r="F71" s="61">
        <f>VLOOKUP(ARTICULOS_GOLOMAX[[#This Row],[CodigoProveedor]],'PRECIOS GOLOMAX'!$A$1:$C$10000,3,FALSE)</f>
        <v>735.92</v>
      </c>
      <c r="G71" s="3">
        <v>0</v>
      </c>
      <c r="H71" s="3">
        <v>0</v>
      </c>
      <c r="I71">
        <v>1</v>
      </c>
      <c r="J71">
        <v>1</v>
      </c>
      <c r="K71" s="31"/>
      <c r="L71" s="65">
        <f>((ARTICULOS_GOLOMAX[[#This Row],[P. Compra]]*(1+ARTICULOS_GOLOMAX[[#This Row],[IVA]]%))/ARTICULOS_GOLOMAX[[#This Row],[UnidFact]])+ARTICULOS_GOLOMAX[[#This Row],[CostoFlete]]</f>
        <v>735.92</v>
      </c>
      <c r="M71">
        <v>40</v>
      </c>
      <c r="N71" s="63">
        <f t="shared" si="3"/>
        <v>1250</v>
      </c>
      <c r="O71" s="23">
        <f>MROUND((ARTICULOS_GOLOMAX[[#This Row],[Precio]]/0.6),50)</f>
        <v>2100</v>
      </c>
      <c r="P71" t="s">
        <v>8693</v>
      </c>
      <c r="Q71">
        <v>12</v>
      </c>
      <c r="R71" s="36">
        <v>4</v>
      </c>
      <c r="S71" t="s">
        <v>23</v>
      </c>
      <c r="T71" t="s">
        <v>10</v>
      </c>
      <c r="U71" t="s">
        <v>5</v>
      </c>
      <c r="V71" t="s">
        <v>11079</v>
      </c>
      <c r="W71" t="s">
        <v>8692</v>
      </c>
      <c r="X71">
        <v>1</v>
      </c>
      <c r="Y71">
        <v>1</v>
      </c>
      <c r="AB71" s="80" t="e">
        <f>ARTICULOS_OSLE[[#This Row],[Costo]]*ARTICULOS_OSLE[[#This Row],[Pedido]]</f>
        <v>#VALUE!</v>
      </c>
      <c r="AH71" s="2" t="e">
        <f>IF(AND(ARTICULOS_OSLE[[#This Row],[FechaVenc]]=0,ARTICULOS_OSLE[[#This Row],[DiasVenc]]=0),"",ARTICULOS_OSLE[[#This Row],[FechaVenc]]-ARTICULOS_OSLE[[#This Row],[DiasVenc]])</f>
        <v>#VALUE!</v>
      </c>
      <c r="AO71" s="30" t="s">
        <v>8689</v>
      </c>
    </row>
    <row r="72" spans="1:41" ht="15.75" hidden="1" x14ac:dyDescent="0.25">
      <c r="A72" s="1" t="s">
        <v>11080</v>
      </c>
      <c r="B72" s="30">
        <v>2140269</v>
      </c>
      <c r="C72" t="str">
        <f t="shared" si="2"/>
        <v>BEB13302076</v>
      </c>
      <c r="D72" t="s">
        <v>8689</v>
      </c>
      <c r="E72" s="1" t="s">
        <v>11081</v>
      </c>
      <c r="F72" s="61">
        <f>VLOOKUP(ARTICULOS_GOLOMAX[[#This Row],[CodigoProveedor]],'PRECIOS GOLOMAX'!$A$1:$C$10000,3,FALSE)</f>
        <v>735.92</v>
      </c>
      <c r="G72" s="3">
        <v>0</v>
      </c>
      <c r="H72" s="3">
        <v>0</v>
      </c>
      <c r="I72">
        <v>1</v>
      </c>
      <c r="J72">
        <v>1</v>
      </c>
      <c r="K72" s="31"/>
      <c r="L72" s="65">
        <f>((ARTICULOS_GOLOMAX[[#This Row],[P. Compra]]*(1+ARTICULOS_GOLOMAX[[#This Row],[IVA]]%))/ARTICULOS_GOLOMAX[[#This Row],[UnidFact]])+ARTICULOS_GOLOMAX[[#This Row],[CostoFlete]]</f>
        <v>735.92</v>
      </c>
      <c r="M72">
        <v>40</v>
      </c>
      <c r="N72" s="63">
        <f t="shared" si="3"/>
        <v>1250</v>
      </c>
      <c r="O72" s="23">
        <f>MROUND((ARTICULOS_GOLOMAX[[#This Row],[Precio]]/0.6),50)</f>
        <v>2100</v>
      </c>
      <c r="P72" t="s">
        <v>8693</v>
      </c>
      <c r="Q72">
        <v>12</v>
      </c>
      <c r="R72" s="36">
        <v>4</v>
      </c>
      <c r="S72" t="s">
        <v>23</v>
      </c>
      <c r="T72" t="s">
        <v>10</v>
      </c>
      <c r="U72" t="s">
        <v>5</v>
      </c>
      <c r="V72" t="s">
        <v>11079</v>
      </c>
      <c r="W72" t="s">
        <v>8692</v>
      </c>
      <c r="X72">
        <v>1</v>
      </c>
      <c r="Y72">
        <v>0</v>
      </c>
      <c r="AB72" s="80" t="e">
        <f>ARTICULOS_OSLE[[#This Row],[Costo]]*ARTICULOS_OSLE[[#This Row],[Pedido]]</f>
        <v>#VALUE!</v>
      </c>
      <c r="AH72" s="2" t="e">
        <f>IF(AND(ARTICULOS_OSLE[[#This Row],[FechaVenc]]=0,ARTICULOS_OSLE[[#This Row],[DiasVenc]]=0),"",ARTICULOS_OSLE[[#This Row],[FechaVenc]]-ARTICULOS_OSLE[[#This Row],[DiasVenc]])</f>
        <v>#VALUE!</v>
      </c>
      <c r="AO72" s="30" t="s">
        <v>8689</v>
      </c>
    </row>
    <row r="73" spans="1:41" ht="15.75" hidden="1" x14ac:dyDescent="0.25">
      <c r="A73" s="1" t="s">
        <v>11082</v>
      </c>
      <c r="B73" s="30">
        <v>2140262</v>
      </c>
      <c r="C73" t="str">
        <f t="shared" si="2"/>
        <v>BEB13302090</v>
      </c>
      <c r="D73" t="s">
        <v>8689</v>
      </c>
      <c r="E73" s="1" t="s">
        <v>11083</v>
      </c>
      <c r="F73" s="61">
        <f>VLOOKUP(ARTICULOS_GOLOMAX[[#This Row],[CodigoProveedor]],'PRECIOS GOLOMAX'!$A$1:$C$10000,3,FALSE)</f>
        <v>735.92</v>
      </c>
      <c r="G73" s="3">
        <v>0</v>
      </c>
      <c r="H73" s="3">
        <v>0</v>
      </c>
      <c r="I73">
        <v>1</v>
      </c>
      <c r="J73">
        <v>1</v>
      </c>
      <c r="K73" s="31"/>
      <c r="L73" s="65">
        <f>((ARTICULOS_GOLOMAX[[#This Row],[P. Compra]]*(1+ARTICULOS_GOLOMAX[[#This Row],[IVA]]%))/ARTICULOS_GOLOMAX[[#This Row],[UnidFact]])+ARTICULOS_GOLOMAX[[#This Row],[CostoFlete]]</f>
        <v>735.92</v>
      </c>
      <c r="M73">
        <v>40</v>
      </c>
      <c r="N73" s="63">
        <f t="shared" si="3"/>
        <v>1250</v>
      </c>
      <c r="O73" s="23">
        <f>MROUND((ARTICULOS_GOLOMAX[[#This Row],[Precio]]/0.6),50)</f>
        <v>2100</v>
      </c>
      <c r="P73" t="s">
        <v>8693</v>
      </c>
      <c r="Q73">
        <v>12</v>
      </c>
      <c r="R73" s="36">
        <v>4</v>
      </c>
      <c r="S73" t="s">
        <v>23</v>
      </c>
      <c r="T73" t="s">
        <v>10</v>
      </c>
      <c r="U73" t="s">
        <v>5</v>
      </c>
      <c r="V73" t="s">
        <v>11079</v>
      </c>
      <c r="W73" t="s">
        <v>8692</v>
      </c>
      <c r="X73">
        <v>1</v>
      </c>
      <c r="Y73">
        <v>6</v>
      </c>
      <c r="AB73" s="80" t="e">
        <f>ARTICULOS_OSLE[[#This Row],[Costo]]*ARTICULOS_OSLE[[#This Row],[Pedido]]</f>
        <v>#VALUE!</v>
      </c>
      <c r="AH73" s="2" t="e">
        <f>IF(AND(ARTICULOS_OSLE[[#This Row],[FechaVenc]]=0,ARTICULOS_OSLE[[#This Row],[DiasVenc]]=0),"",ARTICULOS_OSLE[[#This Row],[FechaVenc]]-ARTICULOS_OSLE[[#This Row],[DiasVenc]])</f>
        <v>#VALUE!</v>
      </c>
      <c r="AO73" s="30" t="s">
        <v>8689</v>
      </c>
    </row>
    <row r="74" spans="1:41" ht="15.75" hidden="1" x14ac:dyDescent="0.25">
      <c r="A74" s="1" t="s">
        <v>11084</v>
      </c>
      <c r="B74" s="30">
        <v>2140273</v>
      </c>
      <c r="C74" t="str">
        <f t="shared" si="2"/>
        <v>BEB13302106</v>
      </c>
      <c r="D74" t="s">
        <v>8689</v>
      </c>
      <c r="E74" s="1" t="s">
        <v>11085</v>
      </c>
      <c r="F74" s="61">
        <f>VLOOKUP(ARTICULOS_GOLOMAX[[#This Row],[CodigoProveedor]],'PRECIOS GOLOMAX'!$A$1:$C$10000,3,FALSE)</f>
        <v>735.92</v>
      </c>
      <c r="G74" s="3">
        <v>0</v>
      </c>
      <c r="H74" s="3">
        <v>0</v>
      </c>
      <c r="I74">
        <v>1</v>
      </c>
      <c r="J74">
        <v>1</v>
      </c>
      <c r="K74" s="31"/>
      <c r="L74" s="65">
        <f>((ARTICULOS_GOLOMAX[[#This Row],[P. Compra]]*(1+ARTICULOS_GOLOMAX[[#This Row],[IVA]]%))/ARTICULOS_GOLOMAX[[#This Row],[UnidFact]])+ARTICULOS_GOLOMAX[[#This Row],[CostoFlete]]</f>
        <v>735.92</v>
      </c>
      <c r="M74">
        <v>40</v>
      </c>
      <c r="N74" s="63">
        <f t="shared" si="3"/>
        <v>1250</v>
      </c>
      <c r="O74" s="23">
        <f>MROUND((ARTICULOS_GOLOMAX[[#This Row],[Precio]]/0.6),50)</f>
        <v>2100</v>
      </c>
      <c r="P74" t="s">
        <v>8693</v>
      </c>
      <c r="Q74">
        <v>12</v>
      </c>
      <c r="R74" s="36">
        <v>4</v>
      </c>
      <c r="S74" t="s">
        <v>23</v>
      </c>
      <c r="T74" t="s">
        <v>10</v>
      </c>
      <c r="U74" t="s">
        <v>5</v>
      </c>
      <c r="V74" t="s">
        <v>11079</v>
      </c>
      <c r="W74" t="s">
        <v>8692</v>
      </c>
      <c r="X74">
        <v>1</v>
      </c>
      <c r="Y74">
        <v>6</v>
      </c>
      <c r="AB74" s="80" t="e">
        <f>ARTICULOS_OSLE[[#This Row],[Costo]]*ARTICULOS_OSLE[[#This Row],[Pedido]]</f>
        <v>#VALUE!</v>
      </c>
      <c r="AH74" s="2" t="e">
        <f>IF(AND(ARTICULOS_OSLE[[#This Row],[FechaVenc]]=0,ARTICULOS_OSLE[[#This Row],[DiasVenc]]=0),"",ARTICULOS_OSLE[[#This Row],[FechaVenc]]-ARTICULOS_OSLE[[#This Row],[DiasVenc]])</f>
        <v>#VALUE!</v>
      </c>
      <c r="AO74" s="30" t="s">
        <v>8689</v>
      </c>
    </row>
    <row r="75" spans="1:41" ht="15.75" hidden="1" x14ac:dyDescent="0.25">
      <c r="A75" s="1" t="s">
        <v>11086</v>
      </c>
      <c r="B75" s="30">
        <v>2140276</v>
      </c>
      <c r="C75" t="str">
        <f t="shared" si="2"/>
        <v>BEB13302113</v>
      </c>
      <c r="D75" t="s">
        <v>8689</v>
      </c>
      <c r="E75" s="1" t="s">
        <v>11087</v>
      </c>
      <c r="F75" s="61">
        <f>VLOOKUP(ARTICULOS_GOLOMAX[[#This Row],[CodigoProveedor]],'PRECIOS GOLOMAX'!$A$1:$C$10000,3,FALSE)</f>
        <v>735.92</v>
      </c>
      <c r="G75" s="3">
        <v>0</v>
      </c>
      <c r="H75" s="3">
        <v>0</v>
      </c>
      <c r="I75">
        <v>1</v>
      </c>
      <c r="J75">
        <v>1</v>
      </c>
      <c r="K75" s="31"/>
      <c r="L75" s="65">
        <f>((ARTICULOS_GOLOMAX[[#This Row],[P. Compra]]*(1+ARTICULOS_GOLOMAX[[#This Row],[IVA]]%))/ARTICULOS_GOLOMAX[[#This Row],[UnidFact]])+ARTICULOS_GOLOMAX[[#This Row],[CostoFlete]]</f>
        <v>735.92</v>
      </c>
      <c r="M75">
        <v>40</v>
      </c>
      <c r="N75" s="63">
        <f t="shared" si="3"/>
        <v>1250</v>
      </c>
      <c r="O75" s="23">
        <f>MROUND((ARTICULOS_GOLOMAX[[#This Row],[Precio]]/0.6),50)</f>
        <v>2100</v>
      </c>
      <c r="P75" t="s">
        <v>8693</v>
      </c>
      <c r="Q75">
        <v>12</v>
      </c>
      <c r="R75" s="36">
        <v>4</v>
      </c>
      <c r="S75" t="s">
        <v>23</v>
      </c>
      <c r="T75" t="s">
        <v>10</v>
      </c>
      <c r="U75" t="s">
        <v>5</v>
      </c>
      <c r="V75" t="s">
        <v>11079</v>
      </c>
      <c r="W75" t="s">
        <v>8692</v>
      </c>
      <c r="X75">
        <v>1</v>
      </c>
      <c r="Y75">
        <v>14</v>
      </c>
      <c r="AB75" s="80" t="e">
        <f>ARTICULOS_OSLE[[#This Row],[Costo]]*ARTICULOS_OSLE[[#This Row],[Pedido]]</f>
        <v>#VALUE!</v>
      </c>
      <c r="AH75" s="2" t="e">
        <f>IF(AND(ARTICULOS_OSLE[[#This Row],[FechaVenc]]=0,ARTICULOS_OSLE[[#This Row],[DiasVenc]]=0),"",ARTICULOS_OSLE[[#This Row],[FechaVenc]]-ARTICULOS_OSLE[[#This Row],[DiasVenc]])</f>
        <v>#VALUE!</v>
      </c>
      <c r="AO75" s="30" t="s">
        <v>8689</v>
      </c>
    </row>
    <row r="76" spans="1:41" ht="15.75" hidden="1" x14ac:dyDescent="0.25">
      <c r="A76" s="1" t="s">
        <v>11088</v>
      </c>
      <c r="B76" s="30">
        <v>2140169</v>
      </c>
      <c r="C76" t="str">
        <f t="shared" si="2"/>
        <v>BEB13302007</v>
      </c>
      <c r="D76" t="s">
        <v>8689</v>
      </c>
      <c r="E76" s="1" t="s">
        <v>11089</v>
      </c>
      <c r="F76" s="61">
        <f>VLOOKUP(ARTICULOS_GOLOMAX[[#This Row],[CodigoProveedor]],'PRECIOS GOLOMAX'!$A$1:$C$10000,3,FALSE)</f>
        <v>401.41</v>
      </c>
      <c r="G76" s="3">
        <v>0</v>
      </c>
      <c r="H76" s="3">
        <v>0</v>
      </c>
      <c r="I76">
        <v>1</v>
      </c>
      <c r="J76">
        <v>1</v>
      </c>
      <c r="K76" s="31"/>
      <c r="L76" s="65">
        <f>((ARTICULOS_GOLOMAX[[#This Row],[P. Compra]]*(1+ARTICULOS_GOLOMAX[[#This Row],[IVA]]%))/ARTICULOS_GOLOMAX[[#This Row],[UnidFact]])+ARTICULOS_GOLOMAX[[#This Row],[CostoFlete]]</f>
        <v>401.41</v>
      </c>
      <c r="M76">
        <v>40</v>
      </c>
      <c r="N76" s="63">
        <f t="shared" si="3"/>
        <v>650</v>
      </c>
      <c r="O76" s="23">
        <f>MROUND((ARTICULOS_GOLOMAX[[#This Row],[Precio]]/0.6),50)</f>
        <v>1100</v>
      </c>
      <c r="P76" t="s">
        <v>8693</v>
      </c>
      <c r="Q76">
        <v>12</v>
      </c>
      <c r="R76" s="36">
        <v>4</v>
      </c>
      <c r="S76" t="s">
        <v>23</v>
      </c>
      <c r="T76" t="s">
        <v>10</v>
      </c>
      <c r="U76" t="s">
        <v>5</v>
      </c>
      <c r="V76" t="s">
        <v>11079</v>
      </c>
      <c r="W76" t="s">
        <v>8692</v>
      </c>
      <c r="X76">
        <v>1</v>
      </c>
      <c r="Y76">
        <v>0</v>
      </c>
      <c r="AB76" s="80" t="e">
        <f>ARTICULOS_OSLE[[#This Row],[Costo]]*ARTICULOS_OSLE[[#This Row],[Pedido]]</f>
        <v>#VALUE!</v>
      </c>
      <c r="AH76" s="2" t="e">
        <f>IF(AND(ARTICULOS_OSLE[[#This Row],[FechaVenc]]=0,ARTICULOS_OSLE[[#This Row],[DiasVenc]]=0),"",ARTICULOS_OSLE[[#This Row],[FechaVenc]]-ARTICULOS_OSLE[[#This Row],[DiasVenc]])</f>
        <v>#VALUE!</v>
      </c>
      <c r="AO76" s="30" t="s">
        <v>8689</v>
      </c>
    </row>
    <row r="77" spans="1:41" ht="15.75" hidden="1" x14ac:dyDescent="0.25">
      <c r="A77" s="1" t="s">
        <v>11090</v>
      </c>
      <c r="B77" s="30">
        <v>2140169</v>
      </c>
      <c r="C77" t="str">
        <f t="shared" si="2"/>
        <v>BEB13302014</v>
      </c>
      <c r="D77" t="s">
        <v>8689</v>
      </c>
      <c r="E77" s="1" t="s">
        <v>11091</v>
      </c>
      <c r="F77" s="61">
        <f>VLOOKUP(ARTICULOS_GOLOMAX[[#This Row],[CodigoProveedor]],'PRECIOS GOLOMAX'!$A$1:$C$10000,3,FALSE)</f>
        <v>401.41</v>
      </c>
      <c r="G77" s="3">
        <v>0</v>
      </c>
      <c r="H77" s="3">
        <v>0</v>
      </c>
      <c r="I77">
        <v>1</v>
      </c>
      <c r="J77">
        <v>1</v>
      </c>
      <c r="K77" s="31"/>
      <c r="L77" s="65">
        <f>((ARTICULOS_GOLOMAX[[#This Row],[P. Compra]]*(1+ARTICULOS_GOLOMAX[[#This Row],[IVA]]%))/ARTICULOS_GOLOMAX[[#This Row],[UnidFact]])+ARTICULOS_GOLOMAX[[#This Row],[CostoFlete]]</f>
        <v>401.41</v>
      </c>
      <c r="M77">
        <v>40</v>
      </c>
      <c r="N77" s="63">
        <f t="shared" si="3"/>
        <v>650</v>
      </c>
      <c r="O77" s="23">
        <f>MROUND((ARTICULOS_GOLOMAX[[#This Row],[Precio]]/0.6),50)</f>
        <v>1100</v>
      </c>
      <c r="P77" t="s">
        <v>8693</v>
      </c>
      <c r="Q77">
        <v>12</v>
      </c>
      <c r="R77" s="36">
        <v>4</v>
      </c>
      <c r="S77" t="s">
        <v>23</v>
      </c>
      <c r="T77" t="s">
        <v>10</v>
      </c>
      <c r="U77" t="s">
        <v>5</v>
      </c>
      <c r="V77" t="s">
        <v>11079</v>
      </c>
      <c r="W77" t="s">
        <v>8692</v>
      </c>
      <c r="X77">
        <v>1</v>
      </c>
      <c r="Y77">
        <v>0</v>
      </c>
      <c r="AB77" s="80" t="e">
        <f>ARTICULOS_OSLE[[#This Row],[Costo]]*ARTICULOS_OSLE[[#This Row],[Pedido]]</f>
        <v>#VALUE!</v>
      </c>
      <c r="AH77" s="2" t="e">
        <f>IF(AND(ARTICULOS_OSLE[[#This Row],[FechaVenc]]=0,ARTICULOS_OSLE[[#This Row],[DiasVenc]]=0),"",ARTICULOS_OSLE[[#This Row],[FechaVenc]]-ARTICULOS_OSLE[[#This Row],[DiasVenc]])</f>
        <v>#VALUE!</v>
      </c>
      <c r="AO77" s="30" t="s">
        <v>8689</v>
      </c>
    </row>
    <row r="78" spans="1:41" ht="15.75" hidden="1" x14ac:dyDescent="0.25">
      <c r="A78" s="1" t="s">
        <v>11092</v>
      </c>
      <c r="B78" s="30">
        <v>2140162</v>
      </c>
      <c r="C78" t="str">
        <f t="shared" si="2"/>
        <v>BEB13302038</v>
      </c>
      <c r="D78" t="s">
        <v>8689</v>
      </c>
      <c r="E78" s="1" t="s">
        <v>11093</v>
      </c>
      <c r="F78" s="61">
        <f>VLOOKUP(ARTICULOS_GOLOMAX[[#This Row],[CodigoProveedor]],'PRECIOS GOLOMAX'!$A$1:$C$10000,3,FALSE)</f>
        <v>401.41</v>
      </c>
      <c r="G78" s="3">
        <v>0</v>
      </c>
      <c r="H78" s="3">
        <v>0</v>
      </c>
      <c r="I78">
        <v>1</v>
      </c>
      <c r="J78">
        <v>1</v>
      </c>
      <c r="K78" s="31"/>
      <c r="L78" s="65">
        <f>((ARTICULOS_GOLOMAX[[#This Row],[P. Compra]]*(1+ARTICULOS_GOLOMAX[[#This Row],[IVA]]%))/ARTICULOS_GOLOMAX[[#This Row],[UnidFact]])+ARTICULOS_GOLOMAX[[#This Row],[CostoFlete]]</f>
        <v>401.41</v>
      </c>
      <c r="M78">
        <v>40</v>
      </c>
      <c r="N78" s="63">
        <f t="shared" si="3"/>
        <v>650</v>
      </c>
      <c r="O78" s="23">
        <f>MROUND((ARTICULOS_GOLOMAX[[#This Row],[Precio]]/0.6),50)</f>
        <v>1100</v>
      </c>
      <c r="P78" t="s">
        <v>8693</v>
      </c>
      <c r="Q78">
        <v>12</v>
      </c>
      <c r="R78" s="36">
        <v>4</v>
      </c>
      <c r="S78" t="s">
        <v>23</v>
      </c>
      <c r="T78" t="s">
        <v>10</v>
      </c>
      <c r="U78" t="s">
        <v>5</v>
      </c>
      <c r="V78" t="s">
        <v>11079</v>
      </c>
      <c r="W78" t="s">
        <v>8692</v>
      </c>
      <c r="X78">
        <v>1</v>
      </c>
      <c r="Y78">
        <v>0</v>
      </c>
      <c r="AB78" s="80" t="e">
        <f>ARTICULOS_OSLE[[#This Row],[Costo]]*ARTICULOS_OSLE[[#This Row],[Pedido]]</f>
        <v>#VALUE!</v>
      </c>
      <c r="AH78" s="2" t="e">
        <f>IF(AND(ARTICULOS_OSLE[[#This Row],[FechaVenc]]=0,ARTICULOS_OSLE[[#This Row],[DiasVenc]]=0),"",ARTICULOS_OSLE[[#This Row],[FechaVenc]]-ARTICULOS_OSLE[[#This Row],[DiasVenc]])</f>
        <v>#VALUE!</v>
      </c>
      <c r="AO78" s="30" t="s">
        <v>8689</v>
      </c>
    </row>
    <row r="79" spans="1:41" ht="15.75" hidden="1" x14ac:dyDescent="0.25">
      <c r="A79" s="1" t="s">
        <v>11094</v>
      </c>
      <c r="B79" s="30">
        <v>2140173</v>
      </c>
      <c r="C79" t="str">
        <f t="shared" si="2"/>
        <v>BEB13302045</v>
      </c>
      <c r="D79" t="s">
        <v>8689</v>
      </c>
      <c r="E79" s="1" t="s">
        <v>11095</v>
      </c>
      <c r="F79" s="61">
        <f>VLOOKUP(ARTICULOS_GOLOMAX[[#This Row],[CodigoProveedor]],'PRECIOS GOLOMAX'!$A$1:$C$10000,3,FALSE)</f>
        <v>401.41</v>
      </c>
      <c r="G79" s="3">
        <v>0</v>
      </c>
      <c r="H79" s="3">
        <v>0</v>
      </c>
      <c r="I79">
        <v>1</v>
      </c>
      <c r="J79">
        <v>1</v>
      </c>
      <c r="K79" s="31"/>
      <c r="L79" s="65">
        <f>((ARTICULOS_GOLOMAX[[#This Row],[P. Compra]]*(1+ARTICULOS_GOLOMAX[[#This Row],[IVA]]%))/ARTICULOS_GOLOMAX[[#This Row],[UnidFact]])+ARTICULOS_GOLOMAX[[#This Row],[CostoFlete]]</f>
        <v>401.41</v>
      </c>
      <c r="M79">
        <v>40</v>
      </c>
      <c r="N79" s="63">
        <f t="shared" si="3"/>
        <v>650</v>
      </c>
      <c r="O79" s="23">
        <f>MROUND((ARTICULOS_GOLOMAX[[#This Row],[Precio]]/0.6),50)</f>
        <v>1100</v>
      </c>
      <c r="P79" t="s">
        <v>8693</v>
      </c>
      <c r="Q79">
        <v>12</v>
      </c>
      <c r="R79" s="36">
        <v>4</v>
      </c>
      <c r="S79" t="s">
        <v>23</v>
      </c>
      <c r="T79" t="s">
        <v>10</v>
      </c>
      <c r="U79" t="s">
        <v>5</v>
      </c>
      <c r="V79" t="s">
        <v>11079</v>
      </c>
      <c r="W79" t="s">
        <v>8692</v>
      </c>
      <c r="X79">
        <v>1</v>
      </c>
      <c r="Y79">
        <v>0</v>
      </c>
      <c r="AB79" s="80" t="e">
        <f>ARTICULOS_OSLE[[#This Row],[Costo]]*ARTICULOS_OSLE[[#This Row],[Pedido]]</f>
        <v>#VALUE!</v>
      </c>
      <c r="AH79" s="2" t="e">
        <f>IF(AND(ARTICULOS_OSLE[[#This Row],[FechaVenc]]=0,ARTICULOS_OSLE[[#This Row],[DiasVenc]]=0),"",ARTICULOS_OSLE[[#This Row],[FechaVenc]]-ARTICULOS_OSLE[[#This Row],[DiasVenc]])</f>
        <v>#VALUE!</v>
      </c>
      <c r="AO79" s="30" t="s">
        <v>8689</v>
      </c>
    </row>
    <row r="80" spans="1:41" ht="15.75" hidden="1" x14ac:dyDescent="0.25">
      <c r="A80" s="1" t="s">
        <v>11096</v>
      </c>
      <c r="B80" s="30">
        <v>2140176</v>
      </c>
      <c r="C80" t="str">
        <f t="shared" si="2"/>
        <v>BEB13302052</v>
      </c>
      <c r="D80" t="s">
        <v>8689</v>
      </c>
      <c r="E80" s="1" t="s">
        <v>11097</v>
      </c>
      <c r="F80" s="61">
        <f>VLOOKUP(ARTICULOS_GOLOMAX[[#This Row],[CodigoProveedor]],'PRECIOS GOLOMAX'!$A$1:$C$10000,3,FALSE)</f>
        <v>401.41</v>
      </c>
      <c r="G80" s="3">
        <v>0</v>
      </c>
      <c r="H80" s="3">
        <v>0</v>
      </c>
      <c r="I80">
        <v>1</v>
      </c>
      <c r="J80">
        <v>1</v>
      </c>
      <c r="K80" s="31"/>
      <c r="L80" s="65">
        <f>((ARTICULOS_GOLOMAX[[#This Row],[P. Compra]]*(1+ARTICULOS_GOLOMAX[[#This Row],[IVA]]%))/ARTICULOS_GOLOMAX[[#This Row],[UnidFact]])+ARTICULOS_GOLOMAX[[#This Row],[CostoFlete]]</f>
        <v>401.41</v>
      </c>
      <c r="M80">
        <v>40</v>
      </c>
      <c r="N80" s="63">
        <f t="shared" si="3"/>
        <v>650</v>
      </c>
      <c r="O80" s="23">
        <f>MROUND((ARTICULOS_GOLOMAX[[#This Row],[Precio]]/0.6),50)</f>
        <v>1100</v>
      </c>
      <c r="P80" t="s">
        <v>8693</v>
      </c>
      <c r="Q80">
        <v>12</v>
      </c>
      <c r="R80" s="36">
        <v>4</v>
      </c>
      <c r="S80" t="s">
        <v>23</v>
      </c>
      <c r="T80" t="s">
        <v>10</v>
      </c>
      <c r="U80" t="s">
        <v>5</v>
      </c>
      <c r="V80" t="s">
        <v>11079</v>
      </c>
      <c r="W80" t="s">
        <v>8692</v>
      </c>
      <c r="X80">
        <v>1</v>
      </c>
      <c r="Y80">
        <v>10</v>
      </c>
      <c r="AB80" s="80" t="e">
        <f>ARTICULOS_OSLE[[#This Row],[Costo]]*ARTICULOS_OSLE[[#This Row],[Pedido]]</f>
        <v>#VALUE!</v>
      </c>
      <c r="AH80" s="2" t="e">
        <f>IF(AND(ARTICULOS_OSLE[[#This Row],[FechaVenc]]=0,ARTICULOS_OSLE[[#This Row],[DiasVenc]]=0),"",ARTICULOS_OSLE[[#This Row],[FechaVenc]]-ARTICULOS_OSLE[[#This Row],[DiasVenc]])</f>
        <v>#VALUE!</v>
      </c>
      <c r="AO80" s="30" t="s">
        <v>8689</v>
      </c>
    </row>
    <row r="81" spans="1:41" ht="15.75" hidden="1" x14ac:dyDescent="0.25">
      <c r="A81" s="1" t="s">
        <v>11098</v>
      </c>
      <c r="B81" s="30">
        <v>2140000</v>
      </c>
      <c r="C81" t="str">
        <f t="shared" si="2"/>
        <v>BEB13301529</v>
      </c>
      <c r="D81" t="s">
        <v>8689</v>
      </c>
      <c r="E81" s="1" t="s">
        <v>11099</v>
      </c>
      <c r="F81" s="61">
        <f>VLOOKUP(ARTICULOS_GOLOMAX[[#This Row],[CodigoProveedor]],'PRECIOS GOLOMAX'!$A$1:$C$10000,3,FALSE)</f>
        <v>1013.97</v>
      </c>
      <c r="G81" s="3">
        <v>0</v>
      </c>
      <c r="H81" s="3">
        <v>0</v>
      </c>
      <c r="I81">
        <v>1</v>
      </c>
      <c r="J81">
        <v>1</v>
      </c>
      <c r="K81" s="31"/>
      <c r="L81" s="65">
        <f>((ARTICULOS_GOLOMAX[[#This Row],[P. Compra]]*(1+ARTICULOS_GOLOMAX[[#This Row],[IVA]]%))/ARTICULOS_GOLOMAX[[#This Row],[UnidFact]])+ARTICULOS_GOLOMAX[[#This Row],[CostoFlete]]</f>
        <v>1013.97</v>
      </c>
      <c r="M81">
        <v>35</v>
      </c>
      <c r="N81" s="63">
        <f t="shared" si="3"/>
        <v>1550</v>
      </c>
      <c r="O81" s="23">
        <f>MROUND((ARTICULOS_GOLOMAX[[#This Row],[Precio]]/0.6),50)</f>
        <v>2600</v>
      </c>
      <c r="P81" t="s">
        <v>8693</v>
      </c>
      <c r="Q81">
        <v>12</v>
      </c>
      <c r="R81" s="36">
        <v>4</v>
      </c>
      <c r="S81" t="s">
        <v>23</v>
      </c>
      <c r="T81" t="s">
        <v>10</v>
      </c>
      <c r="U81" t="s">
        <v>62</v>
      </c>
      <c r="V81" t="s">
        <v>11074</v>
      </c>
      <c r="W81" t="s">
        <v>8692</v>
      </c>
      <c r="X81">
        <v>1</v>
      </c>
      <c r="Y81">
        <v>6</v>
      </c>
      <c r="AB81" s="80" t="e">
        <f>ARTICULOS_OSLE[[#This Row],[Costo]]*ARTICULOS_OSLE[[#This Row],[Pedido]]</f>
        <v>#VALUE!</v>
      </c>
      <c r="AH81" s="2" t="e">
        <f>IF(AND(ARTICULOS_OSLE[[#This Row],[FechaVenc]]=0,ARTICULOS_OSLE[[#This Row],[DiasVenc]]=0),"",ARTICULOS_OSLE[[#This Row],[FechaVenc]]-ARTICULOS_OSLE[[#This Row],[DiasVenc]])</f>
        <v>#VALUE!</v>
      </c>
      <c r="AO81" s="30" t="s">
        <v>8689</v>
      </c>
    </row>
    <row r="82" spans="1:41" ht="15.75" hidden="1" x14ac:dyDescent="0.25">
      <c r="A82" s="1" t="s">
        <v>11100</v>
      </c>
      <c r="B82" s="30">
        <v>2140310</v>
      </c>
      <c r="C82" t="str">
        <f t="shared" si="2"/>
        <v>BEB13300058</v>
      </c>
      <c r="D82" t="s">
        <v>8689</v>
      </c>
      <c r="E82" s="1" t="s">
        <v>11101</v>
      </c>
      <c r="F82" s="61">
        <f>VLOOKUP(ARTICULOS_GOLOMAX[[#This Row],[CodigoProveedor]],'PRECIOS GOLOMAX'!$A$1:$C$10000,3,FALSE)</f>
        <v>5485.93</v>
      </c>
      <c r="G82" s="3">
        <v>0</v>
      </c>
      <c r="H82" s="3">
        <v>0</v>
      </c>
      <c r="I82">
        <v>6</v>
      </c>
      <c r="J82">
        <v>6</v>
      </c>
      <c r="K82" s="31"/>
      <c r="L82" s="65">
        <f>((ARTICULOS_GOLOMAX[[#This Row],[P. Compra]]*(1+ARTICULOS_GOLOMAX[[#This Row],[IVA]]%))/ARTICULOS_GOLOMAX[[#This Row],[UnidFact]])+ARTICULOS_GOLOMAX[[#This Row],[CostoFlete]]</f>
        <v>914.32166666666672</v>
      </c>
      <c r="M82">
        <v>35</v>
      </c>
      <c r="N82" s="63">
        <f t="shared" si="3"/>
        <v>1400</v>
      </c>
      <c r="O82" s="23">
        <f>MROUND((ARTICULOS_GOLOMAX[[#This Row],[Precio]]/0.6),50)</f>
        <v>2350</v>
      </c>
      <c r="P82" t="s">
        <v>8693</v>
      </c>
      <c r="Q82">
        <v>12</v>
      </c>
      <c r="R82" s="36">
        <v>4</v>
      </c>
      <c r="S82" t="s">
        <v>23</v>
      </c>
      <c r="T82" t="s">
        <v>10</v>
      </c>
      <c r="U82" t="s">
        <v>62</v>
      </c>
      <c r="V82" t="s">
        <v>11074</v>
      </c>
      <c r="W82" t="s">
        <v>8692</v>
      </c>
      <c r="X82">
        <v>1</v>
      </c>
      <c r="Y82">
        <v>4</v>
      </c>
      <c r="AB82" s="80" t="e">
        <f>ARTICULOS_OSLE[[#This Row],[Costo]]*ARTICULOS_OSLE[[#This Row],[Pedido]]</f>
        <v>#VALUE!</v>
      </c>
      <c r="AH82" s="2" t="e">
        <f>IF(AND(ARTICULOS_OSLE[[#This Row],[FechaVenc]]=0,ARTICULOS_OSLE[[#This Row],[DiasVenc]]=0),"",ARTICULOS_OSLE[[#This Row],[FechaVenc]]-ARTICULOS_OSLE[[#This Row],[DiasVenc]])</f>
        <v>#VALUE!</v>
      </c>
      <c r="AO82" s="30" t="s">
        <v>8689</v>
      </c>
    </row>
    <row r="83" spans="1:41" ht="15.75" hidden="1" x14ac:dyDescent="0.25">
      <c r="A83" s="1" t="s">
        <v>11102</v>
      </c>
      <c r="B83" s="30">
        <v>2360125</v>
      </c>
      <c r="C83" t="str">
        <f t="shared" si="2"/>
        <v>BEB13300010</v>
      </c>
      <c r="D83" t="s">
        <v>8689</v>
      </c>
      <c r="E83" s="1" t="s">
        <v>11103</v>
      </c>
      <c r="F83" s="61">
        <f>VLOOKUP(ARTICULOS_GOLOMAX[[#This Row],[CodigoProveedor]],'PRECIOS GOLOMAX'!$A$1:$C$10000,3,FALSE)</f>
        <v>914.32</v>
      </c>
      <c r="G83" s="3">
        <v>0</v>
      </c>
      <c r="H83" s="3">
        <v>0</v>
      </c>
      <c r="I83">
        <v>1</v>
      </c>
      <c r="J83">
        <v>1</v>
      </c>
      <c r="K83" s="31"/>
      <c r="L83" s="65">
        <f>((ARTICULOS_GOLOMAX[[#This Row],[P. Compra]]*(1+ARTICULOS_GOLOMAX[[#This Row],[IVA]]%))/ARTICULOS_GOLOMAX[[#This Row],[UnidFact]])+ARTICULOS_GOLOMAX[[#This Row],[CostoFlete]]</f>
        <v>914.32</v>
      </c>
      <c r="M83">
        <v>35</v>
      </c>
      <c r="N83" s="63">
        <f t="shared" si="3"/>
        <v>1400</v>
      </c>
      <c r="O83" s="23">
        <f>MROUND((ARTICULOS_GOLOMAX[[#This Row],[Precio]]/0.6),50)</f>
        <v>2350</v>
      </c>
      <c r="P83" t="s">
        <v>8693</v>
      </c>
      <c r="Q83">
        <v>12</v>
      </c>
      <c r="R83" s="36">
        <v>4</v>
      </c>
      <c r="S83" t="s">
        <v>23</v>
      </c>
      <c r="T83" t="s">
        <v>10</v>
      </c>
      <c r="U83" t="s">
        <v>62</v>
      </c>
      <c r="V83" t="s">
        <v>11074</v>
      </c>
      <c r="W83" t="s">
        <v>8692</v>
      </c>
      <c r="X83">
        <v>1</v>
      </c>
      <c r="Y83">
        <v>0</v>
      </c>
      <c r="AB83" s="80" t="e">
        <f>ARTICULOS_OSLE[[#This Row],[Costo]]*ARTICULOS_OSLE[[#This Row],[Pedido]]</f>
        <v>#VALUE!</v>
      </c>
      <c r="AH83" s="2" t="e">
        <f>IF(AND(ARTICULOS_OSLE[[#This Row],[FechaVenc]]=0,ARTICULOS_OSLE[[#This Row],[DiasVenc]]=0),"",ARTICULOS_OSLE[[#This Row],[FechaVenc]]-ARTICULOS_OSLE[[#This Row],[DiasVenc]])</f>
        <v>#VALUE!</v>
      </c>
      <c r="AO83" s="30" t="s">
        <v>8689</v>
      </c>
    </row>
    <row r="84" spans="1:41" ht="15.75" hidden="1" x14ac:dyDescent="0.25">
      <c r="A84" s="1" t="s">
        <v>11104</v>
      </c>
      <c r="B84" s="30">
        <v>2360155</v>
      </c>
      <c r="C84" t="str">
        <f t="shared" si="2"/>
        <v>BEB13300027</v>
      </c>
      <c r="D84" t="s">
        <v>8689</v>
      </c>
      <c r="E84" s="1" t="s">
        <v>11105</v>
      </c>
      <c r="F84" s="61">
        <f>VLOOKUP(ARTICULOS_GOLOMAX[[#This Row],[CodigoProveedor]],'PRECIOS GOLOMAX'!$A$1:$C$10000,3,FALSE)</f>
        <v>914.32</v>
      </c>
      <c r="G84" s="3">
        <v>0</v>
      </c>
      <c r="H84" s="3">
        <v>0</v>
      </c>
      <c r="I84">
        <v>1</v>
      </c>
      <c r="J84">
        <v>1</v>
      </c>
      <c r="K84" s="31"/>
      <c r="L84" s="65">
        <f>((ARTICULOS_GOLOMAX[[#This Row],[P. Compra]]*(1+ARTICULOS_GOLOMAX[[#This Row],[IVA]]%))/ARTICULOS_GOLOMAX[[#This Row],[UnidFact]])+ARTICULOS_GOLOMAX[[#This Row],[CostoFlete]]</f>
        <v>914.32</v>
      </c>
      <c r="M84">
        <v>35</v>
      </c>
      <c r="N84" s="63">
        <f t="shared" si="3"/>
        <v>1400</v>
      </c>
      <c r="O84" s="23">
        <f>MROUND((ARTICULOS_GOLOMAX[[#This Row],[Precio]]/0.6),50)</f>
        <v>2350</v>
      </c>
      <c r="P84" t="s">
        <v>8693</v>
      </c>
      <c r="Q84">
        <v>12</v>
      </c>
      <c r="R84" s="36">
        <v>4</v>
      </c>
      <c r="S84" t="s">
        <v>23</v>
      </c>
      <c r="T84" t="s">
        <v>10</v>
      </c>
      <c r="U84" t="s">
        <v>62</v>
      </c>
      <c r="V84" t="s">
        <v>11074</v>
      </c>
      <c r="W84" t="s">
        <v>8692</v>
      </c>
      <c r="X84">
        <v>1</v>
      </c>
      <c r="Y84">
        <v>2</v>
      </c>
      <c r="AB84" s="80" t="e">
        <f>ARTICULOS_OSLE[[#This Row],[Costo]]*ARTICULOS_OSLE[[#This Row],[Pedido]]</f>
        <v>#VALUE!</v>
      </c>
      <c r="AH84" s="2" t="e">
        <f>IF(AND(ARTICULOS_OSLE[[#This Row],[FechaVenc]]=0,ARTICULOS_OSLE[[#This Row],[DiasVenc]]=0),"",ARTICULOS_OSLE[[#This Row],[FechaVenc]]-ARTICULOS_OSLE[[#This Row],[DiasVenc]])</f>
        <v>#VALUE!</v>
      </c>
      <c r="AO84" s="30" t="s">
        <v>8689</v>
      </c>
    </row>
    <row r="85" spans="1:41" ht="15.75" hidden="1" x14ac:dyDescent="0.25">
      <c r="A85" s="1" t="s">
        <v>11106</v>
      </c>
      <c r="B85" s="30">
        <v>2360162</v>
      </c>
      <c r="C85" t="str">
        <f t="shared" si="2"/>
        <v>BEB13300041</v>
      </c>
      <c r="D85" t="s">
        <v>8689</v>
      </c>
      <c r="E85" s="1" t="s">
        <v>11107</v>
      </c>
      <c r="F85" s="61">
        <f>VLOOKUP(ARTICULOS_GOLOMAX[[#This Row],[CodigoProveedor]],'PRECIOS GOLOMAX'!$A$1:$C$10000,3,FALSE)</f>
        <v>914.32</v>
      </c>
      <c r="G85" s="3">
        <v>0</v>
      </c>
      <c r="H85" s="3">
        <v>0</v>
      </c>
      <c r="I85">
        <v>1</v>
      </c>
      <c r="J85">
        <v>1</v>
      </c>
      <c r="K85" s="31"/>
      <c r="L85" s="65">
        <f>((ARTICULOS_GOLOMAX[[#This Row],[P. Compra]]*(1+ARTICULOS_GOLOMAX[[#This Row],[IVA]]%))/ARTICULOS_GOLOMAX[[#This Row],[UnidFact]])+ARTICULOS_GOLOMAX[[#This Row],[CostoFlete]]</f>
        <v>914.32</v>
      </c>
      <c r="M85">
        <v>35</v>
      </c>
      <c r="N85" s="63">
        <f t="shared" si="3"/>
        <v>1400</v>
      </c>
      <c r="O85" s="23">
        <f>MROUND((ARTICULOS_GOLOMAX[[#This Row],[Precio]]/0.6),50)</f>
        <v>2350</v>
      </c>
      <c r="P85" t="s">
        <v>8693</v>
      </c>
      <c r="Q85">
        <v>12</v>
      </c>
      <c r="R85" s="36">
        <v>4</v>
      </c>
      <c r="S85" t="s">
        <v>23</v>
      </c>
      <c r="T85" t="s">
        <v>10</v>
      </c>
      <c r="U85" t="s">
        <v>62</v>
      </c>
      <c r="V85" t="s">
        <v>11074</v>
      </c>
      <c r="W85" t="s">
        <v>8692</v>
      </c>
      <c r="X85">
        <v>1</v>
      </c>
      <c r="Y85">
        <v>0</v>
      </c>
      <c r="AB85" s="80" t="e">
        <f>ARTICULOS_OSLE[[#This Row],[Costo]]*ARTICULOS_OSLE[[#This Row],[Pedido]]</f>
        <v>#VALUE!</v>
      </c>
      <c r="AH85" s="2" t="e">
        <f>IF(AND(ARTICULOS_OSLE[[#This Row],[FechaVenc]]=0,ARTICULOS_OSLE[[#This Row],[DiasVenc]]=0),"",ARTICULOS_OSLE[[#This Row],[FechaVenc]]-ARTICULOS_OSLE[[#This Row],[DiasVenc]])</f>
        <v>#VALUE!</v>
      </c>
      <c r="AO85" s="30" t="s">
        <v>8689</v>
      </c>
    </row>
    <row r="86" spans="1:41" ht="15.75" hidden="1" x14ac:dyDescent="0.25">
      <c r="A86" s="1" t="s">
        <v>11108</v>
      </c>
      <c r="B86" s="30">
        <v>2360176</v>
      </c>
      <c r="C86" t="str">
        <f t="shared" si="2"/>
        <v>BEB13301024</v>
      </c>
      <c r="D86" t="s">
        <v>8689</v>
      </c>
      <c r="E86" s="1" t="s">
        <v>11109</v>
      </c>
      <c r="F86" s="61">
        <f>VLOOKUP(ARTICULOS_GOLOMAX[[#This Row],[CodigoProveedor]],'PRECIOS GOLOMAX'!$A$1:$C$10000,3,FALSE)</f>
        <v>914.32</v>
      </c>
      <c r="G86" s="3">
        <v>0</v>
      </c>
      <c r="H86" s="3">
        <v>0</v>
      </c>
      <c r="I86">
        <v>1</v>
      </c>
      <c r="J86">
        <v>1</v>
      </c>
      <c r="K86" s="31"/>
      <c r="L86" s="65">
        <f>((ARTICULOS_GOLOMAX[[#This Row],[P. Compra]]*(1+ARTICULOS_GOLOMAX[[#This Row],[IVA]]%))/ARTICULOS_GOLOMAX[[#This Row],[UnidFact]])+ARTICULOS_GOLOMAX[[#This Row],[CostoFlete]]</f>
        <v>914.32</v>
      </c>
      <c r="M86">
        <v>35</v>
      </c>
      <c r="N86" s="63">
        <f t="shared" si="3"/>
        <v>1400</v>
      </c>
      <c r="O86" s="23">
        <f>MROUND((ARTICULOS_GOLOMAX[[#This Row],[Precio]]/0.6),50)</f>
        <v>2350</v>
      </c>
      <c r="P86" t="s">
        <v>8693</v>
      </c>
      <c r="Q86">
        <v>12</v>
      </c>
      <c r="R86" s="36">
        <v>4</v>
      </c>
      <c r="S86" t="s">
        <v>23</v>
      </c>
      <c r="T86" t="s">
        <v>10</v>
      </c>
      <c r="U86" t="s">
        <v>62</v>
      </c>
      <c r="V86" t="s">
        <v>11074</v>
      </c>
      <c r="W86" t="s">
        <v>8692</v>
      </c>
      <c r="X86">
        <v>1</v>
      </c>
      <c r="Y86">
        <v>0</v>
      </c>
      <c r="AB86" s="80" t="e">
        <f>ARTICULOS_OSLE[[#This Row],[Costo]]*ARTICULOS_OSLE[[#This Row],[Pedido]]</f>
        <v>#VALUE!</v>
      </c>
      <c r="AH86" s="2" t="e">
        <f>IF(AND(ARTICULOS_OSLE[[#This Row],[FechaVenc]]=0,ARTICULOS_OSLE[[#This Row],[DiasVenc]]=0),"",ARTICULOS_OSLE[[#This Row],[FechaVenc]]-ARTICULOS_OSLE[[#This Row],[DiasVenc]])</f>
        <v>#VALUE!</v>
      </c>
      <c r="AO86" s="30" t="s">
        <v>8689</v>
      </c>
    </row>
    <row r="87" spans="1:41" ht="15.75" hidden="1" x14ac:dyDescent="0.25">
      <c r="A87" s="1" t="s">
        <v>11110</v>
      </c>
      <c r="B87" s="30">
        <v>2360025</v>
      </c>
      <c r="C87" t="str">
        <f t="shared" si="2"/>
        <v>BEB13300201</v>
      </c>
      <c r="D87" t="s">
        <v>8689</v>
      </c>
      <c r="E87" s="1" t="s">
        <v>11111</v>
      </c>
      <c r="F87" s="61">
        <f>VLOOKUP(ARTICULOS_GOLOMAX[[#This Row],[CodigoProveedor]],'PRECIOS GOLOMAX'!$A$1:$C$10000,3,FALSE)</f>
        <v>468.31</v>
      </c>
      <c r="G87" s="3">
        <v>0</v>
      </c>
      <c r="H87" s="3">
        <v>0</v>
      </c>
      <c r="I87">
        <v>1</v>
      </c>
      <c r="J87">
        <v>1</v>
      </c>
      <c r="K87" s="31"/>
      <c r="L87" s="65">
        <f>((ARTICULOS_GOLOMAX[[#This Row],[P. Compra]]*(1+ARTICULOS_GOLOMAX[[#This Row],[IVA]]%))/ARTICULOS_GOLOMAX[[#This Row],[UnidFact]])+ARTICULOS_GOLOMAX[[#This Row],[CostoFlete]]</f>
        <v>468.31</v>
      </c>
      <c r="M87">
        <v>35</v>
      </c>
      <c r="N87" s="63">
        <f t="shared" si="3"/>
        <v>700</v>
      </c>
      <c r="O87" s="23">
        <f>MROUND((ARTICULOS_GOLOMAX[[#This Row],[Precio]]/0.6),50)</f>
        <v>1150</v>
      </c>
      <c r="P87" t="s">
        <v>8693</v>
      </c>
      <c r="Q87">
        <v>12</v>
      </c>
      <c r="R87" s="36">
        <v>4</v>
      </c>
      <c r="S87" t="s">
        <v>23</v>
      </c>
      <c r="T87" t="s">
        <v>10</v>
      </c>
      <c r="U87" t="s">
        <v>62</v>
      </c>
      <c r="V87" t="s">
        <v>11074</v>
      </c>
      <c r="W87" t="s">
        <v>8692</v>
      </c>
      <c r="X87">
        <v>1</v>
      </c>
      <c r="Y87">
        <v>14</v>
      </c>
      <c r="AB87" s="80" t="e">
        <f>ARTICULOS_OSLE[[#This Row],[Costo]]*ARTICULOS_OSLE[[#This Row],[Pedido]]</f>
        <v>#VALUE!</v>
      </c>
      <c r="AH87" s="2" t="e">
        <f>IF(AND(ARTICULOS_OSLE[[#This Row],[FechaVenc]]=0,ARTICULOS_OSLE[[#This Row],[DiasVenc]]=0),"",ARTICULOS_OSLE[[#This Row],[FechaVenc]]-ARTICULOS_OSLE[[#This Row],[DiasVenc]])</f>
        <v>#VALUE!</v>
      </c>
      <c r="AO87" s="30" t="s">
        <v>8689</v>
      </c>
    </row>
    <row r="88" spans="1:41" ht="15.75" hidden="1" x14ac:dyDescent="0.25">
      <c r="A88" s="1" t="s">
        <v>11112</v>
      </c>
      <c r="B88" s="30">
        <v>2360055</v>
      </c>
      <c r="C88" t="str">
        <f t="shared" si="2"/>
        <v>BEB13300218</v>
      </c>
      <c r="D88" t="s">
        <v>8689</v>
      </c>
      <c r="E88" s="1" t="s">
        <v>11113</v>
      </c>
      <c r="F88" s="61">
        <f>VLOOKUP(ARTICULOS_GOLOMAX[[#This Row],[CodigoProveedor]],'PRECIOS GOLOMAX'!$A$1:$C$10000,3,FALSE)</f>
        <v>468.31</v>
      </c>
      <c r="G88" s="3">
        <v>0</v>
      </c>
      <c r="H88" s="3">
        <v>0</v>
      </c>
      <c r="I88">
        <v>1</v>
      </c>
      <c r="J88">
        <v>1</v>
      </c>
      <c r="K88" s="31"/>
      <c r="L88" s="65">
        <f>((ARTICULOS_GOLOMAX[[#This Row],[P. Compra]]*(1+ARTICULOS_GOLOMAX[[#This Row],[IVA]]%))/ARTICULOS_GOLOMAX[[#This Row],[UnidFact]])+ARTICULOS_GOLOMAX[[#This Row],[CostoFlete]]</f>
        <v>468.31</v>
      </c>
      <c r="M88">
        <v>35</v>
      </c>
      <c r="N88" s="63">
        <f t="shared" si="3"/>
        <v>700</v>
      </c>
      <c r="O88" s="23">
        <f>MROUND((ARTICULOS_GOLOMAX[[#This Row],[Precio]]/0.6),50)</f>
        <v>1150</v>
      </c>
      <c r="P88" t="s">
        <v>8693</v>
      </c>
      <c r="Q88">
        <v>12</v>
      </c>
      <c r="R88" s="36">
        <v>4</v>
      </c>
      <c r="S88" t="s">
        <v>23</v>
      </c>
      <c r="T88" t="s">
        <v>10</v>
      </c>
      <c r="U88" t="s">
        <v>62</v>
      </c>
      <c r="V88" t="s">
        <v>11074</v>
      </c>
      <c r="W88" t="s">
        <v>8692</v>
      </c>
      <c r="X88">
        <v>1</v>
      </c>
      <c r="Y88">
        <v>37</v>
      </c>
      <c r="AB88" s="80" t="e">
        <f>ARTICULOS_OSLE[[#This Row],[Costo]]*ARTICULOS_OSLE[[#This Row],[Pedido]]</f>
        <v>#VALUE!</v>
      </c>
      <c r="AH88" s="2" t="e">
        <f>IF(AND(ARTICULOS_OSLE[[#This Row],[FechaVenc]]=0,ARTICULOS_OSLE[[#This Row],[DiasVenc]]=0),"",ARTICULOS_OSLE[[#This Row],[FechaVenc]]-ARTICULOS_OSLE[[#This Row],[DiasVenc]])</f>
        <v>#VALUE!</v>
      </c>
      <c r="AO88" s="30" t="s">
        <v>8689</v>
      </c>
    </row>
    <row r="89" spans="1:41" ht="15.75" hidden="1" x14ac:dyDescent="0.25">
      <c r="A89" s="1" t="s">
        <v>11114</v>
      </c>
      <c r="B89" s="30">
        <v>2360062</v>
      </c>
      <c r="C89" t="str">
        <f t="shared" si="2"/>
        <v>BEB13300225</v>
      </c>
      <c r="D89" t="s">
        <v>8689</v>
      </c>
      <c r="E89" s="2" t="s">
        <v>11115</v>
      </c>
      <c r="F89" s="61">
        <f>VLOOKUP(ARTICULOS_GOLOMAX[[#This Row],[CodigoProveedor]],'PRECIOS GOLOMAX'!$A$1:$C$10000,3,FALSE)</f>
        <v>468.31</v>
      </c>
      <c r="G89" s="3">
        <v>0</v>
      </c>
      <c r="H89" s="3">
        <v>0</v>
      </c>
      <c r="I89">
        <v>1</v>
      </c>
      <c r="J89">
        <v>1</v>
      </c>
      <c r="K89" s="31"/>
      <c r="L89" s="65">
        <f>((ARTICULOS_GOLOMAX[[#This Row],[P. Compra]]*(1+ARTICULOS_GOLOMAX[[#This Row],[IVA]]%))/ARTICULOS_GOLOMAX[[#This Row],[UnidFact]])+ARTICULOS_GOLOMAX[[#This Row],[CostoFlete]]</f>
        <v>468.31</v>
      </c>
      <c r="M89">
        <v>35</v>
      </c>
      <c r="N89" s="63">
        <f t="shared" si="3"/>
        <v>700</v>
      </c>
      <c r="O89" s="23">
        <f>MROUND((ARTICULOS_GOLOMAX[[#This Row],[Precio]]/0.6),50)</f>
        <v>1150</v>
      </c>
      <c r="P89" t="s">
        <v>8693</v>
      </c>
      <c r="Q89">
        <v>12</v>
      </c>
      <c r="R89" s="36">
        <v>4</v>
      </c>
      <c r="S89" t="s">
        <v>23</v>
      </c>
      <c r="T89" t="s">
        <v>10</v>
      </c>
      <c r="U89" t="s">
        <v>62</v>
      </c>
      <c r="V89" t="s">
        <v>11074</v>
      </c>
      <c r="W89" t="s">
        <v>8692</v>
      </c>
      <c r="X89">
        <v>1</v>
      </c>
      <c r="Y89">
        <f>4+36+2</f>
        <v>42</v>
      </c>
      <c r="AB89" s="80" t="e">
        <f>ARTICULOS_OSLE[[#This Row],[Costo]]*ARTICULOS_OSLE[[#This Row],[Pedido]]</f>
        <v>#VALUE!</v>
      </c>
      <c r="AH89" s="2" t="e">
        <f>IF(AND(ARTICULOS_OSLE[[#This Row],[FechaVenc]]=0,ARTICULOS_OSLE[[#This Row],[DiasVenc]]=0),"",ARTICULOS_OSLE[[#This Row],[FechaVenc]]-ARTICULOS_OSLE[[#This Row],[DiasVenc]])</f>
        <v>#VALUE!</v>
      </c>
      <c r="AO89" s="30" t="s">
        <v>8689</v>
      </c>
    </row>
    <row r="90" spans="1:41" ht="15.75" hidden="1" x14ac:dyDescent="0.25">
      <c r="A90" s="1" t="s">
        <v>11116</v>
      </c>
      <c r="B90" s="30">
        <v>2360076</v>
      </c>
      <c r="C90" t="str">
        <f t="shared" si="2"/>
        <v>BEB13301093</v>
      </c>
      <c r="D90" t="s">
        <v>8689</v>
      </c>
      <c r="E90" s="1" t="s">
        <v>11117</v>
      </c>
      <c r="F90" s="61">
        <f>VLOOKUP(ARTICULOS_GOLOMAX[[#This Row],[CodigoProveedor]],'PRECIOS GOLOMAX'!$A$1:$C$10000,3,FALSE)</f>
        <v>5619.74</v>
      </c>
      <c r="G90" s="3">
        <v>0</v>
      </c>
      <c r="H90" s="3">
        <v>0</v>
      </c>
      <c r="I90">
        <v>12</v>
      </c>
      <c r="J90">
        <v>12</v>
      </c>
      <c r="K90" s="31"/>
      <c r="L90" s="65">
        <f>((ARTICULOS_GOLOMAX[[#This Row],[P. Compra]]*(1+ARTICULOS_GOLOMAX[[#This Row],[IVA]]%))/ARTICULOS_GOLOMAX[[#This Row],[UnidFact]])+ARTICULOS_GOLOMAX[[#This Row],[CostoFlete]]</f>
        <v>468.31166666666667</v>
      </c>
      <c r="M90">
        <v>35</v>
      </c>
      <c r="N90" s="63">
        <f t="shared" si="3"/>
        <v>700</v>
      </c>
      <c r="O90" s="23">
        <f>MROUND((ARTICULOS_GOLOMAX[[#This Row],[Precio]]/0.6),50)</f>
        <v>1150</v>
      </c>
      <c r="P90" t="s">
        <v>8693</v>
      </c>
      <c r="Q90">
        <v>12</v>
      </c>
      <c r="R90" s="36">
        <v>4</v>
      </c>
      <c r="S90" t="s">
        <v>23</v>
      </c>
      <c r="T90" t="s">
        <v>10</v>
      </c>
      <c r="U90" t="s">
        <v>62</v>
      </c>
      <c r="V90" t="s">
        <v>11074</v>
      </c>
      <c r="W90" t="s">
        <v>8692</v>
      </c>
      <c r="X90">
        <v>1</v>
      </c>
      <c r="Y90">
        <v>0</v>
      </c>
      <c r="AB90" s="80" t="e">
        <f>ARTICULOS_OSLE[[#This Row],[Costo]]*ARTICULOS_OSLE[[#This Row],[Pedido]]</f>
        <v>#VALUE!</v>
      </c>
      <c r="AH90" s="2" t="e">
        <f>IF(AND(ARTICULOS_OSLE[[#This Row],[FechaVenc]]=0,ARTICULOS_OSLE[[#This Row],[DiasVenc]]=0),"",ARTICULOS_OSLE[[#This Row],[FechaVenc]]-ARTICULOS_OSLE[[#This Row],[DiasVenc]])</f>
        <v>#VALUE!</v>
      </c>
      <c r="AO90" s="30" t="s">
        <v>8689</v>
      </c>
    </row>
    <row r="91" spans="1:41" ht="15.75" hidden="1" x14ac:dyDescent="0.25">
      <c r="A91" s="1" t="s">
        <v>11118</v>
      </c>
      <c r="B91" s="30">
        <v>2421639</v>
      </c>
      <c r="C91" t="str">
        <f t="shared" si="2"/>
        <v>BEB36000343</v>
      </c>
      <c r="D91" t="s">
        <v>8689</v>
      </c>
      <c r="E91" s="1" t="s">
        <v>11119</v>
      </c>
      <c r="F91" s="61">
        <f>VLOOKUP(ARTICULOS_GOLOMAX[[#This Row],[CodigoProveedor]],'PRECIOS GOLOMAX'!$A$1:$C$10000,3,FALSE)</f>
        <v>1136.48</v>
      </c>
      <c r="G91" s="3">
        <v>0</v>
      </c>
      <c r="H91" s="3">
        <v>0</v>
      </c>
      <c r="I91">
        <v>1</v>
      </c>
      <c r="J91">
        <v>1</v>
      </c>
      <c r="K91" s="31"/>
      <c r="L91" s="65">
        <f>((ARTICULOS_GOLOMAX[[#This Row],[P. Compra]]*(1+ARTICULOS_GOLOMAX[[#This Row],[IVA]]%))/ARTICULOS_GOLOMAX[[#This Row],[UnidFact]])+ARTICULOS_GOLOMAX[[#This Row],[CostoFlete]]</f>
        <v>1136.48</v>
      </c>
      <c r="M91">
        <v>35</v>
      </c>
      <c r="N91" s="63">
        <f t="shared" si="3"/>
        <v>1750</v>
      </c>
      <c r="O91" s="23">
        <f>MROUND((ARTICULOS_GOLOMAX[[#This Row],[Precio]]/0.6),50)</f>
        <v>2900</v>
      </c>
      <c r="P91" t="s">
        <v>8693</v>
      </c>
      <c r="Q91">
        <v>6</v>
      </c>
      <c r="R91" s="36">
        <v>4</v>
      </c>
      <c r="S91" t="s">
        <v>23</v>
      </c>
      <c r="T91" t="s">
        <v>10</v>
      </c>
      <c r="U91" t="s">
        <v>76</v>
      </c>
      <c r="V91" t="s">
        <v>10429</v>
      </c>
      <c r="W91" t="s">
        <v>8692</v>
      </c>
      <c r="X91">
        <v>1</v>
      </c>
      <c r="Y91">
        <v>0</v>
      </c>
      <c r="AB91" s="80" t="e">
        <f>ARTICULOS_OSLE[[#This Row],[Costo]]*ARTICULOS_OSLE[[#This Row],[Pedido]]</f>
        <v>#VALUE!</v>
      </c>
      <c r="AH91" s="2" t="e">
        <f>IF(AND(ARTICULOS_OSLE[[#This Row],[FechaVenc]]=0,ARTICULOS_OSLE[[#This Row],[DiasVenc]]=0),"",ARTICULOS_OSLE[[#This Row],[FechaVenc]]-ARTICULOS_OSLE[[#This Row],[DiasVenc]])</f>
        <v>#VALUE!</v>
      </c>
      <c r="AO91" s="30" t="s">
        <v>8689</v>
      </c>
    </row>
    <row r="92" spans="1:41" ht="15.75" hidden="1" x14ac:dyDescent="0.25">
      <c r="A92" s="1" t="s">
        <v>11120</v>
      </c>
      <c r="B92" s="30">
        <v>2421669</v>
      </c>
      <c r="C92" t="str">
        <f t="shared" si="2"/>
        <v>BEB36000336</v>
      </c>
      <c r="D92" t="s">
        <v>8689</v>
      </c>
      <c r="E92" s="1" t="s">
        <v>11121</v>
      </c>
      <c r="F92" s="61">
        <f>VLOOKUP(ARTICULOS_GOLOMAX[[#This Row],[CodigoProveedor]],'PRECIOS GOLOMAX'!$A$1:$C$10000,3,FALSE)</f>
        <v>1136.48</v>
      </c>
      <c r="G92" s="3">
        <v>0</v>
      </c>
      <c r="H92" s="3">
        <v>0</v>
      </c>
      <c r="I92">
        <v>1</v>
      </c>
      <c r="J92">
        <v>1</v>
      </c>
      <c r="K92" s="31"/>
      <c r="L92" s="65">
        <f>((ARTICULOS_GOLOMAX[[#This Row],[P. Compra]]*(1+ARTICULOS_GOLOMAX[[#This Row],[IVA]]%))/ARTICULOS_GOLOMAX[[#This Row],[UnidFact]])+ARTICULOS_GOLOMAX[[#This Row],[CostoFlete]]</f>
        <v>1136.48</v>
      </c>
      <c r="M92">
        <v>35</v>
      </c>
      <c r="N92" s="63">
        <f t="shared" si="3"/>
        <v>1750</v>
      </c>
      <c r="O92" s="23">
        <f>MROUND((ARTICULOS_GOLOMAX[[#This Row],[Precio]]/0.6),50)</f>
        <v>2900</v>
      </c>
      <c r="P92" t="s">
        <v>8693</v>
      </c>
      <c r="Q92">
        <v>6</v>
      </c>
      <c r="R92" s="36">
        <v>4</v>
      </c>
      <c r="S92" t="s">
        <v>23</v>
      </c>
      <c r="T92" t="s">
        <v>10</v>
      </c>
      <c r="U92" t="s">
        <v>76</v>
      </c>
      <c r="V92" t="s">
        <v>10429</v>
      </c>
      <c r="W92" t="s">
        <v>8692</v>
      </c>
      <c r="X92">
        <v>1</v>
      </c>
      <c r="Y92">
        <v>6</v>
      </c>
      <c r="AB92" s="80" t="e">
        <f>ARTICULOS_OSLE[[#This Row],[Costo]]*ARTICULOS_OSLE[[#This Row],[Pedido]]</f>
        <v>#VALUE!</v>
      </c>
      <c r="AH92" s="2" t="e">
        <f>IF(AND(ARTICULOS_OSLE[[#This Row],[FechaVenc]]=0,ARTICULOS_OSLE[[#This Row],[DiasVenc]]=0),"",ARTICULOS_OSLE[[#This Row],[FechaVenc]]-ARTICULOS_OSLE[[#This Row],[DiasVenc]])</f>
        <v>#VALUE!</v>
      </c>
      <c r="AO92" s="30" t="s">
        <v>8689</v>
      </c>
    </row>
    <row r="93" spans="1:41" ht="15.75" hidden="1" x14ac:dyDescent="0.25">
      <c r="A93" s="1" t="s">
        <v>11122</v>
      </c>
      <c r="B93" s="30">
        <v>2421665</v>
      </c>
      <c r="C93" t="str">
        <f t="shared" si="2"/>
        <v>BEB36000466</v>
      </c>
      <c r="D93" t="s">
        <v>8689</v>
      </c>
      <c r="E93" s="1" t="s">
        <v>11123</v>
      </c>
      <c r="F93" s="61">
        <f>VLOOKUP(ARTICULOS_GOLOMAX[[#This Row],[CodigoProveedor]],'PRECIOS GOLOMAX'!$A$1:$C$10000,3,FALSE)</f>
        <v>1136.48</v>
      </c>
      <c r="G93" s="3">
        <v>0</v>
      </c>
      <c r="H93" s="3">
        <v>0</v>
      </c>
      <c r="I93">
        <v>1</v>
      </c>
      <c r="J93">
        <v>1</v>
      </c>
      <c r="K93" s="31"/>
      <c r="L93" s="65">
        <f>((ARTICULOS_GOLOMAX[[#This Row],[P. Compra]]*(1+ARTICULOS_GOLOMAX[[#This Row],[IVA]]%))/ARTICULOS_GOLOMAX[[#This Row],[UnidFact]])+ARTICULOS_GOLOMAX[[#This Row],[CostoFlete]]</f>
        <v>1136.48</v>
      </c>
      <c r="M93">
        <v>35</v>
      </c>
      <c r="N93" s="63">
        <f t="shared" si="3"/>
        <v>1750</v>
      </c>
      <c r="O93" s="23">
        <f>MROUND((ARTICULOS_GOLOMAX[[#This Row],[Precio]]/0.6),50)</f>
        <v>2900</v>
      </c>
      <c r="P93" t="s">
        <v>8693</v>
      </c>
      <c r="Q93">
        <v>6</v>
      </c>
      <c r="R93" s="36">
        <v>4</v>
      </c>
      <c r="S93" t="s">
        <v>23</v>
      </c>
      <c r="T93" t="s">
        <v>10</v>
      </c>
      <c r="U93" t="s">
        <v>76</v>
      </c>
      <c r="V93" t="s">
        <v>10429</v>
      </c>
      <c r="W93" t="s">
        <v>8692</v>
      </c>
      <c r="X93">
        <v>1</v>
      </c>
      <c r="Y93">
        <v>11</v>
      </c>
      <c r="AB93" s="80" t="e">
        <f>ARTICULOS_OSLE[[#This Row],[Costo]]*ARTICULOS_OSLE[[#This Row],[Pedido]]</f>
        <v>#VALUE!</v>
      </c>
      <c r="AH93" s="2" t="e">
        <f>IF(AND(ARTICULOS_OSLE[[#This Row],[FechaVenc]]=0,ARTICULOS_OSLE[[#This Row],[DiasVenc]]=0),"",ARTICULOS_OSLE[[#This Row],[FechaVenc]]-ARTICULOS_OSLE[[#This Row],[DiasVenc]])</f>
        <v>#VALUE!</v>
      </c>
      <c r="AO93" s="30" t="s">
        <v>8689</v>
      </c>
    </row>
    <row r="94" spans="1:41" ht="15.75" hidden="1" x14ac:dyDescent="0.25">
      <c r="A94" s="1" t="s">
        <v>11124</v>
      </c>
      <c r="B94" s="30">
        <v>2421662</v>
      </c>
      <c r="C94" t="str">
        <f t="shared" si="2"/>
        <v>BEB36000329</v>
      </c>
      <c r="D94" t="s">
        <v>8689</v>
      </c>
      <c r="E94" s="1" t="s">
        <v>11125</v>
      </c>
      <c r="F94" s="61">
        <f>VLOOKUP(ARTICULOS_GOLOMAX[[#This Row],[CodigoProveedor]],'PRECIOS GOLOMAX'!$A$1:$C$10000,3,FALSE)</f>
        <v>1136.48</v>
      </c>
      <c r="G94" s="3">
        <v>0</v>
      </c>
      <c r="H94" s="3">
        <v>0</v>
      </c>
      <c r="I94">
        <v>1</v>
      </c>
      <c r="J94">
        <v>1</v>
      </c>
      <c r="K94" s="31"/>
      <c r="L94" s="65">
        <f>((ARTICULOS_GOLOMAX[[#This Row],[P. Compra]]*(1+ARTICULOS_GOLOMAX[[#This Row],[IVA]]%))/ARTICULOS_GOLOMAX[[#This Row],[UnidFact]])+ARTICULOS_GOLOMAX[[#This Row],[CostoFlete]]</f>
        <v>1136.48</v>
      </c>
      <c r="M94">
        <v>35</v>
      </c>
      <c r="N94" s="63">
        <f t="shared" si="3"/>
        <v>1750</v>
      </c>
      <c r="O94" s="23">
        <f>MROUND((ARTICULOS_GOLOMAX[[#This Row],[Precio]]/0.6),50)</f>
        <v>2900</v>
      </c>
      <c r="P94" t="s">
        <v>8693</v>
      </c>
      <c r="Q94">
        <v>6</v>
      </c>
      <c r="R94" s="36">
        <v>4</v>
      </c>
      <c r="S94" t="s">
        <v>23</v>
      </c>
      <c r="T94" t="s">
        <v>10</v>
      </c>
      <c r="U94" t="s">
        <v>76</v>
      </c>
      <c r="V94" t="s">
        <v>10429</v>
      </c>
      <c r="W94" t="s">
        <v>8692</v>
      </c>
      <c r="X94">
        <v>1</v>
      </c>
      <c r="Y94">
        <v>0</v>
      </c>
      <c r="AB94" s="80" t="e">
        <f>ARTICULOS_OSLE[[#This Row],[Costo]]*ARTICULOS_OSLE[[#This Row],[Pedido]]</f>
        <v>#VALUE!</v>
      </c>
      <c r="AH94" s="2" t="e">
        <f>IF(AND(ARTICULOS_OSLE[[#This Row],[FechaVenc]]=0,ARTICULOS_OSLE[[#This Row],[DiasVenc]]=0),"",ARTICULOS_OSLE[[#This Row],[FechaVenc]]-ARTICULOS_OSLE[[#This Row],[DiasVenc]])</f>
        <v>#VALUE!</v>
      </c>
      <c r="AO94" s="30" t="s">
        <v>8689</v>
      </c>
    </row>
    <row r="95" spans="1:41" ht="15.75" hidden="1" x14ac:dyDescent="0.25">
      <c r="A95" s="1" t="s">
        <v>11126</v>
      </c>
      <c r="B95" s="30">
        <v>2421839</v>
      </c>
      <c r="C95" t="str">
        <f t="shared" si="2"/>
        <v>BEB36000589</v>
      </c>
      <c r="D95" t="s">
        <v>8689</v>
      </c>
      <c r="E95" s="1" t="s">
        <v>11127</v>
      </c>
      <c r="F95" s="61">
        <f>VLOOKUP(ARTICULOS_GOLOMAX[[#This Row],[CodigoProveedor]],'PRECIOS GOLOMAX'!$A$1:$C$10000,3,FALSE)</f>
        <v>335.61</v>
      </c>
      <c r="G95" s="3">
        <v>0</v>
      </c>
      <c r="H95" s="3">
        <v>0</v>
      </c>
      <c r="I95">
        <v>1</v>
      </c>
      <c r="J95">
        <v>1</v>
      </c>
      <c r="K95" s="31"/>
      <c r="L95" s="65">
        <f>((ARTICULOS_GOLOMAX[[#This Row],[P. Compra]]*(1+ARTICULOS_GOLOMAX[[#This Row],[IVA]]%))/ARTICULOS_GOLOMAX[[#This Row],[UnidFact]])+ARTICULOS_GOLOMAX[[#This Row],[CostoFlete]]</f>
        <v>335.61</v>
      </c>
      <c r="M95">
        <v>35</v>
      </c>
      <c r="N95" s="63">
        <f t="shared" si="3"/>
        <v>500</v>
      </c>
      <c r="O95" s="23">
        <f>MROUND((ARTICULOS_GOLOMAX[[#This Row],[Precio]]/0.6),50)</f>
        <v>850</v>
      </c>
      <c r="P95" t="s">
        <v>8693</v>
      </c>
      <c r="Q95">
        <v>12</v>
      </c>
      <c r="R95" s="36">
        <v>4</v>
      </c>
      <c r="S95" t="s">
        <v>23</v>
      </c>
      <c r="T95" t="s">
        <v>10</v>
      </c>
      <c r="U95" t="s">
        <v>76</v>
      </c>
      <c r="V95" t="s">
        <v>10429</v>
      </c>
      <c r="W95" t="s">
        <v>8692</v>
      </c>
      <c r="X95">
        <v>1</v>
      </c>
      <c r="Y95">
        <v>0</v>
      </c>
      <c r="AB95" s="80" t="e">
        <f>ARTICULOS_OSLE[[#This Row],[Costo]]*ARTICULOS_OSLE[[#This Row],[Pedido]]</f>
        <v>#VALUE!</v>
      </c>
      <c r="AH95" s="2" t="e">
        <f>IF(AND(ARTICULOS_OSLE[[#This Row],[FechaVenc]]=0,ARTICULOS_OSLE[[#This Row],[DiasVenc]]=0),"",ARTICULOS_OSLE[[#This Row],[FechaVenc]]-ARTICULOS_OSLE[[#This Row],[DiasVenc]])</f>
        <v>#VALUE!</v>
      </c>
      <c r="AO95" s="30" t="s">
        <v>8689</v>
      </c>
    </row>
    <row r="96" spans="1:41" ht="15.75" hidden="1" x14ac:dyDescent="0.25">
      <c r="A96" s="1" t="s">
        <v>11128</v>
      </c>
      <c r="B96" s="30">
        <v>2421869</v>
      </c>
      <c r="C96" t="str">
        <f t="shared" si="2"/>
        <v>BEB36000572</v>
      </c>
      <c r="D96" t="s">
        <v>8689</v>
      </c>
      <c r="E96" s="1" t="s">
        <v>11129</v>
      </c>
      <c r="F96" s="61">
        <f>VLOOKUP(ARTICULOS_GOLOMAX[[#This Row],[CodigoProveedor]],'PRECIOS GOLOMAX'!$A$1:$C$10000,3,FALSE)</f>
        <v>335.61</v>
      </c>
      <c r="G96" s="3">
        <v>0</v>
      </c>
      <c r="H96" s="3">
        <v>0</v>
      </c>
      <c r="I96">
        <v>1</v>
      </c>
      <c r="J96">
        <v>1</v>
      </c>
      <c r="K96" s="31"/>
      <c r="L96" s="65">
        <f>((ARTICULOS_GOLOMAX[[#This Row],[P. Compra]]*(1+ARTICULOS_GOLOMAX[[#This Row],[IVA]]%))/ARTICULOS_GOLOMAX[[#This Row],[UnidFact]])+ARTICULOS_GOLOMAX[[#This Row],[CostoFlete]]</f>
        <v>335.61</v>
      </c>
      <c r="M96">
        <v>35</v>
      </c>
      <c r="N96" s="63">
        <f t="shared" si="3"/>
        <v>500</v>
      </c>
      <c r="O96" s="23">
        <f>MROUND((ARTICULOS_GOLOMAX[[#This Row],[Precio]]/0.6),50)</f>
        <v>850</v>
      </c>
      <c r="P96" t="s">
        <v>8693</v>
      </c>
      <c r="Q96">
        <v>12</v>
      </c>
      <c r="R96" s="36">
        <v>4</v>
      </c>
      <c r="S96" t="s">
        <v>23</v>
      </c>
      <c r="T96" t="s">
        <v>10</v>
      </c>
      <c r="U96" t="s">
        <v>76</v>
      </c>
      <c r="V96" t="s">
        <v>10429</v>
      </c>
      <c r="W96" t="s">
        <v>8692</v>
      </c>
      <c r="X96">
        <v>1</v>
      </c>
      <c r="Y96">
        <v>0</v>
      </c>
      <c r="AB96" s="80" t="e">
        <f>ARTICULOS_OSLE[[#This Row],[Costo]]*ARTICULOS_OSLE[[#This Row],[Pedido]]</f>
        <v>#VALUE!</v>
      </c>
      <c r="AH96" s="2" t="e">
        <f>IF(AND(ARTICULOS_OSLE[[#This Row],[FechaVenc]]=0,ARTICULOS_OSLE[[#This Row],[DiasVenc]]=0),"",ARTICULOS_OSLE[[#This Row],[FechaVenc]]-ARTICULOS_OSLE[[#This Row],[DiasVenc]])</f>
        <v>#VALUE!</v>
      </c>
      <c r="AO96" s="30" t="s">
        <v>8689</v>
      </c>
    </row>
    <row r="97" spans="1:41" ht="15.75" hidden="1" x14ac:dyDescent="0.25">
      <c r="A97" s="1" t="s">
        <v>11130</v>
      </c>
      <c r="B97" s="30">
        <v>2421865</v>
      </c>
      <c r="C97" t="str">
        <f t="shared" si="2"/>
        <v>BEB36000602</v>
      </c>
      <c r="D97" t="s">
        <v>8689</v>
      </c>
      <c r="E97" s="1" t="s">
        <v>11131</v>
      </c>
      <c r="F97" s="61">
        <f>VLOOKUP(ARTICULOS_GOLOMAX[[#This Row],[CodigoProveedor]],'PRECIOS GOLOMAX'!$A$1:$C$10000,3,FALSE)</f>
        <v>335.61</v>
      </c>
      <c r="G97" s="3">
        <v>0</v>
      </c>
      <c r="H97" s="3">
        <v>0</v>
      </c>
      <c r="I97">
        <v>1</v>
      </c>
      <c r="J97">
        <v>1</v>
      </c>
      <c r="K97" s="31"/>
      <c r="L97" s="65">
        <f>((ARTICULOS_GOLOMAX[[#This Row],[P. Compra]]*(1+ARTICULOS_GOLOMAX[[#This Row],[IVA]]%))/ARTICULOS_GOLOMAX[[#This Row],[UnidFact]])+ARTICULOS_GOLOMAX[[#This Row],[CostoFlete]]</f>
        <v>335.61</v>
      </c>
      <c r="M97">
        <v>35</v>
      </c>
      <c r="N97" s="63">
        <f t="shared" si="3"/>
        <v>500</v>
      </c>
      <c r="O97" s="23">
        <f>MROUND((ARTICULOS_GOLOMAX[[#This Row],[Precio]]/0.6),50)</f>
        <v>850</v>
      </c>
      <c r="P97" t="s">
        <v>8693</v>
      </c>
      <c r="Q97">
        <v>12</v>
      </c>
      <c r="R97" s="36">
        <v>4</v>
      </c>
      <c r="S97" t="s">
        <v>23</v>
      </c>
      <c r="T97" t="s">
        <v>10</v>
      </c>
      <c r="U97" t="s">
        <v>76</v>
      </c>
      <c r="V97" t="s">
        <v>10429</v>
      </c>
      <c r="W97" t="s">
        <v>8692</v>
      </c>
      <c r="X97">
        <v>1</v>
      </c>
      <c r="Y97">
        <v>1</v>
      </c>
      <c r="AB97" s="80" t="e">
        <f>ARTICULOS_OSLE[[#This Row],[Costo]]*ARTICULOS_OSLE[[#This Row],[Pedido]]</f>
        <v>#VALUE!</v>
      </c>
      <c r="AH97" s="2" t="e">
        <f>IF(AND(ARTICULOS_OSLE[[#This Row],[FechaVenc]]=0,ARTICULOS_OSLE[[#This Row],[DiasVenc]]=0),"",ARTICULOS_OSLE[[#This Row],[FechaVenc]]-ARTICULOS_OSLE[[#This Row],[DiasVenc]])</f>
        <v>#VALUE!</v>
      </c>
      <c r="AO97" s="30" t="s">
        <v>8689</v>
      </c>
    </row>
    <row r="98" spans="1:41" ht="15.75" hidden="1" x14ac:dyDescent="0.25">
      <c r="A98" s="1" t="s">
        <v>11132</v>
      </c>
      <c r="B98" s="30">
        <v>2421862</v>
      </c>
      <c r="C98" t="str">
        <f t="shared" si="2"/>
        <v>BEB36000565</v>
      </c>
      <c r="D98" t="s">
        <v>8689</v>
      </c>
      <c r="E98" s="1" t="s">
        <v>11133</v>
      </c>
      <c r="F98" s="61">
        <f>VLOOKUP(ARTICULOS_GOLOMAX[[#This Row],[CodigoProveedor]],'PRECIOS GOLOMAX'!$A$1:$C$10000,3,FALSE)</f>
        <v>335.61</v>
      </c>
      <c r="G98" s="3">
        <v>0</v>
      </c>
      <c r="H98" s="3">
        <v>0</v>
      </c>
      <c r="I98">
        <v>1</v>
      </c>
      <c r="J98">
        <v>1</v>
      </c>
      <c r="K98" s="31"/>
      <c r="L98" s="65">
        <f>((ARTICULOS_GOLOMAX[[#This Row],[P. Compra]]*(1+ARTICULOS_GOLOMAX[[#This Row],[IVA]]%))/ARTICULOS_GOLOMAX[[#This Row],[UnidFact]])+ARTICULOS_GOLOMAX[[#This Row],[CostoFlete]]</f>
        <v>335.61</v>
      </c>
      <c r="M98">
        <v>35</v>
      </c>
      <c r="N98" s="63">
        <f t="shared" si="3"/>
        <v>500</v>
      </c>
      <c r="O98" s="23">
        <f>MROUND((ARTICULOS_GOLOMAX[[#This Row],[Precio]]/0.6),50)</f>
        <v>850</v>
      </c>
      <c r="P98" t="s">
        <v>8693</v>
      </c>
      <c r="Q98">
        <v>12</v>
      </c>
      <c r="R98" s="36">
        <v>4</v>
      </c>
      <c r="S98" t="s">
        <v>23</v>
      </c>
      <c r="T98" t="s">
        <v>10</v>
      </c>
      <c r="U98" t="s">
        <v>76</v>
      </c>
      <c r="V98" t="s">
        <v>10429</v>
      </c>
      <c r="W98" t="s">
        <v>8692</v>
      </c>
      <c r="X98">
        <v>1</v>
      </c>
      <c r="Y98">
        <v>1</v>
      </c>
      <c r="AB98" s="80" t="e">
        <f>ARTICULOS_OSLE[[#This Row],[Costo]]*ARTICULOS_OSLE[[#This Row],[Pedido]]</f>
        <v>#VALUE!</v>
      </c>
      <c r="AH98" s="2" t="e">
        <f>IF(AND(ARTICULOS_OSLE[[#This Row],[FechaVenc]]=0,ARTICULOS_OSLE[[#This Row],[DiasVenc]]=0),"",ARTICULOS_OSLE[[#This Row],[FechaVenc]]-ARTICULOS_OSLE[[#This Row],[DiasVenc]])</f>
        <v>#VALUE!</v>
      </c>
      <c r="AO98" s="30" t="s">
        <v>8689</v>
      </c>
    </row>
    <row r="99" spans="1:41" ht="15.75" hidden="1" x14ac:dyDescent="0.25">
      <c r="A99" s="1" t="s">
        <v>10139</v>
      </c>
      <c r="B99" s="30">
        <v>7142615</v>
      </c>
      <c r="C99" t="str">
        <f t="shared" si="2"/>
        <v>CIG77974907</v>
      </c>
      <c r="D99" t="s">
        <v>8689</v>
      </c>
      <c r="E99" s="1" t="s">
        <v>10140</v>
      </c>
      <c r="F99" s="61" t="e">
        <f>VLOOKUP(ARTICULOS_GOLOMAX[[#This Row],[CodigoProveedor]],'PRECIOS GOLOMAX'!$A$1:$C$10000,3,FALSE)</f>
        <v>#N/A</v>
      </c>
      <c r="G99" s="3">
        <v>0</v>
      </c>
      <c r="H99" s="3">
        <v>0</v>
      </c>
      <c r="I99">
        <v>1</v>
      </c>
      <c r="J99">
        <v>1</v>
      </c>
      <c r="K99" s="4"/>
      <c r="L99" s="65" t="e">
        <f>((ARTICULOS_GOLOMAX[[#This Row],[P. Compra]]*(1+ARTICULOS_GOLOMAX[[#This Row],[IVA]]%))/ARTICULOS_GOLOMAX[[#This Row],[UnidFact]])+ARTICULOS_GOLOMAX[[#This Row],[CostoFlete]]</f>
        <v>#N/A</v>
      </c>
      <c r="M99">
        <v>30</v>
      </c>
      <c r="N99" s="63" t="e">
        <f t="shared" si="3"/>
        <v>#N/A</v>
      </c>
      <c r="O99" s="3" t="e">
        <f>MROUND((ARTICULOS_GOLOMAX[[#This Row],[Precio]]/0.6),50)</f>
        <v>#N/A</v>
      </c>
      <c r="P99" t="s">
        <v>8693</v>
      </c>
      <c r="Q99">
        <v>10</v>
      </c>
      <c r="R99" s="42">
        <v>50</v>
      </c>
      <c r="S99" t="s">
        <v>17</v>
      </c>
      <c r="T99" t="s">
        <v>15</v>
      </c>
      <c r="U99" t="s">
        <v>87</v>
      </c>
      <c r="V99" t="s">
        <v>10141</v>
      </c>
      <c r="W99" t="s">
        <v>8692</v>
      </c>
      <c r="X99">
        <v>1</v>
      </c>
      <c r="Y99">
        <v>0</v>
      </c>
      <c r="AB99" s="80" t="e">
        <f>ARTICULOS_OSLE[[#This Row],[Costo]]*ARTICULOS_OSLE[[#This Row],[Pedido]]</f>
        <v>#VALUE!</v>
      </c>
      <c r="AH99" s="2" t="e">
        <f>IF(AND(ARTICULOS_OSLE[[#This Row],[FechaVenc]]=0,ARTICULOS_OSLE[[#This Row],[DiasVenc]]=0),"",ARTICULOS_OSLE[[#This Row],[FechaVenc]]-ARTICULOS_OSLE[[#This Row],[DiasVenc]])</f>
        <v>#VALUE!</v>
      </c>
      <c r="AO99" s="30" t="s">
        <v>8689</v>
      </c>
    </row>
    <row r="100" spans="1:41" ht="15.75" hidden="1" x14ac:dyDescent="0.25">
      <c r="A100" s="1" t="s">
        <v>10142</v>
      </c>
      <c r="B100" s="30">
        <v>7142200</v>
      </c>
      <c r="C100" t="str">
        <f t="shared" si="2"/>
        <v>CIG77960894</v>
      </c>
      <c r="D100" t="s">
        <v>8689</v>
      </c>
      <c r="E100" s="1" t="s">
        <v>10143</v>
      </c>
      <c r="F100" s="61">
        <f>VLOOKUP(ARTICULOS_GOLOMAX[[#This Row],[CodigoProveedor]],'PRECIOS GOLOMAX'!$A$1:$C$10000,3,FALSE)</f>
        <v>423.76</v>
      </c>
      <c r="G100" s="3">
        <v>0</v>
      </c>
      <c r="H100" s="3">
        <v>0</v>
      </c>
      <c r="I100">
        <v>1</v>
      </c>
      <c r="J100">
        <v>1</v>
      </c>
      <c r="K100" s="4"/>
      <c r="L100" s="65">
        <f>((ARTICULOS_GOLOMAX[[#This Row],[P. Compra]]*(1+ARTICULOS_GOLOMAX[[#This Row],[IVA]]%))/ARTICULOS_GOLOMAX[[#This Row],[UnidFact]])+ARTICULOS_GOLOMAX[[#This Row],[CostoFlete]]</f>
        <v>423.76</v>
      </c>
      <c r="M100">
        <v>30</v>
      </c>
      <c r="N100" s="63">
        <f t="shared" si="3"/>
        <v>600</v>
      </c>
      <c r="O100" s="3">
        <f>MROUND((ARTICULOS_GOLOMAX[[#This Row],[Precio]]/0.6),50)</f>
        <v>1000</v>
      </c>
      <c r="P100" t="s">
        <v>8693</v>
      </c>
      <c r="Q100">
        <v>10</v>
      </c>
      <c r="R100" s="42">
        <v>50</v>
      </c>
      <c r="S100" t="s">
        <v>17</v>
      </c>
      <c r="T100" t="s">
        <v>15</v>
      </c>
      <c r="U100" t="s">
        <v>87</v>
      </c>
      <c r="V100" t="s">
        <v>10144</v>
      </c>
      <c r="W100" t="s">
        <v>8692</v>
      </c>
      <c r="X100">
        <v>1</v>
      </c>
      <c r="Y100">
        <v>0</v>
      </c>
      <c r="AB100" s="80" t="e">
        <f>ARTICULOS_OSLE[[#This Row],[Costo]]*ARTICULOS_OSLE[[#This Row],[Pedido]]</f>
        <v>#VALUE!</v>
      </c>
      <c r="AH100" s="2" t="e">
        <f>IF(AND(ARTICULOS_OSLE[[#This Row],[FechaVenc]]=0,ARTICULOS_OSLE[[#This Row],[DiasVenc]]=0),"",ARTICULOS_OSLE[[#This Row],[FechaVenc]]-ARTICULOS_OSLE[[#This Row],[DiasVenc]])</f>
        <v>#VALUE!</v>
      </c>
      <c r="AO100" s="30" t="s">
        <v>8689</v>
      </c>
    </row>
    <row r="101" spans="1:41" ht="15.75" hidden="1" x14ac:dyDescent="0.25">
      <c r="A101" s="1" t="s">
        <v>10145</v>
      </c>
      <c r="B101" s="30">
        <v>7142710</v>
      </c>
      <c r="C101" t="str">
        <f t="shared" si="2"/>
        <v>CIG77971647</v>
      </c>
      <c r="D101" t="s">
        <v>8689</v>
      </c>
      <c r="E101" s="1" t="s">
        <v>10146</v>
      </c>
      <c r="F101" s="61" t="e">
        <f>VLOOKUP(ARTICULOS_GOLOMAX[[#This Row],[CodigoProveedor]],'PRECIOS GOLOMAX'!$A$1:$C$10000,3,FALSE)</f>
        <v>#N/A</v>
      </c>
      <c r="G101" s="3">
        <v>0</v>
      </c>
      <c r="H101" s="3">
        <v>0</v>
      </c>
      <c r="I101">
        <v>1</v>
      </c>
      <c r="J101">
        <v>1</v>
      </c>
      <c r="K101" s="4"/>
      <c r="L101" s="65" t="e">
        <f>((ARTICULOS_GOLOMAX[[#This Row],[P. Compra]]*(1+ARTICULOS_GOLOMAX[[#This Row],[IVA]]%))/ARTICULOS_GOLOMAX[[#This Row],[UnidFact]])+ARTICULOS_GOLOMAX[[#This Row],[CostoFlete]]</f>
        <v>#N/A</v>
      </c>
      <c r="M101">
        <v>30</v>
      </c>
      <c r="N101" s="63" t="e">
        <f t="shared" si="3"/>
        <v>#N/A</v>
      </c>
      <c r="O101" s="3" t="e">
        <f>MROUND((ARTICULOS_GOLOMAX[[#This Row],[Precio]]/0.6),50)</f>
        <v>#N/A</v>
      </c>
      <c r="P101" t="s">
        <v>8693</v>
      </c>
      <c r="Q101">
        <v>10</v>
      </c>
      <c r="R101" s="42">
        <v>50</v>
      </c>
      <c r="S101" t="s">
        <v>17</v>
      </c>
      <c r="T101" t="s">
        <v>15</v>
      </c>
      <c r="U101" t="s">
        <v>87</v>
      </c>
      <c r="V101" t="s">
        <v>10147</v>
      </c>
      <c r="W101" t="s">
        <v>8692</v>
      </c>
      <c r="X101">
        <v>1</v>
      </c>
      <c r="Y101">
        <v>0</v>
      </c>
      <c r="AB101" s="80" t="e">
        <f>ARTICULOS_OSLE[[#This Row],[Costo]]*ARTICULOS_OSLE[[#This Row],[Pedido]]</f>
        <v>#VALUE!</v>
      </c>
      <c r="AH101" s="2" t="e">
        <f>IF(AND(ARTICULOS_OSLE[[#This Row],[FechaVenc]]=0,ARTICULOS_OSLE[[#This Row],[DiasVenc]]=0),"",ARTICULOS_OSLE[[#This Row],[FechaVenc]]-ARTICULOS_OSLE[[#This Row],[DiasVenc]])</f>
        <v>#VALUE!</v>
      </c>
      <c r="AO101" s="30" t="s">
        <v>8689</v>
      </c>
    </row>
    <row r="102" spans="1:41" ht="15.75" hidden="1" x14ac:dyDescent="0.25">
      <c r="A102" s="1" t="s">
        <v>10148</v>
      </c>
      <c r="B102" s="30">
        <v>7142600</v>
      </c>
      <c r="C102" t="str">
        <f t="shared" si="2"/>
        <v>CIG77927965</v>
      </c>
      <c r="D102" t="s">
        <v>8689</v>
      </c>
      <c r="E102" s="1" t="s">
        <v>10149</v>
      </c>
      <c r="F102" s="61" t="e">
        <f>VLOOKUP(ARTICULOS_GOLOMAX[[#This Row],[CodigoProveedor]],'PRECIOS GOLOMAX'!$A$1:$C$10000,3,FALSE)</f>
        <v>#N/A</v>
      </c>
      <c r="G102" s="3">
        <v>0</v>
      </c>
      <c r="H102" s="3">
        <v>0</v>
      </c>
      <c r="I102">
        <v>1</v>
      </c>
      <c r="J102">
        <v>1</v>
      </c>
      <c r="K102" s="4"/>
      <c r="L102" s="65" t="e">
        <f>((ARTICULOS_GOLOMAX[[#This Row],[P. Compra]]*(1+ARTICULOS_GOLOMAX[[#This Row],[IVA]]%))/ARTICULOS_GOLOMAX[[#This Row],[UnidFact]])+ARTICULOS_GOLOMAX[[#This Row],[CostoFlete]]</f>
        <v>#N/A</v>
      </c>
      <c r="M102">
        <v>30</v>
      </c>
      <c r="N102" s="63" t="e">
        <f t="shared" si="3"/>
        <v>#N/A</v>
      </c>
      <c r="O102" s="3" t="e">
        <f>MROUND((ARTICULOS_GOLOMAX[[#This Row],[Precio]]/0.6),50)</f>
        <v>#N/A</v>
      </c>
      <c r="P102" t="s">
        <v>8693</v>
      </c>
      <c r="Q102">
        <v>10</v>
      </c>
      <c r="R102" s="42">
        <v>50</v>
      </c>
      <c r="S102" t="s">
        <v>17</v>
      </c>
      <c r="T102" t="s">
        <v>15</v>
      </c>
      <c r="U102" t="s">
        <v>87</v>
      </c>
      <c r="V102" t="s">
        <v>10141</v>
      </c>
      <c r="W102" t="s">
        <v>8692</v>
      </c>
      <c r="X102">
        <v>1</v>
      </c>
      <c r="Y102">
        <v>0</v>
      </c>
      <c r="AB102" s="80" t="e">
        <f>ARTICULOS_OSLE[[#This Row],[Costo]]*ARTICULOS_OSLE[[#This Row],[Pedido]]</f>
        <v>#VALUE!</v>
      </c>
      <c r="AH102" s="2" t="e">
        <f>IF(AND(ARTICULOS_OSLE[[#This Row],[FechaVenc]]=0,ARTICULOS_OSLE[[#This Row],[DiasVenc]]=0),"",ARTICULOS_OSLE[[#This Row],[FechaVenc]]-ARTICULOS_OSLE[[#This Row],[DiasVenc]])</f>
        <v>#VALUE!</v>
      </c>
      <c r="AO102" s="30" t="s">
        <v>8689</v>
      </c>
    </row>
    <row r="103" spans="1:41" ht="15.75" hidden="1" x14ac:dyDescent="0.25">
      <c r="A103" s="1" t="s">
        <v>10150</v>
      </c>
      <c r="B103" s="30">
        <v>7142683</v>
      </c>
      <c r="C103" t="str">
        <f t="shared" si="2"/>
        <v>CIG77959751</v>
      </c>
      <c r="D103" t="s">
        <v>8689</v>
      </c>
      <c r="E103" s="1" t="s">
        <v>10151</v>
      </c>
      <c r="F103" s="61" t="e">
        <f>VLOOKUP(ARTICULOS_GOLOMAX[[#This Row],[CodigoProveedor]],'PRECIOS GOLOMAX'!$A$1:$C$10000,3,FALSE)</f>
        <v>#N/A</v>
      </c>
      <c r="G103" s="3">
        <v>0</v>
      </c>
      <c r="H103" s="3">
        <v>0</v>
      </c>
      <c r="I103">
        <v>1</v>
      </c>
      <c r="J103">
        <v>1</v>
      </c>
      <c r="K103" s="4"/>
      <c r="L103" s="65" t="e">
        <f>((ARTICULOS_GOLOMAX[[#This Row],[P. Compra]]*(1+ARTICULOS_GOLOMAX[[#This Row],[IVA]]%))/ARTICULOS_GOLOMAX[[#This Row],[UnidFact]])+ARTICULOS_GOLOMAX[[#This Row],[CostoFlete]]</f>
        <v>#N/A</v>
      </c>
      <c r="M103">
        <v>30</v>
      </c>
      <c r="N103" s="63" t="e">
        <f t="shared" si="3"/>
        <v>#N/A</v>
      </c>
      <c r="O103" s="3" t="e">
        <f>MROUND((ARTICULOS_GOLOMAX[[#This Row],[Precio]]/0.6),50)</f>
        <v>#N/A</v>
      </c>
      <c r="P103" t="s">
        <v>8693</v>
      </c>
      <c r="Q103">
        <v>10</v>
      </c>
      <c r="R103" s="42">
        <v>50</v>
      </c>
      <c r="S103" t="s">
        <v>17</v>
      </c>
      <c r="T103" t="s">
        <v>15</v>
      </c>
      <c r="U103" t="s">
        <v>87</v>
      </c>
      <c r="V103" t="s">
        <v>10141</v>
      </c>
      <c r="W103" t="s">
        <v>8692</v>
      </c>
      <c r="X103">
        <v>1</v>
      </c>
      <c r="Y103">
        <v>1</v>
      </c>
      <c r="AB103" s="80" t="e">
        <f>ARTICULOS_OSLE[[#This Row],[Costo]]*ARTICULOS_OSLE[[#This Row],[Pedido]]</f>
        <v>#VALUE!</v>
      </c>
      <c r="AH103" s="2" t="e">
        <f>IF(AND(ARTICULOS_OSLE[[#This Row],[FechaVenc]]=0,ARTICULOS_OSLE[[#This Row],[DiasVenc]]=0),"",ARTICULOS_OSLE[[#This Row],[FechaVenc]]-ARTICULOS_OSLE[[#This Row],[DiasVenc]])</f>
        <v>#VALUE!</v>
      </c>
      <c r="AO103" s="30" t="s">
        <v>8689</v>
      </c>
    </row>
    <row r="104" spans="1:41" ht="15.75" hidden="1" x14ac:dyDescent="0.25">
      <c r="A104" s="1" t="s">
        <v>10152</v>
      </c>
      <c r="B104" s="30">
        <v>7142700</v>
      </c>
      <c r="C104" t="str">
        <f t="shared" si="2"/>
        <v>CIG77941558</v>
      </c>
      <c r="D104" t="s">
        <v>8689</v>
      </c>
      <c r="E104" s="1" t="s">
        <v>10153</v>
      </c>
      <c r="F104" s="61" t="e">
        <f>VLOOKUP(ARTICULOS_GOLOMAX[[#This Row],[CodigoProveedor]],'PRECIOS GOLOMAX'!$A$1:$C$10000,3,FALSE)</f>
        <v>#N/A</v>
      </c>
      <c r="G104" s="3">
        <v>0</v>
      </c>
      <c r="H104" s="3">
        <v>0</v>
      </c>
      <c r="I104">
        <v>1</v>
      </c>
      <c r="J104">
        <v>1</v>
      </c>
      <c r="K104" s="4"/>
      <c r="L104" s="65" t="e">
        <f>((ARTICULOS_GOLOMAX[[#This Row],[P. Compra]]*(1+ARTICULOS_GOLOMAX[[#This Row],[IVA]]%))/ARTICULOS_GOLOMAX[[#This Row],[UnidFact]])+ARTICULOS_GOLOMAX[[#This Row],[CostoFlete]]</f>
        <v>#N/A</v>
      </c>
      <c r="M104">
        <v>30</v>
      </c>
      <c r="N104" s="63" t="e">
        <f t="shared" si="3"/>
        <v>#N/A</v>
      </c>
      <c r="O104" s="3" t="e">
        <f>MROUND((ARTICULOS_GOLOMAX[[#This Row],[Precio]]/0.6),50)</f>
        <v>#N/A</v>
      </c>
      <c r="P104" t="s">
        <v>8693</v>
      </c>
      <c r="Q104">
        <v>10</v>
      </c>
      <c r="R104" s="42">
        <v>50</v>
      </c>
      <c r="S104" t="s">
        <v>17</v>
      </c>
      <c r="T104" t="s">
        <v>15</v>
      </c>
      <c r="U104" t="s">
        <v>87</v>
      </c>
      <c r="V104" t="s">
        <v>10147</v>
      </c>
      <c r="W104" t="s">
        <v>8692</v>
      </c>
      <c r="X104">
        <v>1</v>
      </c>
      <c r="Y104">
        <v>0</v>
      </c>
      <c r="AB104" s="80" t="e">
        <f>ARTICULOS_OSLE[[#This Row],[Costo]]*ARTICULOS_OSLE[[#This Row],[Pedido]]</f>
        <v>#VALUE!</v>
      </c>
      <c r="AH104" s="2" t="e">
        <f>IF(AND(ARTICULOS_OSLE[[#This Row],[FechaVenc]]=0,ARTICULOS_OSLE[[#This Row],[DiasVenc]]=0),"",ARTICULOS_OSLE[[#This Row],[FechaVenc]]-ARTICULOS_OSLE[[#This Row],[DiasVenc]])</f>
        <v>#VALUE!</v>
      </c>
      <c r="AO104" s="30" t="s">
        <v>8689</v>
      </c>
    </row>
    <row r="105" spans="1:41" ht="15.75" hidden="1" x14ac:dyDescent="0.25">
      <c r="A105" s="1" t="s">
        <v>10154</v>
      </c>
      <c r="B105" s="30">
        <v>7142500</v>
      </c>
      <c r="C105" t="str">
        <f t="shared" si="2"/>
        <v>CIG77900883</v>
      </c>
      <c r="D105" t="s">
        <v>8689</v>
      </c>
      <c r="E105" s="1" t="s">
        <v>10155</v>
      </c>
      <c r="F105" s="61" t="e">
        <f>VLOOKUP(ARTICULOS_GOLOMAX[[#This Row],[CodigoProveedor]],'PRECIOS GOLOMAX'!$A$1:$C$10000,3,FALSE)</f>
        <v>#N/A</v>
      </c>
      <c r="G105" s="3">
        <v>0</v>
      </c>
      <c r="H105" s="3">
        <v>0</v>
      </c>
      <c r="I105">
        <v>1</v>
      </c>
      <c r="J105">
        <v>1</v>
      </c>
      <c r="K105" s="4"/>
      <c r="L105" s="65" t="e">
        <f>((ARTICULOS_GOLOMAX[[#This Row],[P. Compra]]*(1+ARTICULOS_GOLOMAX[[#This Row],[IVA]]%))/ARTICULOS_GOLOMAX[[#This Row],[UnidFact]])+ARTICULOS_GOLOMAX[[#This Row],[CostoFlete]]</f>
        <v>#N/A</v>
      </c>
      <c r="M105">
        <v>30</v>
      </c>
      <c r="N105" s="63" t="e">
        <f t="shared" si="3"/>
        <v>#N/A</v>
      </c>
      <c r="O105" s="3" t="e">
        <f>MROUND((ARTICULOS_GOLOMAX[[#This Row],[Precio]]/0.6),50)</f>
        <v>#N/A</v>
      </c>
      <c r="P105" t="s">
        <v>8693</v>
      </c>
      <c r="Q105">
        <v>10</v>
      </c>
      <c r="R105" s="42">
        <v>50</v>
      </c>
      <c r="S105" t="s">
        <v>17</v>
      </c>
      <c r="T105" t="s">
        <v>15</v>
      </c>
      <c r="U105" t="s">
        <v>87</v>
      </c>
      <c r="V105" t="s">
        <v>10141</v>
      </c>
      <c r="W105" t="s">
        <v>8692</v>
      </c>
      <c r="X105">
        <v>1</v>
      </c>
      <c r="Y105">
        <v>0</v>
      </c>
      <c r="AB105" s="80" t="e">
        <f>ARTICULOS_OSLE[[#This Row],[Costo]]*ARTICULOS_OSLE[[#This Row],[Pedido]]</f>
        <v>#VALUE!</v>
      </c>
      <c r="AH105" s="2" t="e">
        <f>IF(AND(ARTICULOS_OSLE[[#This Row],[FechaVenc]]=0,ARTICULOS_OSLE[[#This Row],[DiasVenc]]=0),"",ARTICULOS_OSLE[[#This Row],[FechaVenc]]-ARTICULOS_OSLE[[#This Row],[DiasVenc]])</f>
        <v>#VALUE!</v>
      </c>
      <c r="AO105" s="30" t="s">
        <v>8689</v>
      </c>
    </row>
    <row r="106" spans="1:41" ht="15.75" hidden="1" x14ac:dyDescent="0.25">
      <c r="A106" s="1" t="s">
        <v>10156</v>
      </c>
      <c r="B106" s="30">
        <v>7142583</v>
      </c>
      <c r="C106" t="str">
        <f t="shared" si="2"/>
        <v>CIG77970763</v>
      </c>
      <c r="D106" t="s">
        <v>8689</v>
      </c>
      <c r="E106" s="1" t="s">
        <v>10157</v>
      </c>
      <c r="F106" s="61" t="e">
        <f>VLOOKUP(ARTICULOS_GOLOMAX[[#This Row],[CodigoProveedor]],'PRECIOS GOLOMAX'!$A$1:$C$10000,3,FALSE)</f>
        <v>#N/A</v>
      </c>
      <c r="G106" s="3">
        <v>0</v>
      </c>
      <c r="H106" s="3">
        <v>0</v>
      </c>
      <c r="I106">
        <v>1</v>
      </c>
      <c r="J106">
        <v>1</v>
      </c>
      <c r="K106" s="4"/>
      <c r="L106" s="65" t="e">
        <f>((ARTICULOS_GOLOMAX[[#This Row],[P. Compra]]*(1+ARTICULOS_GOLOMAX[[#This Row],[IVA]]%))/ARTICULOS_GOLOMAX[[#This Row],[UnidFact]])+ARTICULOS_GOLOMAX[[#This Row],[CostoFlete]]</f>
        <v>#N/A</v>
      </c>
      <c r="M106">
        <v>30</v>
      </c>
      <c r="N106" s="63" t="e">
        <f t="shared" si="3"/>
        <v>#N/A</v>
      </c>
      <c r="O106" s="3" t="e">
        <f>MROUND((ARTICULOS_GOLOMAX[[#This Row],[Precio]]/0.6),50)</f>
        <v>#N/A</v>
      </c>
      <c r="P106" t="s">
        <v>8693</v>
      </c>
      <c r="Q106">
        <v>10</v>
      </c>
      <c r="R106" s="42">
        <v>50</v>
      </c>
      <c r="S106" t="s">
        <v>17</v>
      </c>
      <c r="T106" t="s">
        <v>15</v>
      </c>
      <c r="U106" t="s">
        <v>87</v>
      </c>
      <c r="V106" t="s">
        <v>10141</v>
      </c>
      <c r="W106" t="s">
        <v>8692</v>
      </c>
      <c r="X106">
        <v>1</v>
      </c>
      <c r="Y106">
        <v>9</v>
      </c>
      <c r="AB106" s="80" t="e">
        <f>ARTICULOS_OSLE[[#This Row],[Costo]]*ARTICULOS_OSLE[[#This Row],[Pedido]]</f>
        <v>#VALUE!</v>
      </c>
      <c r="AH106" s="2" t="e">
        <f>IF(AND(ARTICULOS_OSLE[[#This Row],[FechaVenc]]=0,ARTICULOS_OSLE[[#This Row],[DiasVenc]]=0),"",ARTICULOS_OSLE[[#This Row],[FechaVenc]]-ARTICULOS_OSLE[[#This Row],[DiasVenc]])</f>
        <v>#VALUE!</v>
      </c>
      <c r="AO106" s="30" t="s">
        <v>8689</v>
      </c>
    </row>
    <row r="107" spans="1:41" ht="15.75" hidden="1" x14ac:dyDescent="0.25">
      <c r="A107" s="1" t="s">
        <v>10265</v>
      </c>
      <c r="B107" s="30">
        <v>7241201</v>
      </c>
      <c r="C107" t="str">
        <f t="shared" si="2"/>
        <v>CIG30156104</v>
      </c>
      <c r="D107" t="s">
        <v>8689</v>
      </c>
      <c r="E107" s="24" t="s">
        <v>10266</v>
      </c>
      <c r="F107" s="61" t="e">
        <f>VLOOKUP(ARTICULOS_GOLOMAX[[#This Row],[CodigoProveedor]],'PRECIOS GOLOMAX'!$A$1:$C$10000,3,FALSE)</f>
        <v>#N/A</v>
      </c>
      <c r="G107" s="3">
        <v>0</v>
      </c>
      <c r="H107" s="3">
        <v>0</v>
      </c>
      <c r="I107">
        <v>25</v>
      </c>
      <c r="J107">
        <v>25</v>
      </c>
      <c r="K107" s="4"/>
      <c r="L107" s="65" t="e">
        <f>((ARTICULOS_GOLOMAX[[#This Row],[P. Compra]]*(1+ARTICULOS_GOLOMAX[[#This Row],[IVA]]%))/ARTICULOS_GOLOMAX[[#This Row],[UnidFact]])+ARTICULOS_GOLOMAX[[#This Row],[CostoFlete]]</f>
        <v>#N/A</v>
      </c>
      <c r="M107">
        <v>30</v>
      </c>
      <c r="N107" s="63" t="e">
        <f t="shared" si="3"/>
        <v>#N/A</v>
      </c>
      <c r="O107" s="3" t="e">
        <f>MROUND((ARTICULOS_GOLOMAX[[#This Row],[Precio]]/0.6),50)</f>
        <v>#N/A</v>
      </c>
      <c r="P107" t="s">
        <v>8693</v>
      </c>
      <c r="Q107">
        <v>5</v>
      </c>
      <c r="R107" s="42">
        <f>ARTICULOS_GOLOMAX[[#This Row],[Bulto]]+ARTICULOS_GOLOMAX[[#This Row],[Minimo]]</f>
        <v>30</v>
      </c>
      <c r="S107" t="s">
        <v>17</v>
      </c>
      <c r="T107" t="s">
        <v>15</v>
      </c>
      <c r="U107" t="s">
        <v>103</v>
      </c>
      <c r="V107" t="s">
        <v>10264</v>
      </c>
      <c r="W107" t="s">
        <v>8692</v>
      </c>
      <c r="X107">
        <v>1</v>
      </c>
      <c r="Y107">
        <v>0</v>
      </c>
      <c r="AB107" s="80" t="e">
        <f>ARTICULOS_OSLE[[#This Row],[Costo]]*ARTICULOS_OSLE[[#This Row],[Pedido]]</f>
        <v>#VALUE!</v>
      </c>
      <c r="AH107" s="2" t="e">
        <f>IF(AND(ARTICULOS_OSLE[[#This Row],[FechaVenc]]=0,ARTICULOS_OSLE[[#This Row],[DiasVenc]]=0),"",ARTICULOS_OSLE[[#This Row],[FechaVenc]]-ARTICULOS_OSLE[[#This Row],[DiasVenc]])</f>
        <v>#VALUE!</v>
      </c>
      <c r="AO107" s="30" t="s">
        <v>8689</v>
      </c>
    </row>
    <row r="108" spans="1:41" ht="15.75" hidden="1" x14ac:dyDescent="0.25">
      <c r="A108" s="1" t="s">
        <v>10267</v>
      </c>
      <c r="B108" s="30">
        <v>7241202</v>
      </c>
      <c r="C108" t="str">
        <f t="shared" si="2"/>
        <v>CIG30068926</v>
      </c>
      <c r="D108" t="s">
        <v>8689</v>
      </c>
      <c r="E108" s="1" t="s">
        <v>10268</v>
      </c>
      <c r="F108" s="61">
        <f>VLOOKUP(ARTICULOS_GOLOMAX[[#This Row],[CodigoProveedor]],'PRECIOS GOLOMAX'!$A$1:$C$10000,3,FALSE)</f>
        <v>671.02</v>
      </c>
      <c r="G108" s="3">
        <v>0</v>
      </c>
      <c r="H108" s="3">
        <v>0</v>
      </c>
      <c r="I108">
        <v>1</v>
      </c>
      <c r="J108">
        <v>1</v>
      </c>
      <c r="K108" s="4"/>
      <c r="L108" s="65">
        <f>((ARTICULOS_GOLOMAX[[#This Row],[P. Compra]]*(1+ARTICULOS_GOLOMAX[[#This Row],[IVA]]%))/ARTICULOS_GOLOMAX[[#This Row],[UnidFact]])+ARTICULOS_GOLOMAX[[#This Row],[CostoFlete]]</f>
        <v>671.02</v>
      </c>
      <c r="M108">
        <v>30</v>
      </c>
      <c r="N108" s="63">
        <f t="shared" si="3"/>
        <v>950</v>
      </c>
      <c r="O108" s="3">
        <f>MROUND((ARTICULOS_GOLOMAX[[#This Row],[Precio]]/0.6),50)</f>
        <v>1600</v>
      </c>
      <c r="P108" t="s">
        <v>8693</v>
      </c>
      <c r="Q108">
        <v>5</v>
      </c>
      <c r="R108" s="42">
        <v>30</v>
      </c>
      <c r="S108" t="s">
        <v>17</v>
      </c>
      <c r="T108" t="s">
        <v>15</v>
      </c>
      <c r="U108" t="s">
        <v>103</v>
      </c>
      <c r="V108" t="s">
        <v>10264</v>
      </c>
      <c r="W108" t="s">
        <v>8692</v>
      </c>
      <c r="X108">
        <v>1</v>
      </c>
      <c r="Y108">
        <v>0</v>
      </c>
      <c r="AB108" s="80" t="e">
        <f>ARTICULOS_OSLE[[#This Row],[Costo]]*ARTICULOS_OSLE[[#This Row],[Pedido]]</f>
        <v>#VALUE!</v>
      </c>
      <c r="AH108" s="2" t="e">
        <f>IF(AND(ARTICULOS_OSLE[[#This Row],[FechaVenc]]=0,ARTICULOS_OSLE[[#This Row],[DiasVenc]]=0),"",ARTICULOS_OSLE[[#This Row],[FechaVenc]]-ARTICULOS_OSLE[[#This Row],[DiasVenc]])</f>
        <v>#VALUE!</v>
      </c>
      <c r="AO108" s="30" t="s">
        <v>8689</v>
      </c>
    </row>
    <row r="109" spans="1:41" ht="15.75" hidden="1" x14ac:dyDescent="0.25">
      <c r="A109" s="1" t="s">
        <v>10269</v>
      </c>
      <c r="B109" s="30">
        <v>7283700</v>
      </c>
      <c r="C109" t="str">
        <f t="shared" si="2"/>
        <v>CIG96700012</v>
      </c>
      <c r="D109" t="s">
        <v>8689</v>
      </c>
      <c r="E109" s="1" t="s">
        <v>10270</v>
      </c>
      <c r="F109" s="61">
        <f>VLOOKUP(ARTICULOS_GOLOMAX[[#This Row],[CodigoProveedor]],'PRECIOS GOLOMAX'!$A$1:$C$10000,3,FALSE)</f>
        <v>2150.94</v>
      </c>
      <c r="G109" s="7">
        <v>0</v>
      </c>
      <c r="H109" s="3">
        <v>0</v>
      </c>
      <c r="I109" s="35">
        <v>1</v>
      </c>
      <c r="J109" s="35">
        <v>1</v>
      </c>
      <c r="K109" s="4"/>
      <c r="L109" s="65">
        <f>((ARTICULOS_GOLOMAX[[#This Row],[P. Compra]]*(1+ARTICULOS_GOLOMAX[[#This Row],[IVA]]%))/ARTICULOS_GOLOMAX[[#This Row],[UnidFact]])+ARTICULOS_GOLOMAX[[#This Row],[CostoFlete]]</f>
        <v>2150.94</v>
      </c>
      <c r="M109">
        <v>30</v>
      </c>
      <c r="N109" s="63">
        <f t="shared" si="3"/>
        <v>3050</v>
      </c>
      <c r="O109" s="3">
        <f>MROUND((ARTICULOS_GOLOMAX[[#This Row],[Precio]]/0.6),50)</f>
        <v>5100</v>
      </c>
      <c r="P109" t="s">
        <v>8693</v>
      </c>
      <c r="Q109" s="35">
        <v>3</v>
      </c>
      <c r="R109" s="36">
        <v>6</v>
      </c>
      <c r="S109" t="s">
        <v>17</v>
      </c>
      <c r="T109" t="s">
        <v>15</v>
      </c>
      <c r="U109" t="s">
        <v>103</v>
      </c>
      <c r="V109" t="s">
        <v>10271</v>
      </c>
      <c r="W109" t="s">
        <v>8692</v>
      </c>
      <c r="X109">
        <v>1</v>
      </c>
      <c r="Y109">
        <v>1</v>
      </c>
      <c r="AB109" s="80" t="e">
        <f>ARTICULOS_OSLE[[#This Row],[Costo]]*ARTICULOS_OSLE[[#This Row],[Pedido]]</f>
        <v>#VALUE!</v>
      </c>
      <c r="AH109" s="2" t="e">
        <f>IF(AND(ARTICULOS_OSLE[[#This Row],[FechaVenc]]=0,ARTICULOS_OSLE[[#This Row],[DiasVenc]]=0),"",ARTICULOS_OSLE[[#This Row],[FechaVenc]]-ARTICULOS_OSLE[[#This Row],[DiasVenc]])</f>
        <v>#VALUE!</v>
      </c>
      <c r="AO109" s="30" t="s">
        <v>8689</v>
      </c>
    </row>
    <row r="110" spans="1:41" ht="15.75" hidden="1" x14ac:dyDescent="0.25">
      <c r="A110" s="1" t="s">
        <v>8876</v>
      </c>
      <c r="B110" s="30">
        <v>1108826</v>
      </c>
      <c r="C110" t="str">
        <f t="shared" si="2"/>
        <v>KIO70418289</v>
      </c>
      <c r="D110" t="s">
        <v>8689</v>
      </c>
      <c r="E110" s="1" t="s">
        <v>8877</v>
      </c>
      <c r="F110" s="61">
        <f>VLOOKUP(ARTICULOS_GOLOMAX[[#This Row],[CodigoProveedor]],'PRECIOS GOLOMAX'!$A$1:$C$10000,3,FALSE)</f>
        <v>375.89</v>
      </c>
      <c r="G110" s="3">
        <v>0</v>
      </c>
      <c r="H110" s="3">
        <v>0</v>
      </c>
      <c r="I110">
        <v>1</v>
      </c>
      <c r="J110">
        <v>1</v>
      </c>
      <c r="K110" s="4"/>
      <c r="L110" s="65">
        <f>((ARTICULOS_GOLOMAX[[#This Row],[P. Compra]]*(1+ARTICULOS_GOLOMAX[[#This Row],[IVA]]%))/ARTICULOS_GOLOMAX[[#This Row],[UnidFact]])+ARTICULOS_GOLOMAX[[#This Row],[CostoFlete]]</f>
        <v>375.89</v>
      </c>
      <c r="M110">
        <v>30</v>
      </c>
      <c r="N110" s="63">
        <f t="shared" si="3"/>
        <v>550</v>
      </c>
      <c r="O110" s="3">
        <f>MROUND((ARTICULOS_GOLOMAX[[#This Row],[Precio]]/0.6),50)</f>
        <v>900</v>
      </c>
      <c r="P110" t="s">
        <v>8693</v>
      </c>
      <c r="Q110">
        <v>3</v>
      </c>
      <c r="R110" s="42">
        <v>10</v>
      </c>
      <c r="S110" t="s">
        <v>17</v>
      </c>
      <c r="T110" t="s">
        <v>27</v>
      </c>
      <c r="U110" t="s">
        <v>8</v>
      </c>
      <c r="V110" t="s">
        <v>9732</v>
      </c>
      <c r="W110" t="s">
        <v>8692</v>
      </c>
      <c r="X110">
        <v>1</v>
      </c>
      <c r="Y110">
        <v>7</v>
      </c>
      <c r="AB110" s="80" t="e">
        <f>ARTICULOS_OSLE[[#This Row],[Costo]]*ARTICULOS_OSLE[[#This Row],[Pedido]]</f>
        <v>#VALUE!</v>
      </c>
      <c r="AH110" s="2" t="e">
        <f>IF(AND(ARTICULOS_OSLE[[#This Row],[FechaVenc]]=0,ARTICULOS_OSLE[[#This Row],[DiasVenc]]=0),"",ARTICULOS_OSLE[[#This Row],[FechaVenc]]-ARTICULOS_OSLE[[#This Row],[DiasVenc]])</f>
        <v>#VALUE!</v>
      </c>
      <c r="AO110" s="30" t="s">
        <v>8689</v>
      </c>
    </row>
    <row r="111" spans="1:41" ht="15.75" hidden="1" x14ac:dyDescent="0.25">
      <c r="A111" s="1" t="s">
        <v>9733</v>
      </c>
      <c r="B111">
        <v>1108830</v>
      </c>
      <c r="C111" t="str">
        <f t="shared" si="2"/>
        <v>KIO70418203</v>
      </c>
      <c r="D111" t="s">
        <v>8689</v>
      </c>
      <c r="E111" s="1" t="s">
        <v>9734</v>
      </c>
      <c r="F111" s="61">
        <f>VLOOKUP(ARTICULOS_GOLOMAX[[#This Row],[CodigoProveedor]],'PRECIOS GOLOMAX'!$A$1:$C$10000,3,FALSE)</f>
        <v>375.89</v>
      </c>
      <c r="G111" s="3">
        <v>0</v>
      </c>
      <c r="H111" s="3">
        <v>0</v>
      </c>
      <c r="I111">
        <v>1</v>
      </c>
      <c r="J111">
        <v>1</v>
      </c>
      <c r="K111" s="4"/>
      <c r="L111" s="65">
        <f>((ARTICULOS_GOLOMAX[[#This Row],[P. Compra]]*(1+ARTICULOS_GOLOMAX[[#This Row],[IVA]]%))/ARTICULOS_GOLOMAX[[#This Row],[UnidFact]])+ARTICULOS_GOLOMAX[[#This Row],[CostoFlete]]</f>
        <v>375.89</v>
      </c>
      <c r="M111">
        <v>30</v>
      </c>
      <c r="N111" s="63">
        <f t="shared" si="3"/>
        <v>550</v>
      </c>
      <c r="O111" s="3">
        <f>MROUND((ARTICULOS_GOLOMAX[[#This Row],[Precio]]/0.6),50)</f>
        <v>900</v>
      </c>
      <c r="P111" t="s">
        <v>8693</v>
      </c>
      <c r="Q111">
        <v>3</v>
      </c>
      <c r="R111" s="42">
        <v>10</v>
      </c>
      <c r="S111" t="s">
        <v>17</v>
      </c>
      <c r="T111" t="s">
        <v>27</v>
      </c>
      <c r="U111" t="s">
        <v>8</v>
      </c>
      <c r="V111" t="s">
        <v>9732</v>
      </c>
      <c r="W111" t="s">
        <v>8692</v>
      </c>
      <c r="X111">
        <v>1</v>
      </c>
      <c r="Y111">
        <v>3</v>
      </c>
      <c r="AB111" s="80" t="e">
        <f>ARTICULOS_OSLE[[#This Row],[Costo]]*ARTICULOS_OSLE[[#This Row],[Pedido]]</f>
        <v>#VALUE!</v>
      </c>
      <c r="AH111" s="2" t="e">
        <f>IF(AND(ARTICULOS_OSLE[[#This Row],[FechaVenc]]=0,ARTICULOS_OSLE[[#This Row],[DiasVenc]]=0),"",ARTICULOS_OSLE[[#This Row],[FechaVenc]]-ARTICULOS_OSLE[[#This Row],[DiasVenc]])</f>
        <v>#VALUE!</v>
      </c>
      <c r="AO111" s="30" t="s">
        <v>8689</v>
      </c>
    </row>
    <row r="112" spans="1:41" ht="15.75" hidden="1" x14ac:dyDescent="0.25">
      <c r="A112" s="1" t="s">
        <v>9735</v>
      </c>
      <c r="B112">
        <v>1108854</v>
      </c>
      <c r="C112" t="str">
        <f t="shared" si="2"/>
        <v>KIO70418241</v>
      </c>
      <c r="D112" t="s">
        <v>8689</v>
      </c>
      <c r="E112" s="1" t="s">
        <v>9736</v>
      </c>
      <c r="F112" s="61">
        <f>VLOOKUP(ARTICULOS_GOLOMAX[[#This Row],[CodigoProveedor]],'PRECIOS GOLOMAX'!$A$1:$C$10000,3,FALSE)</f>
        <v>375.89</v>
      </c>
      <c r="G112" s="3">
        <v>0</v>
      </c>
      <c r="H112" s="3">
        <v>0</v>
      </c>
      <c r="I112">
        <v>1</v>
      </c>
      <c r="J112">
        <v>1</v>
      </c>
      <c r="K112" s="4"/>
      <c r="L112" s="65">
        <f>((ARTICULOS_GOLOMAX[[#This Row],[P. Compra]]*(1+ARTICULOS_GOLOMAX[[#This Row],[IVA]]%))/ARTICULOS_GOLOMAX[[#This Row],[UnidFact]])+ARTICULOS_GOLOMAX[[#This Row],[CostoFlete]]</f>
        <v>375.89</v>
      </c>
      <c r="M112">
        <v>30</v>
      </c>
      <c r="N112" s="63">
        <f t="shared" si="3"/>
        <v>550</v>
      </c>
      <c r="O112" s="3">
        <f>MROUND((ARTICULOS_GOLOMAX[[#This Row],[Precio]]/0.6),50)</f>
        <v>900</v>
      </c>
      <c r="P112" t="s">
        <v>8693</v>
      </c>
      <c r="Q112">
        <v>3</v>
      </c>
      <c r="R112" s="42">
        <v>10</v>
      </c>
      <c r="S112" t="s">
        <v>17</v>
      </c>
      <c r="T112" t="s">
        <v>27</v>
      </c>
      <c r="U112" t="s">
        <v>8</v>
      </c>
      <c r="V112" t="s">
        <v>9732</v>
      </c>
      <c r="W112" t="s">
        <v>8692</v>
      </c>
      <c r="X112">
        <v>1</v>
      </c>
      <c r="Y112">
        <v>0</v>
      </c>
      <c r="AB112" s="80" t="e">
        <f>ARTICULOS_OSLE[[#This Row],[Costo]]*ARTICULOS_OSLE[[#This Row],[Pedido]]</f>
        <v>#VALUE!</v>
      </c>
      <c r="AH112" s="2" t="e">
        <f>IF(AND(ARTICULOS_OSLE[[#This Row],[FechaVenc]]=0,ARTICULOS_OSLE[[#This Row],[DiasVenc]]=0),"",ARTICULOS_OSLE[[#This Row],[FechaVenc]]-ARTICULOS_OSLE[[#This Row],[DiasVenc]])</f>
        <v>#VALUE!</v>
      </c>
      <c r="AO112" s="30" t="s">
        <v>8689</v>
      </c>
    </row>
    <row r="113" spans="1:41" ht="15.75" hidden="1" x14ac:dyDescent="0.25">
      <c r="A113" s="1" t="s">
        <v>9737</v>
      </c>
      <c r="B113">
        <v>1108867</v>
      </c>
      <c r="C113" t="str">
        <f t="shared" si="2"/>
        <v>KIO70418326</v>
      </c>
      <c r="D113" t="s">
        <v>8689</v>
      </c>
      <c r="E113" s="1" t="s">
        <v>9738</v>
      </c>
      <c r="F113" s="61">
        <f>VLOOKUP(ARTICULOS_GOLOMAX[[#This Row],[CodigoProveedor]],'PRECIOS GOLOMAX'!$A$1:$C$10000,3,FALSE)</f>
        <v>375.89</v>
      </c>
      <c r="G113" s="3">
        <v>0</v>
      </c>
      <c r="H113" s="3">
        <v>0</v>
      </c>
      <c r="I113">
        <v>1</v>
      </c>
      <c r="J113">
        <v>1</v>
      </c>
      <c r="K113" s="4"/>
      <c r="L113" s="65">
        <f>((ARTICULOS_GOLOMAX[[#This Row],[P. Compra]]*(1+ARTICULOS_GOLOMAX[[#This Row],[IVA]]%))/ARTICULOS_GOLOMAX[[#This Row],[UnidFact]])+ARTICULOS_GOLOMAX[[#This Row],[CostoFlete]]</f>
        <v>375.89</v>
      </c>
      <c r="M113">
        <v>30</v>
      </c>
      <c r="N113" s="63">
        <f t="shared" si="3"/>
        <v>550</v>
      </c>
      <c r="O113" s="3">
        <f>MROUND((ARTICULOS_GOLOMAX[[#This Row],[Precio]]/0.6),50)</f>
        <v>900</v>
      </c>
      <c r="P113" t="s">
        <v>8693</v>
      </c>
      <c r="Q113">
        <v>3</v>
      </c>
      <c r="R113" s="42">
        <v>10</v>
      </c>
      <c r="S113" t="s">
        <v>17</v>
      </c>
      <c r="T113" t="s">
        <v>27</v>
      </c>
      <c r="U113" t="s">
        <v>8</v>
      </c>
      <c r="V113" t="s">
        <v>9732</v>
      </c>
      <c r="W113" t="s">
        <v>8692</v>
      </c>
      <c r="X113">
        <v>1</v>
      </c>
      <c r="Y113">
        <v>0</v>
      </c>
      <c r="AB113" s="80" t="e">
        <f>ARTICULOS_OSLE[[#This Row],[Costo]]*ARTICULOS_OSLE[[#This Row],[Pedido]]</f>
        <v>#VALUE!</v>
      </c>
      <c r="AH113" s="2" t="e">
        <f>IF(AND(ARTICULOS_OSLE[[#This Row],[FechaVenc]]=0,ARTICULOS_OSLE[[#This Row],[DiasVenc]]=0),"",ARTICULOS_OSLE[[#This Row],[FechaVenc]]-ARTICULOS_OSLE[[#This Row],[DiasVenc]])</f>
        <v>#VALUE!</v>
      </c>
      <c r="AO113" s="30" t="s">
        <v>8689</v>
      </c>
    </row>
    <row r="114" spans="1:41" ht="15.75" hidden="1" x14ac:dyDescent="0.25">
      <c r="A114" s="1" t="s">
        <v>12213</v>
      </c>
      <c r="B114">
        <v>1107866</v>
      </c>
      <c r="C114" t="str">
        <f t="shared" ref="C114" si="4">CONCATENATE(LEFT(T114,3),RIGHT(A114,8))</f>
        <v>KIO77930057</v>
      </c>
      <c r="D114" t="s">
        <v>8689</v>
      </c>
      <c r="E114" s="1" t="s">
        <v>12214</v>
      </c>
      <c r="F114" s="61">
        <f>VLOOKUP(ARTICULOS_GOLOMAX[[#This Row],[CodigoProveedor]],'PRECIOS GOLOMAX'!$A$1:$C$10000,3,FALSE)</f>
        <v>1061.98</v>
      </c>
      <c r="G114" s="3">
        <v>0</v>
      </c>
      <c r="H114" s="3">
        <v>0</v>
      </c>
      <c r="I114">
        <v>1</v>
      </c>
      <c r="J114">
        <v>1</v>
      </c>
      <c r="K114" s="4"/>
      <c r="L114" s="65">
        <f>((ARTICULOS_GOLOMAX[[#This Row],[P. Compra]]*(1+ARTICULOS_GOLOMAX[[#This Row],[IVA]]%))/ARTICULOS_GOLOMAX[[#This Row],[UnidFact]])+ARTICULOS_GOLOMAX[[#This Row],[CostoFlete]]</f>
        <v>1061.98</v>
      </c>
      <c r="M114">
        <v>30</v>
      </c>
      <c r="N114" s="63">
        <f t="shared" ref="N114" si="5">IF(L114&gt;=10,MROUND(L114/(1-M114/100),50),20)</f>
        <v>1500</v>
      </c>
      <c r="O114" s="3">
        <f>MROUND((ARTICULOS_GOLOMAX[[#This Row],[Precio]]/0.6),50)</f>
        <v>2500</v>
      </c>
      <c r="P114" t="s">
        <v>8693</v>
      </c>
      <c r="Q114">
        <v>3</v>
      </c>
      <c r="R114" s="42">
        <v>10</v>
      </c>
      <c r="S114" t="s">
        <v>17</v>
      </c>
      <c r="T114" t="s">
        <v>27</v>
      </c>
      <c r="U114" t="s">
        <v>8</v>
      </c>
      <c r="V114" t="s">
        <v>12217</v>
      </c>
      <c r="W114" t="s">
        <v>8692</v>
      </c>
      <c r="X114">
        <v>1</v>
      </c>
      <c r="Y114">
        <v>0</v>
      </c>
      <c r="AB114" s="80" t="e">
        <f>ARTICULOS_OSLE[[#This Row],[Costo]]*ARTICULOS_OSLE[[#This Row],[Pedido]]</f>
        <v>#VALUE!</v>
      </c>
      <c r="AH114" s="2" t="e">
        <f>IF(AND(ARTICULOS_OSLE[[#This Row],[FechaVenc]]=0,ARTICULOS_OSLE[[#This Row],[DiasVenc]]=0),"",ARTICULOS_OSLE[[#This Row],[FechaVenc]]-ARTICULOS_OSLE[[#This Row],[DiasVenc]])</f>
        <v>#VALUE!</v>
      </c>
      <c r="AO114" s="30" t="s">
        <v>8689</v>
      </c>
    </row>
    <row r="115" spans="1:41" ht="15.75" hidden="1" x14ac:dyDescent="0.25">
      <c r="A115" s="1" t="s">
        <v>12215</v>
      </c>
      <c r="B115">
        <v>1107825</v>
      </c>
      <c r="C115" t="str">
        <f t="shared" ref="C115:C116" si="6">CONCATENATE(LEFT(T115,3),RIGHT(A115,8))</f>
        <v>KIO77934505</v>
      </c>
      <c r="D115" t="s">
        <v>8689</v>
      </c>
      <c r="E115" s="1" t="s">
        <v>12216</v>
      </c>
      <c r="F115" s="61">
        <f>VLOOKUP(ARTICULOS_GOLOMAX[[#This Row],[CodigoProveedor]],'PRECIOS GOLOMAX'!$A$1:$C$10000,3,FALSE)</f>
        <v>943.99</v>
      </c>
      <c r="G115" s="3">
        <v>0</v>
      </c>
      <c r="H115" s="3">
        <v>0</v>
      </c>
      <c r="I115">
        <v>1</v>
      </c>
      <c r="J115">
        <v>1</v>
      </c>
      <c r="K115" s="4"/>
      <c r="L115" s="65">
        <f>((ARTICULOS_GOLOMAX[[#This Row],[P. Compra]]*(1+ARTICULOS_GOLOMAX[[#This Row],[IVA]]%))/ARTICULOS_GOLOMAX[[#This Row],[UnidFact]])+ARTICULOS_GOLOMAX[[#This Row],[CostoFlete]]</f>
        <v>943.99</v>
      </c>
      <c r="M115">
        <v>30</v>
      </c>
      <c r="N115" s="63">
        <f t="shared" ref="N115:N116" si="7">IF(L115&gt;=10,MROUND(L115/(1-M115/100),50),20)</f>
        <v>1350</v>
      </c>
      <c r="O115" s="3">
        <f>MROUND((ARTICULOS_GOLOMAX[[#This Row],[Precio]]/0.6),50)</f>
        <v>2250</v>
      </c>
      <c r="P115" t="s">
        <v>8693</v>
      </c>
      <c r="Q115">
        <v>3</v>
      </c>
      <c r="R115" s="42">
        <v>10</v>
      </c>
      <c r="S115" t="s">
        <v>17</v>
      </c>
      <c r="T115" t="s">
        <v>27</v>
      </c>
      <c r="U115" t="s">
        <v>8</v>
      </c>
      <c r="V115" t="s">
        <v>12217</v>
      </c>
      <c r="W115" t="s">
        <v>8692</v>
      </c>
      <c r="X115">
        <v>1</v>
      </c>
      <c r="Y115">
        <v>0</v>
      </c>
      <c r="AB115" s="80" t="e">
        <f>ARTICULOS_OSLE[[#This Row],[Costo]]*ARTICULOS_OSLE[[#This Row],[Pedido]]</f>
        <v>#VALUE!</v>
      </c>
      <c r="AH115" s="2" t="e">
        <f>IF(AND(ARTICULOS_OSLE[[#This Row],[FechaVenc]]=0,ARTICULOS_OSLE[[#This Row],[DiasVenc]]=0),"",ARTICULOS_OSLE[[#This Row],[FechaVenc]]-ARTICULOS_OSLE[[#This Row],[DiasVenc]])</f>
        <v>#VALUE!</v>
      </c>
      <c r="AO115" s="30" t="s">
        <v>8689</v>
      </c>
    </row>
    <row r="116" spans="1:41" ht="15.75" hidden="1" x14ac:dyDescent="0.25">
      <c r="A116" s="1" t="s">
        <v>12218</v>
      </c>
      <c r="B116">
        <v>1107825</v>
      </c>
      <c r="C116" t="str">
        <f t="shared" si="6"/>
        <v>KIO77922106</v>
      </c>
      <c r="D116" t="s">
        <v>8689</v>
      </c>
      <c r="E116" s="1" t="s">
        <v>12219</v>
      </c>
      <c r="F116" s="61">
        <f>VLOOKUP(ARTICULOS_GOLOMAX[[#This Row],[CodigoProveedor]],'PRECIOS GOLOMAX'!$A$1:$C$10000,3,FALSE)</f>
        <v>943.99</v>
      </c>
      <c r="G116" s="3">
        <v>0</v>
      </c>
      <c r="H116" s="3">
        <v>0</v>
      </c>
      <c r="I116">
        <v>1</v>
      </c>
      <c r="J116">
        <v>1</v>
      </c>
      <c r="K116" s="4"/>
      <c r="L116" s="65">
        <f>((ARTICULOS_GOLOMAX[[#This Row],[P. Compra]]*(1+ARTICULOS_GOLOMAX[[#This Row],[IVA]]%))/ARTICULOS_GOLOMAX[[#This Row],[UnidFact]])+ARTICULOS_GOLOMAX[[#This Row],[CostoFlete]]</f>
        <v>943.99</v>
      </c>
      <c r="M116">
        <v>30</v>
      </c>
      <c r="N116" s="63">
        <f t="shared" si="7"/>
        <v>1350</v>
      </c>
      <c r="O116" s="3">
        <f>MROUND((ARTICULOS_GOLOMAX[[#This Row],[Precio]]/0.6),50)</f>
        <v>2250</v>
      </c>
      <c r="P116" t="s">
        <v>8693</v>
      </c>
      <c r="Q116">
        <v>3</v>
      </c>
      <c r="R116" s="42">
        <v>10</v>
      </c>
      <c r="S116" t="s">
        <v>17</v>
      </c>
      <c r="T116" t="s">
        <v>27</v>
      </c>
      <c r="U116" t="s">
        <v>8</v>
      </c>
      <c r="V116" t="s">
        <v>12217</v>
      </c>
      <c r="W116" t="s">
        <v>8692</v>
      </c>
      <c r="X116">
        <v>1</v>
      </c>
      <c r="Y116">
        <v>0</v>
      </c>
      <c r="AB116" s="80" t="e">
        <f>ARTICULOS_OSLE[[#This Row],[Costo]]*ARTICULOS_OSLE[[#This Row],[Pedido]]</f>
        <v>#VALUE!</v>
      </c>
      <c r="AH116" s="2" t="e">
        <f>IF(AND(ARTICULOS_OSLE[[#This Row],[FechaVenc]]=0,ARTICULOS_OSLE[[#This Row],[DiasVenc]]=0),"",ARTICULOS_OSLE[[#This Row],[FechaVenc]]-ARTICULOS_OSLE[[#This Row],[DiasVenc]])</f>
        <v>#VALUE!</v>
      </c>
      <c r="AO116" s="30" t="s">
        <v>8689</v>
      </c>
    </row>
    <row r="117" spans="1:41" ht="15.75" hidden="1" x14ac:dyDescent="0.25">
      <c r="A117" s="1" t="s">
        <v>12220</v>
      </c>
      <c r="B117">
        <v>1107863</v>
      </c>
      <c r="C117" t="str">
        <f t="shared" ref="C117" si="8">CONCATENATE(LEFT(T117,3),RIGHT(A117,8))</f>
        <v>KIO77934499</v>
      </c>
      <c r="D117" t="s">
        <v>8689</v>
      </c>
      <c r="E117" s="1" t="s">
        <v>12221</v>
      </c>
      <c r="F117" s="61">
        <f>VLOOKUP(ARTICULOS_GOLOMAX[[#This Row],[CodigoProveedor]],'PRECIOS GOLOMAX'!$A$1:$C$10000,3,FALSE)</f>
        <v>943.99</v>
      </c>
      <c r="G117" s="3">
        <v>0</v>
      </c>
      <c r="H117" s="3">
        <v>0</v>
      </c>
      <c r="I117">
        <v>1</v>
      </c>
      <c r="J117">
        <v>1</v>
      </c>
      <c r="K117" s="4"/>
      <c r="L117" s="65">
        <f>((ARTICULOS_GOLOMAX[[#This Row],[P. Compra]]*(1+ARTICULOS_GOLOMAX[[#This Row],[IVA]]%))/ARTICULOS_GOLOMAX[[#This Row],[UnidFact]])+ARTICULOS_GOLOMAX[[#This Row],[CostoFlete]]</f>
        <v>943.99</v>
      </c>
      <c r="M117">
        <v>30</v>
      </c>
      <c r="N117" s="63">
        <f t="shared" ref="N117" si="9">IF(L117&gt;=10,MROUND(L117/(1-M117/100),50),20)</f>
        <v>1350</v>
      </c>
      <c r="O117" s="3">
        <f>MROUND((ARTICULOS_GOLOMAX[[#This Row],[Precio]]/0.6),50)</f>
        <v>2250</v>
      </c>
      <c r="P117" t="s">
        <v>8693</v>
      </c>
      <c r="Q117">
        <v>3</v>
      </c>
      <c r="R117" s="42">
        <v>10</v>
      </c>
      <c r="S117" t="s">
        <v>17</v>
      </c>
      <c r="T117" t="s">
        <v>27</v>
      </c>
      <c r="U117" t="s">
        <v>8</v>
      </c>
      <c r="V117" t="s">
        <v>12217</v>
      </c>
      <c r="W117" t="s">
        <v>8692</v>
      </c>
      <c r="X117">
        <v>1</v>
      </c>
      <c r="Y117">
        <v>0</v>
      </c>
      <c r="AB117" s="80" t="e">
        <f>ARTICULOS_OSLE[[#This Row],[Costo]]*ARTICULOS_OSLE[[#This Row],[Pedido]]</f>
        <v>#VALUE!</v>
      </c>
      <c r="AH117" s="2" t="e">
        <f>IF(AND(ARTICULOS_OSLE[[#This Row],[FechaVenc]]=0,ARTICULOS_OSLE[[#This Row],[DiasVenc]]=0),"",ARTICULOS_OSLE[[#This Row],[FechaVenc]]-ARTICULOS_OSLE[[#This Row],[DiasVenc]])</f>
        <v>#VALUE!</v>
      </c>
      <c r="AO117" s="30" t="s">
        <v>8689</v>
      </c>
    </row>
    <row r="118" spans="1:41" ht="15.75" hidden="1" x14ac:dyDescent="0.25">
      <c r="A118" s="1" t="s">
        <v>9739</v>
      </c>
      <c r="B118">
        <v>1106200</v>
      </c>
      <c r="C118" t="str">
        <f t="shared" si="2"/>
        <v>KIO77958259</v>
      </c>
      <c r="D118" t="s">
        <v>8689</v>
      </c>
      <c r="E118" s="1" t="s">
        <v>9740</v>
      </c>
      <c r="F118" s="61">
        <f>VLOOKUP(ARTICULOS_GOLOMAX[[#This Row],[CodigoProveedor]],'PRECIOS GOLOMAX'!$A$1:$C$10000,3,FALSE)</f>
        <v>135.6</v>
      </c>
      <c r="G118" s="3">
        <v>0</v>
      </c>
      <c r="H118" s="3">
        <v>0</v>
      </c>
      <c r="I118">
        <v>1</v>
      </c>
      <c r="J118">
        <v>1</v>
      </c>
      <c r="K118" s="4"/>
      <c r="L118" s="65">
        <f>((ARTICULOS_GOLOMAX[[#This Row],[P. Compra]]*(1+ARTICULOS_GOLOMAX[[#This Row],[IVA]]%))/ARTICULOS_GOLOMAX[[#This Row],[UnidFact]])+ARTICULOS_GOLOMAX[[#This Row],[CostoFlete]]</f>
        <v>135.6</v>
      </c>
      <c r="M118">
        <v>30</v>
      </c>
      <c r="N118" s="63">
        <f t="shared" si="3"/>
        <v>200</v>
      </c>
      <c r="O118" s="3">
        <f>MROUND((ARTICULOS_GOLOMAX[[#This Row],[Precio]]/0.6),50)</f>
        <v>350</v>
      </c>
      <c r="P118" t="s">
        <v>8693</v>
      </c>
      <c r="Q118">
        <v>10</v>
      </c>
      <c r="R118" s="42">
        <v>40</v>
      </c>
      <c r="S118" t="s">
        <v>17</v>
      </c>
      <c r="T118" t="s">
        <v>27</v>
      </c>
      <c r="U118" t="s">
        <v>8</v>
      </c>
      <c r="V118" t="s">
        <v>9741</v>
      </c>
      <c r="W118" t="s">
        <v>8692</v>
      </c>
      <c r="X118">
        <v>1</v>
      </c>
      <c r="Y118">
        <v>15</v>
      </c>
      <c r="AB118" s="80" t="e">
        <f>ARTICULOS_OSLE[[#This Row],[Costo]]*ARTICULOS_OSLE[[#This Row],[Pedido]]</f>
        <v>#VALUE!</v>
      </c>
      <c r="AH118" s="2" t="e">
        <f>IF(AND(ARTICULOS_OSLE[[#This Row],[FechaVenc]]=0,ARTICULOS_OSLE[[#This Row],[DiasVenc]]=0),"",ARTICULOS_OSLE[[#This Row],[FechaVenc]]-ARTICULOS_OSLE[[#This Row],[DiasVenc]])</f>
        <v>#VALUE!</v>
      </c>
      <c r="AO118" s="30" t="s">
        <v>8689</v>
      </c>
    </row>
    <row r="119" spans="1:41" ht="15.75" hidden="1" x14ac:dyDescent="0.25">
      <c r="A119" s="1" t="s">
        <v>9742</v>
      </c>
      <c r="B119">
        <v>1106200</v>
      </c>
      <c r="C119" t="str">
        <f t="shared" si="2"/>
        <v>KIO77958266</v>
      </c>
      <c r="D119" t="s">
        <v>8689</v>
      </c>
      <c r="E119" s="1" t="s">
        <v>9743</v>
      </c>
      <c r="F119" s="61">
        <f>VLOOKUP(ARTICULOS_GOLOMAX[[#This Row],[CodigoProveedor]],'PRECIOS GOLOMAX'!$A$1:$C$10000,3,FALSE)</f>
        <v>135.6</v>
      </c>
      <c r="G119" s="3">
        <v>0</v>
      </c>
      <c r="H119" s="3">
        <v>0</v>
      </c>
      <c r="I119">
        <v>1</v>
      </c>
      <c r="J119">
        <v>1</v>
      </c>
      <c r="K119" s="4"/>
      <c r="L119" s="65">
        <f>((ARTICULOS_GOLOMAX[[#This Row],[P. Compra]]*(1+ARTICULOS_GOLOMAX[[#This Row],[IVA]]%))/ARTICULOS_GOLOMAX[[#This Row],[UnidFact]])+ARTICULOS_GOLOMAX[[#This Row],[CostoFlete]]</f>
        <v>135.6</v>
      </c>
      <c r="M119">
        <v>30</v>
      </c>
      <c r="N119" s="63">
        <f t="shared" si="3"/>
        <v>200</v>
      </c>
      <c r="O119" s="3">
        <f>MROUND((ARTICULOS_GOLOMAX[[#This Row],[Precio]]/0.6),50)</f>
        <v>350</v>
      </c>
      <c r="P119" t="s">
        <v>8693</v>
      </c>
      <c r="Q119">
        <v>10</v>
      </c>
      <c r="R119" s="42">
        <v>40</v>
      </c>
      <c r="S119" t="s">
        <v>17</v>
      </c>
      <c r="T119" t="s">
        <v>27</v>
      </c>
      <c r="U119" t="s">
        <v>8</v>
      </c>
      <c r="V119" t="s">
        <v>9741</v>
      </c>
      <c r="W119" t="s">
        <v>8692</v>
      </c>
      <c r="X119">
        <v>1</v>
      </c>
      <c r="Y119">
        <v>18</v>
      </c>
      <c r="AB119" s="80" t="e">
        <f>ARTICULOS_OSLE[[#This Row],[Costo]]*ARTICULOS_OSLE[[#This Row],[Pedido]]</f>
        <v>#VALUE!</v>
      </c>
      <c r="AH119" s="2" t="e">
        <f>IF(AND(ARTICULOS_OSLE[[#This Row],[FechaVenc]]=0,ARTICULOS_OSLE[[#This Row],[DiasVenc]]=0),"",ARTICULOS_OSLE[[#This Row],[FechaVenc]]-ARTICULOS_OSLE[[#This Row],[DiasVenc]])</f>
        <v>#VALUE!</v>
      </c>
      <c r="AO119" s="30" t="s">
        <v>8689</v>
      </c>
    </row>
    <row r="120" spans="1:41" ht="15.75" hidden="1" x14ac:dyDescent="0.25">
      <c r="A120" s="1" t="s">
        <v>9744</v>
      </c>
      <c r="B120">
        <v>1102425</v>
      </c>
      <c r="C120" t="str">
        <f t="shared" si="2"/>
        <v>KIO72002005</v>
      </c>
      <c r="D120" t="s">
        <v>8689</v>
      </c>
      <c r="E120" s="1" t="s">
        <v>9745</v>
      </c>
      <c r="F120" s="61">
        <f>VLOOKUP(ARTICULOS_GOLOMAX[[#This Row],[CodigoProveedor]],'PRECIOS GOLOMAX'!$A$1:$C$10000,3,FALSE)</f>
        <v>1017.6</v>
      </c>
      <c r="G120" s="3">
        <v>0</v>
      </c>
      <c r="H120" s="3">
        <v>0</v>
      </c>
      <c r="I120">
        <v>1</v>
      </c>
      <c r="J120">
        <v>1</v>
      </c>
      <c r="K120" s="4"/>
      <c r="L120" s="65">
        <f>((ARTICULOS_GOLOMAX[[#This Row],[P. Compra]]*(1+ARTICULOS_GOLOMAX[[#This Row],[IVA]]%))/ARTICULOS_GOLOMAX[[#This Row],[UnidFact]])+ARTICULOS_GOLOMAX[[#This Row],[CostoFlete]]</f>
        <v>1017.6</v>
      </c>
      <c r="M120">
        <v>30</v>
      </c>
      <c r="N120" s="63">
        <f t="shared" si="3"/>
        <v>1450</v>
      </c>
      <c r="O120" s="3">
        <f>MROUND((ARTICULOS_GOLOMAX[[#This Row],[Precio]]/0.6),50)</f>
        <v>2400</v>
      </c>
      <c r="P120" t="s">
        <v>8693</v>
      </c>
      <c r="Q120">
        <v>3</v>
      </c>
      <c r="R120" s="42">
        <v>6</v>
      </c>
      <c r="S120" t="s">
        <v>17</v>
      </c>
      <c r="T120" t="s">
        <v>27</v>
      </c>
      <c r="U120" t="s">
        <v>8</v>
      </c>
      <c r="V120" t="s">
        <v>9746</v>
      </c>
      <c r="W120" t="s">
        <v>8692</v>
      </c>
      <c r="X120">
        <v>1</v>
      </c>
      <c r="Y120">
        <v>0</v>
      </c>
      <c r="AB120" s="80" t="e">
        <f>ARTICULOS_OSLE[[#This Row],[Costo]]*ARTICULOS_OSLE[[#This Row],[Pedido]]</f>
        <v>#VALUE!</v>
      </c>
      <c r="AH120" s="2" t="e">
        <f>IF(AND(ARTICULOS_OSLE[[#This Row],[FechaVenc]]=0,ARTICULOS_OSLE[[#This Row],[DiasVenc]]=0),"",ARTICULOS_OSLE[[#This Row],[FechaVenc]]-ARTICULOS_OSLE[[#This Row],[DiasVenc]])</f>
        <v>#VALUE!</v>
      </c>
      <c r="AO120" s="30" t="s">
        <v>8689</v>
      </c>
    </row>
    <row r="121" spans="1:41" ht="15.75" hidden="1" x14ac:dyDescent="0.25">
      <c r="A121" s="1" t="s">
        <v>9747</v>
      </c>
      <c r="B121">
        <v>1102463</v>
      </c>
      <c r="C121" t="str">
        <f t="shared" si="2"/>
        <v>KIO72002012</v>
      </c>
      <c r="D121" t="s">
        <v>8689</v>
      </c>
      <c r="E121" s="1" t="s">
        <v>9748</v>
      </c>
      <c r="F121" s="61">
        <f>VLOOKUP(ARTICULOS_GOLOMAX[[#This Row],[CodigoProveedor]],'PRECIOS GOLOMAX'!$A$1:$C$10000,3,FALSE)</f>
        <v>1017.6</v>
      </c>
      <c r="G121" s="3">
        <v>0</v>
      </c>
      <c r="H121" s="3">
        <v>0</v>
      </c>
      <c r="I121">
        <v>1</v>
      </c>
      <c r="J121">
        <v>1</v>
      </c>
      <c r="K121" s="4"/>
      <c r="L121" s="65">
        <f>((ARTICULOS_GOLOMAX[[#This Row],[P. Compra]]*(1+ARTICULOS_GOLOMAX[[#This Row],[IVA]]%))/ARTICULOS_GOLOMAX[[#This Row],[UnidFact]])+ARTICULOS_GOLOMAX[[#This Row],[CostoFlete]]</f>
        <v>1017.6</v>
      </c>
      <c r="M121">
        <v>30</v>
      </c>
      <c r="N121" s="63">
        <f t="shared" si="3"/>
        <v>1450</v>
      </c>
      <c r="O121" s="3">
        <f>MROUND((ARTICULOS_GOLOMAX[[#This Row],[Precio]]/0.6),50)</f>
        <v>2400</v>
      </c>
      <c r="P121" t="s">
        <v>8693</v>
      </c>
      <c r="Q121">
        <v>3</v>
      </c>
      <c r="R121" s="42">
        <v>6</v>
      </c>
      <c r="S121" t="s">
        <v>17</v>
      </c>
      <c r="T121" t="s">
        <v>27</v>
      </c>
      <c r="U121" t="s">
        <v>8</v>
      </c>
      <c r="V121" t="s">
        <v>9746</v>
      </c>
      <c r="W121" t="s">
        <v>8692</v>
      </c>
      <c r="X121">
        <v>1</v>
      </c>
      <c r="Y121">
        <v>0</v>
      </c>
      <c r="AB121" s="80" t="e">
        <f>ARTICULOS_OSLE[[#This Row],[Costo]]*ARTICULOS_OSLE[[#This Row],[Pedido]]</f>
        <v>#VALUE!</v>
      </c>
      <c r="AH121" s="2" t="e">
        <f>IF(AND(ARTICULOS_OSLE[[#This Row],[FechaVenc]]=0,ARTICULOS_OSLE[[#This Row],[DiasVenc]]=0),"",ARTICULOS_OSLE[[#This Row],[FechaVenc]]-ARTICULOS_OSLE[[#This Row],[DiasVenc]])</f>
        <v>#VALUE!</v>
      </c>
      <c r="AO121" s="30" t="s">
        <v>8689</v>
      </c>
    </row>
    <row r="122" spans="1:41" ht="15.75" hidden="1" x14ac:dyDescent="0.25">
      <c r="A122" s="1" t="s">
        <v>9749</v>
      </c>
      <c r="B122">
        <v>1102326</v>
      </c>
      <c r="C122" t="str">
        <f t="shared" si="2"/>
        <v>KIO77991584</v>
      </c>
      <c r="D122" t="s">
        <v>8689</v>
      </c>
      <c r="E122" s="1" t="s">
        <v>9750</v>
      </c>
      <c r="F122" s="61">
        <f>VLOOKUP(ARTICULOS_GOLOMAX[[#This Row],[CodigoProveedor]],'PRECIOS GOLOMAX'!$A$1:$C$10000,3,FALSE)</f>
        <v>468.85</v>
      </c>
      <c r="G122" s="3">
        <v>0</v>
      </c>
      <c r="H122" s="3">
        <v>0</v>
      </c>
      <c r="I122">
        <v>1</v>
      </c>
      <c r="J122">
        <v>1</v>
      </c>
      <c r="K122" s="4"/>
      <c r="L122" s="65">
        <f>((ARTICULOS_GOLOMAX[[#This Row],[P. Compra]]*(1+ARTICULOS_GOLOMAX[[#This Row],[IVA]]%))/ARTICULOS_GOLOMAX[[#This Row],[UnidFact]])+ARTICULOS_GOLOMAX[[#This Row],[CostoFlete]]</f>
        <v>468.85</v>
      </c>
      <c r="M122">
        <v>30</v>
      </c>
      <c r="N122" s="63">
        <f t="shared" si="3"/>
        <v>650</v>
      </c>
      <c r="O122" s="3">
        <f>MROUND((ARTICULOS_GOLOMAX[[#This Row],[Precio]]/0.6),50)</f>
        <v>1100</v>
      </c>
      <c r="P122" t="s">
        <v>8693</v>
      </c>
      <c r="Q122">
        <v>4</v>
      </c>
      <c r="R122" s="42">
        <v>16</v>
      </c>
      <c r="S122" t="s">
        <v>17</v>
      </c>
      <c r="T122" t="s">
        <v>27</v>
      </c>
      <c r="U122" t="s">
        <v>8</v>
      </c>
      <c r="V122" t="s">
        <v>9746</v>
      </c>
      <c r="W122" t="s">
        <v>8692</v>
      </c>
      <c r="X122">
        <v>1</v>
      </c>
      <c r="Y122">
        <v>5</v>
      </c>
      <c r="AB122" s="80" t="e">
        <f>ARTICULOS_OSLE[[#This Row],[Costo]]*ARTICULOS_OSLE[[#This Row],[Pedido]]</f>
        <v>#VALUE!</v>
      </c>
      <c r="AH122" s="2" t="e">
        <f>IF(AND(ARTICULOS_OSLE[[#This Row],[FechaVenc]]=0,ARTICULOS_OSLE[[#This Row],[DiasVenc]]=0),"",ARTICULOS_OSLE[[#This Row],[FechaVenc]]-ARTICULOS_OSLE[[#This Row],[DiasVenc]])</f>
        <v>#VALUE!</v>
      </c>
      <c r="AO122" s="30" t="s">
        <v>8689</v>
      </c>
    </row>
    <row r="123" spans="1:41" ht="15.75" hidden="1" x14ac:dyDescent="0.25">
      <c r="A123" s="1" t="s">
        <v>9751</v>
      </c>
      <c r="B123">
        <v>1102125</v>
      </c>
      <c r="C123" t="str">
        <f t="shared" si="2"/>
        <v>KIO72000339</v>
      </c>
      <c r="D123" t="s">
        <v>8689</v>
      </c>
      <c r="E123" s="1" t="s">
        <v>9752</v>
      </c>
      <c r="F123" s="61">
        <f>VLOOKUP(ARTICULOS_GOLOMAX[[#This Row],[CodigoProveedor]],'PRECIOS GOLOMAX'!$A$1:$C$10000,3,FALSE)</f>
        <v>458.35</v>
      </c>
      <c r="G123" s="3">
        <v>0</v>
      </c>
      <c r="H123" s="3">
        <v>0</v>
      </c>
      <c r="I123">
        <v>1</v>
      </c>
      <c r="J123">
        <v>1</v>
      </c>
      <c r="K123" s="4"/>
      <c r="L123" s="65">
        <f>((ARTICULOS_GOLOMAX[[#This Row],[P. Compra]]*(1+ARTICULOS_GOLOMAX[[#This Row],[IVA]]%))/ARTICULOS_GOLOMAX[[#This Row],[UnidFact]])+ARTICULOS_GOLOMAX[[#This Row],[CostoFlete]]</f>
        <v>458.35</v>
      </c>
      <c r="M123">
        <v>30</v>
      </c>
      <c r="N123" s="63">
        <f t="shared" si="3"/>
        <v>650</v>
      </c>
      <c r="O123" s="3">
        <f>MROUND((ARTICULOS_GOLOMAX[[#This Row],[Precio]]/0.6),50)</f>
        <v>1100</v>
      </c>
      <c r="P123" t="s">
        <v>8693</v>
      </c>
      <c r="Q123">
        <v>4</v>
      </c>
      <c r="R123" s="42">
        <v>16</v>
      </c>
      <c r="S123" t="s">
        <v>17</v>
      </c>
      <c r="T123" t="s">
        <v>27</v>
      </c>
      <c r="U123" t="s">
        <v>8</v>
      </c>
      <c r="V123" t="s">
        <v>9746</v>
      </c>
      <c r="W123" t="s">
        <v>8692</v>
      </c>
      <c r="X123">
        <v>1</v>
      </c>
      <c r="Y123">
        <v>6</v>
      </c>
      <c r="AB123" s="80" t="e">
        <f>ARTICULOS_OSLE[[#This Row],[Costo]]*ARTICULOS_OSLE[[#This Row],[Pedido]]</f>
        <v>#VALUE!</v>
      </c>
      <c r="AH123" s="2" t="e">
        <f>IF(AND(ARTICULOS_OSLE[[#This Row],[FechaVenc]]=0,ARTICULOS_OSLE[[#This Row],[DiasVenc]]=0),"",ARTICULOS_OSLE[[#This Row],[FechaVenc]]-ARTICULOS_OSLE[[#This Row],[DiasVenc]])</f>
        <v>#VALUE!</v>
      </c>
      <c r="AO123" s="30" t="s">
        <v>8689</v>
      </c>
    </row>
    <row r="124" spans="1:41" ht="15.75" hidden="1" x14ac:dyDescent="0.25">
      <c r="A124" s="1" t="s">
        <v>9753</v>
      </c>
      <c r="B124">
        <v>1102364</v>
      </c>
      <c r="C124" t="str">
        <f t="shared" si="2"/>
        <v>KIO77991577</v>
      </c>
      <c r="D124" t="s">
        <v>8689</v>
      </c>
      <c r="E124" s="1" t="s">
        <v>9754</v>
      </c>
      <c r="F124" s="61">
        <f>VLOOKUP(ARTICULOS_GOLOMAX[[#This Row],[CodigoProveedor]],'PRECIOS GOLOMAX'!$A$1:$C$10000,3,FALSE)</f>
        <v>468.85</v>
      </c>
      <c r="G124" s="3">
        <v>0</v>
      </c>
      <c r="H124" s="3">
        <v>0</v>
      </c>
      <c r="I124">
        <v>1</v>
      </c>
      <c r="J124">
        <v>1</v>
      </c>
      <c r="K124" s="4"/>
      <c r="L124" s="65">
        <f>((ARTICULOS_GOLOMAX[[#This Row],[P. Compra]]*(1+ARTICULOS_GOLOMAX[[#This Row],[IVA]]%))/ARTICULOS_GOLOMAX[[#This Row],[UnidFact]])+ARTICULOS_GOLOMAX[[#This Row],[CostoFlete]]</f>
        <v>468.85</v>
      </c>
      <c r="M124">
        <v>30</v>
      </c>
      <c r="N124" s="63">
        <f t="shared" si="3"/>
        <v>650</v>
      </c>
      <c r="O124" s="3">
        <f>MROUND((ARTICULOS_GOLOMAX[[#This Row],[Precio]]/0.6),50)</f>
        <v>1100</v>
      </c>
      <c r="P124" t="s">
        <v>8693</v>
      </c>
      <c r="Q124">
        <v>4</v>
      </c>
      <c r="R124" s="42">
        <v>16</v>
      </c>
      <c r="S124" t="s">
        <v>17</v>
      </c>
      <c r="T124" t="s">
        <v>27</v>
      </c>
      <c r="U124" t="s">
        <v>8</v>
      </c>
      <c r="V124" t="s">
        <v>9746</v>
      </c>
      <c r="W124" t="s">
        <v>8692</v>
      </c>
      <c r="X124">
        <v>1</v>
      </c>
      <c r="Y124">
        <v>6</v>
      </c>
      <c r="AB124" s="80" t="e">
        <f>ARTICULOS_OSLE[[#This Row],[Costo]]*ARTICULOS_OSLE[[#This Row],[Pedido]]</f>
        <v>#VALUE!</v>
      </c>
      <c r="AH124" s="2" t="e">
        <f>IF(AND(ARTICULOS_OSLE[[#This Row],[FechaVenc]]=0,ARTICULOS_OSLE[[#This Row],[DiasVenc]]=0),"",ARTICULOS_OSLE[[#This Row],[FechaVenc]]-ARTICULOS_OSLE[[#This Row],[DiasVenc]])</f>
        <v>#VALUE!</v>
      </c>
      <c r="AO124" s="30" t="s">
        <v>8689</v>
      </c>
    </row>
    <row r="125" spans="1:41" ht="15.75" hidden="1" x14ac:dyDescent="0.25">
      <c r="A125" s="1" t="s">
        <v>9755</v>
      </c>
      <c r="B125">
        <v>1102163</v>
      </c>
      <c r="C125" t="str">
        <f t="shared" si="2"/>
        <v>KIO72000247</v>
      </c>
      <c r="D125" t="s">
        <v>8689</v>
      </c>
      <c r="E125" s="1" t="s">
        <v>9756</v>
      </c>
      <c r="F125" s="61">
        <f>VLOOKUP(ARTICULOS_GOLOMAX[[#This Row],[CodigoProveedor]],'PRECIOS GOLOMAX'!$A$1:$C$10000,3,FALSE)</f>
        <v>458.35</v>
      </c>
      <c r="G125" s="3">
        <v>0</v>
      </c>
      <c r="H125" s="3">
        <v>0</v>
      </c>
      <c r="I125">
        <v>1</v>
      </c>
      <c r="J125">
        <v>1</v>
      </c>
      <c r="K125" s="4"/>
      <c r="L125" s="65">
        <f>((ARTICULOS_GOLOMAX[[#This Row],[P. Compra]]*(1+ARTICULOS_GOLOMAX[[#This Row],[IVA]]%))/ARTICULOS_GOLOMAX[[#This Row],[UnidFact]])+ARTICULOS_GOLOMAX[[#This Row],[CostoFlete]]</f>
        <v>458.35</v>
      </c>
      <c r="M125">
        <v>30</v>
      </c>
      <c r="N125" s="63">
        <f t="shared" si="3"/>
        <v>650</v>
      </c>
      <c r="O125" s="3">
        <f>MROUND((ARTICULOS_GOLOMAX[[#This Row],[Precio]]/0.6),50)</f>
        <v>1100</v>
      </c>
      <c r="P125" t="s">
        <v>8693</v>
      </c>
      <c r="Q125">
        <v>4</v>
      </c>
      <c r="R125" s="42">
        <v>16</v>
      </c>
      <c r="S125" t="s">
        <v>17</v>
      </c>
      <c r="T125" t="s">
        <v>27</v>
      </c>
      <c r="U125" t="s">
        <v>8</v>
      </c>
      <c r="V125" t="s">
        <v>9746</v>
      </c>
      <c r="W125" t="s">
        <v>8692</v>
      </c>
      <c r="X125">
        <v>1</v>
      </c>
      <c r="Y125">
        <v>7</v>
      </c>
      <c r="AB125" s="80" t="e">
        <f>ARTICULOS_OSLE[[#This Row],[Costo]]*ARTICULOS_OSLE[[#This Row],[Pedido]]</f>
        <v>#VALUE!</v>
      </c>
      <c r="AH125" s="2" t="e">
        <f>IF(AND(ARTICULOS_OSLE[[#This Row],[FechaVenc]]=0,ARTICULOS_OSLE[[#This Row],[DiasVenc]]=0),"",ARTICULOS_OSLE[[#This Row],[FechaVenc]]-ARTICULOS_OSLE[[#This Row],[DiasVenc]])</f>
        <v>#VALUE!</v>
      </c>
      <c r="AO125" s="30" t="s">
        <v>8689</v>
      </c>
    </row>
    <row r="126" spans="1:41" ht="15.75" hidden="1" x14ac:dyDescent="0.25">
      <c r="A126" s="1" t="s">
        <v>12222</v>
      </c>
      <c r="B126">
        <v>1103263</v>
      </c>
      <c r="C126" t="str">
        <f t="shared" ref="C126:C127" si="10">CONCATENATE(LEFT(T126,3),RIGHT(A126,8))</f>
        <v>KIO72002067</v>
      </c>
      <c r="D126" t="s">
        <v>8689</v>
      </c>
      <c r="E126" s="1" t="s">
        <v>12223</v>
      </c>
      <c r="F126" s="61">
        <f>VLOOKUP(ARTICULOS_GOLOMAX[[#This Row],[CodigoProveedor]],'PRECIOS GOLOMAX'!$A$1:$C$10000,3,FALSE)</f>
        <v>342.06</v>
      </c>
      <c r="G126" s="3">
        <v>0</v>
      </c>
      <c r="H126" s="3">
        <v>0</v>
      </c>
      <c r="I126">
        <v>1</v>
      </c>
      <c r="J126">
        <v>1</v>
      </c>
      <c r="K126" s="4"/>
      <c r="L126" s="65">
        <f>((ARTICULOS_GOLOMAX[[#This Row],[P. Compra]]*(1+ARTICULOS_GOLOMAX[[#This Row],[IVA]]%))/ARTICULOS_GOLOMAX[[#This Row],[UnidFact]])+ARTICULOS_GOLOMAX[[#This Row],[CostoFlete]]</f>
        <v>342.06</v>
      </c>
      <c r="M126">
        <v>30</v>
      </c>
      <c r="N126" s="63">
        <f t="shared" ref="N126:N127" si="11">IF(L126&gt;=10,MROUND(L126/(1-M126/100),50),20)</f>
        <v>500</v>
      </c>
      <c r="O126" s="3">
        <f>MROUND((ARTICULOS_GOLOMAX[[#This Row],[Precio]]/0.6),50)</f>
        <v>850</v>
      </c>
      <c r="P126" t="s">
        <v>8693</v>
      </c>
      <c r="Q126">
        <v>4</v>
      </c>
      <c r="R126" s="42">
        <v>16</v>
      </c>
      <c r="S126" t="s">
        <v>17</v>
      </c>
      <c r="T126" t="s">
        <v>27</v>
      </c>
      <c r="U126" t="s">
        <v>8</v>
      </c>
      <c r="V126" t="s">
        <v>9746</v>
      </c>
      <c r="W126" t="s">
        <v>8692</v>
      </c>
      <c r="X126">
        <v>1</v>
      </c>
      <c r="Y126">
        <v>6</v>
      </c>
      <c r="AB126" s="80" t="e">
        <f>ARTICULOS_OSLE[[#This Row],[Costo]]*ARTICULOS_OSLE[[#This Row],[Pedido]]</f>
        <v>#VALUE!</v>
      </c>
      <c r="AH126" s="2" t="e">
        <f>IF(AND(ARTICULOS_OSLE[[#This Row],[FechaVenc]]=0,ARTICULOS_OSLE[[#This Row],[DiasVenc]]=0),"",ARTICULOS_OSLE[[#This Row],[FechaVenc]]-ARTICULOS_OSLE[[#This Row],[DiasVenc]])</f>
        <v>#VALUE!</v>
      </c>
      <c r="AO126" s="30" t="s">
        <v>8689</v>
      </c>
    </row>
    <row r="127" spans="1:41" ht="15.75" hidden="1" x14ac:dyDescent="0.25">
      <c r="A127" s="1" t="s">
        <v>12225</v>
      </c>
      <c r="B127">
        <v>1103225</v>
      </c>
      <c r="C127" t="str">
        <f t="shared" si="10"/>
        <v>KIO72002074</v>
      </c>
      <c r="D127" t="s">
        <v>8689</v>
      </c>
      <c r="E127" s="1" t="s">
        <v>12224</v>
      </c>
      <c r="F127" s="61">
        <f>VLOOKUP(ARTICULOS_GOLOMAX[[#This Row],[CodigoProveedor]],'PRECIOS GOLOMAX'!$A$1:$C$10000,3,FALSE)</f>
        <v>342.06</v>
      </c>
      <c r="G127" s="3">
        <v>0</v>
      </c>
      <c r="H127" s="3">
        <v>0</v>
      </c>
      <c r="I127">
        <v>1</v>
      </c>
      <c r="J127">
        <v>1</v>
      </c>
      <c r="K127" s="4"/>
      <c r="L127" s="65">
        <f>((ARTICULOS_GOLOMAX[[#This Row],[P. Compra]]*(1+ARTICULOS_GOLOMAX[[#This Row],[IVA]]%))/ARTICULOS_GOLOMAX[[#This Row],[UnidFact]])+ARTICULOS_GOLOMAX[[#This Row],[CostoFlete]]</f>
        <v>342.06</v>
      </c>
      <c r="M127">
        <v>30</v>
      </c>
      <c r="N127" s="63">
        <f t="shared" si="11"/>
        <v>500</v>
      </c>
      <c r="O127" s="3">
        <f>MROUND((ARTICULOS_GOLOMAX[[#This Row],[Precio]]/0.6),50)</f>
        <v>850</v>
      </c>
      <c r="P127" t="s">
        <v>8693</v>
      </c>
      <c r="Q127">
        <v>4</v>
      </c>
      <c r="R127" s="42">
        <v>16</v>
      </c>
      <c r="S127" t="s">
        <v>17</v>
      </c>
      <c r="T127" t="s">
        <v>27</v>
      </c>
      <c r="U127" t="s">
        <v>8</v>
      </c>
      <c r="V127" t="s">
        <v>9746</v>
      </c>
      <c r="W127" t="s">
        <v>8692</v>
      </c>
      <c r="X127">
        <v>1</v>
      </c>
      <c r="Y127">
        <v>6</v>
      </c>
      <c r="AB127" s="80" t="e">
        <f>ARTICULOS_OSLE[[#This Row],[Costo]]*ARTICULOS_OSLE[[#This Row],[Pedido]]</f>
        <v>#VALUE!</v>
      </c>
      <c r="AH127" s="2" t="e">
        <f>IF(AND(ARTICULOS_OSLE[[#This Row],[FechaVenc]]=0,ARTICULOS_OSLE[[#This Row],[DiasVenc]]=0),"",ARTICULOS_OSLE[[#This Row],[FechaVenc]]-ARTICULOS_OSLE[[#This Row],[DiasVenc]])</f>
        <v>#VALUE!</v>
      </c>
      <c r="AO127" s="30" t="s">
        <v>8689</v>
      </c>
    </row>
    <row r="128" spans="1:41" ht="15.75" hidden="1" x14ac:dyDescent="0.25">
      <c r="A128" s="1" t="s">
        <v>9757</v>
      </c>
      <c r="B128" s="30">
        <v>1103000</v>
      </c>
      <c r="C128" t="str">
        <f t="shared" si="2"/>
        <v>KIO77980229</v>
      </c>
      <c r="D128" t="s">
        <v>8689</v>
      </c>
      <c r="E128" s="1" t="s">
        <v>9758</v>
      </c>
      <c r="F128" s="61">
        <f>VLOOKUP(ARTICULOS_GOLOMAX[[#This Row],[CodigoProveedor]],'PRECIOS GOLOMAX'!$A$1:$C$10000,3,FALSE)</f>
        <v>347.13</v>
      </c>
      <c r="G128" s="3">
        <v>0</v>
      </c>
      <c r="H128" s="3">
        <v>0</v>
      </c>
      <c r="I128">
        <v>1</v>
      </c>
      <c r="J128">
        <v>1</v>
      </c>
      <c r="K128" s="4"/>
      <c r="L128" s="65">
        <f>((ARTICULOS_GOLOMAX[[#This Row],[P. Compra]]*(1+ARTICULOS_GOLOMAX[[#This Row],[IVA]]%))/ARTICULOS_GOLOMAX[[#This Row],[UnidFact]])+ARTICULOS_GOLOMAX[[#This Row],[CostoFlete]]</f>
        <v>347.13</v>
      </c>
      <c r="M128">
        <v>30</v>
      </c>
      <c r="N128" s="63">
        <f t="shared" si="3"/>
        <v>500</v>
      </c>
      <c r="O128" s="3">
        <f>MROUND((ARTICULOS_GOLOMAX[[#This Row],[Precio]]/0.6),50)</f>
        <v>850</v>
      </c>
      <c r="P128" t="s">
        <v>8693</v>
      </c>
      <c r="Q128">
        <v>6</v>
      </c>
      <c r="R128" s="42">
        <v>46</v>
      </c>
      <c r="S128" t="s">
        <v>17</v>
      </c>
      <c r="T128" t="s">
        <v>27</v>
      </c>
      <c r="U128" t="s">
        <v>8</v>
      </c>
      <c r="V128" t="s">
        <v>9759</v>
      </c>
      <c r="W128" t="s">
        <v>8692</v>
      </c>
      <c r="X128">
        <v>1</v>
      </c>
      <c r="Y128">
        <v>0</v>
      </c>
      <c r="AB128" s="80" t="e">
        <f>ARTICULOS_OSLE[[#This Row],[Costo]]*ARTICULOS_OSLE[[#This Row],[Pedido]]</f>
        <v>#VALUE!</v>
      </c>
      <c r="AH128" s="2" t="e">
        <f>IF(AND(ARTICULOS_OSLE[[#This Row],[FechaVenc]]=0,ARTICULOS_OSLE[[#This Row],[DiasVenc]]=0),"",ARTICULOS_OSLE[[#This Row],[FechaVenc]]-ARTICULOS_OSLE[[#This Row],[DiasVenc]])</f>
        <v>#VALUE!</v>
      </c>
      <c r="AO128" s="30" t="s">
        <v>8689</v>
      </c>
    </row>
    <row r="129" spans="1:41" ht="15.75" hidden="1" x14ac:dyDescent="0.25">
      <c r="A129" s="1" t="s">
        <v>9760</v>
      </c>
      <c r="B129" s="30">
        <v>1103125</v>
      </c>
      <c r="C129" t="str">
        <f t="shared" si="2"/>
        <v>KIO77980212</v>
      </c>
      <c r="D129" t="s">
        <v>8689</v>
      </c>
      <c r="E129" s="1" t="s">
        <v>9761</v>
      </c>
      <c r="F129" s="61">
        <f>VLOOKUP(ARTICULOS_GOLOMAX[[#This Row],[CodigoProveedor]],'PRECIOS GOLOMAX'!$A$1:$C$10000,3,FALSE)</f>
        <v>179.6</v>
      </c>
      <c r="G129" s="3">
        <v>0</v>
      </c>
      <c r="H129" s="3">
        <v>0</v>
      </c>
      <c r="I129">
        <v>1</v>
      </c>
      <c r="J129">
        <v>1</v>
      </c>
      <c r="K129" s="4"/>
      <c r="L129" s="65">
        <f>((ARTICULOS_GOLOMAX[[#This Row],[P. Compra]]*(1+ARTICULOS_GOLOMAX[[#This Row],[IVA]]%))/ARTICULOS_GOLOMAX[[#This Row],[UnidFact]])+ARTICULOS_GOLOMAX[[#This Row],[CostoFlete]]</f>
        <v>179.6</v>
      </c>
      <c r="M129">
        <v>30</v>
      </c>
      <c r="N129" s="63">
        <f t="shared" si="3"/>
        <v>250</v>
      </c>
      <c r="O129" s="3">
        <f>MROUND((ARTICULOS_GOLOMAX[[#This Row],[Precio]]/0.6),50)</f>
        <v>400</v>
      </c>
      <c r="P129" t="s">
        <v>8693</v>
      </c>
      <c r="Q129">
        <v>6</v>
      </c>
      <c r="R129" s="42">
        <v>46</v>
      </c>
      <c r="S129" t="s">
        <v>17</v>
      </c>
      <c r="T129" t="s">
        <v>27</v>
      </c>
      <c r="U129" t="s">
        <v>8</v>
      </c>
      <c r="V129" t="s">
        <v>9759</v>
      </c>
      <c r="W129" t="s">
        <v>8692</v>
      </c>
      <c r="X129">
        <v>1</v>
      </c>
      <c r="Y129">
        <v>0</v>
      </c>
      <c r="AB129" s="80" t="e">
        <f>ARTICULOS_OSLE[[#This Row],[Costo]]*ARTICULOS_OSLE[[#This Row],[Pedido]]</f>
        <v>#VALUE!</v>
      </c>
      <c r="AH129" s="2" t="e">
        <f>IF(AND(ARTICULOS_OSLE[[#This Row],[FechaVenc]]=0,ARTICULOS_OSLE[[#This Row],[DiasVenc]]=0),"",ARTICULOS_OSLE[[#This Row],[FechaVenc]]-ARTICULOS_OSLE[[#This Row],[DiasVenc]])</f>
        <v>#VALUE!</v>
      </c>
      <c r="AO129" s="30" t="s">
        <v>8689</v>
      </c>
    </row>
    <row r="130" spans="1:41" ht="15.75" hidden="1" x14ac:dyDescent="0.25">
      <c r="A130" s="1" t="s">
        <v>9762</v>
      </c>
      <c r="B130" s="30">
        <v>1103137</v>
      </c>
      <c r="C130" t="str">
        <f t="shared" si="2"/>
        <v>KIO77980236</v>
      </c>
      <c r="D130" t="s">
        <v>8689</v>
      </c>
      <c r="E130" s="1" t="s">
        <v>9763</v>
      </c>
      <c r="F130" s="61">
        <f>VLOOKUP(ARTICULOS_GOLOMAX[[#This Row],[CodigoProveedor]],'PRECIOS GOLOMAX'!$A$1:$C$10000,3,FALSE)</f>
        <v>179.6</v>
      </c>
      <c r="G130" s="3">
        <v>0</v>
      </c>
      <c r="H130" s="3">
        <v>0</v>
      </c>
      <c r="I130">
        <v>1</v>
      </c>
      <c r="J130">
        <v>1</v>
      </c>
      <c r="K130" s="4"/>
      <c r="L130" s="65">
        <f>((ARTICULOS_GOLOMAX[[#This Row],[P. Compra]]*(1+ARTICULOS_GOLOMAX[[#This Row],[IVA]]%))/ARTICULOS_GOLOMAX[[#This Row],[UnidFact]])+ARTICULOS_GOLOMAX[[#This Row],[CostoFlete]]</f>
        <v>179.6</v>
      </c>
      <c r="M130">
        <v>30</v>
      </c>
      <c r="N130" s="63">
        <f t="shared" si="3"/>
        <v>250</v>
      </c>
      <c r="O130" s="3">
        <f>MROUND((ARTICULOS_GOLOMAX[[#This Row],[Precio]]/0.6),50)</f>
        <v>400</v>
      </c>
      <c r="P130" t="s">
        <v>8693</v>
      </c>
      <c r="Q130">
        <v>6</v>
      </c>
      <c r="R130" s="42">
        <v>46</v>
      </c>
      <c r="S130" t="s">
        <v>17</v>
      </c>
      <c r="T130" t="s">
        <v>27</v>
      </c>
      <c r="U130" t="s">
        <v>8</v>
      </c>
      <c r="V130" t="s">
        <v>9759</v>
      </c>
      <c r="W130" t="s">
        <v>8692</v>
      </c>
      <c r="X130">
        <v>1</v>
      </c>
      <c r="Y130">
        <v>0</v>
      </c>
      <c r="AB130" s="80" t="e">
        <f>ARTICULOS_OSLE[[#This Row],[Costo]]*ARTICULOS_OSLE[[#This Row],[Pedido]]</f>
        <v>#VALUE!</v>
      </c>
      <c r="AH130" s="2" t="e">
        <f>IF(AND(ARTICULOS_OSLE[[#This Row],[FechaVenc]]=0,ARTICULOS_OSLE[[#This Row],[DiasVenc]]=0),"",ARTICULOS_OSLE[[#This Row],[FechaVenc]]-ARTICULOS_OSLE[[#This Row],[DiasVenc]])</f>
        <v>#VALUE!</v>
      </c>
      <c r="AO130" s="30" t="s">
        <v>8689</v>
      </c>
    </row>
    <row r="131" spans="1:41" ht="15.75" hidden="1" x14ac:dyDescent="0.25">
      <c r="A131" s="1" t="s">
        <v>9764</v>
      </c>
      <c r="B131" s="30">
        <v>1103025</v>
      </c>
      <c r="C131" t="str">
        <f t="shared" si="2"/>
        <v>KIO77980267</v>
      </c>
      <c r="D131" t="s">
        <v>8689</v>
      </c>
      <c r="E131" s="1" t="s">
        <v>9765</v>
      </c>
      <c r="F131" s="61">
        <f>VLOOKUP(ARTICULOS_GOLOMAX[[#This Row],[CodigoProveedor]],'PRECIOS GOLOMAX'!$A$1:$C$10000,3,FALSE)</f>
        <v>299.33</v>
      </c>
      <c r="G131" s="3">
        <v>0</v>
      </c>
      <c r="H131" s="3">
        <v>0</v>
      </c>
      <c r="I131">
        <v>1</v>
      </c>
      <c r="J131">
        <v>1</v>
      </c>
      <c r="K131" s="4"/>
      <c r="L131" s="65">
        <f>((ARTICULOS_GOLOMAX[[#This Row],[P. Compra]]*(1+ARTICULOS_GOLOMAX[[#This Row],[IVA]]%))/ARTICULOS_GOLOMAX[[#This Row],[UnidFact]])+ARTICULOS_GOLOMAX[[#This Row],[CostoFlete]]</f>
        <v>299.33</v>
      </c>
      <c r="M131">
        <v>30</v>
      </c>
      <c r="N131" s="63">
        <f t="shared" si="3"/>
        <v>450</v>
      </c>
      <c r="O131" s="3">
        <f>MROUND((ARTICULOS_GOLOMAX[[#This Row],[Precio]]/0.6),50)</f>
        <v>750</v>
      </c>
      <c r="P131" t="s">
        <v>8693</v>
      </c>
      <c r="Q131">
        <v>3</v>
      </c>
      <c r="R131" s="42">
        <v>10</v>
      </c>
      <c r="S131" t="s">
        <v>17</v>
      </c>
      <c r="T131" t="s">
        <v>27</v>
      </c>
      <c r="U131" t="s">
        <v>8</v>
      </c>
      <c r="V131" t="s">
        <v>9759</v>
      </c>
      <c r="W131" t="s">
        <v>8692</v>
      </c>
      <c r="X131">
        <v>1</v>
      </c>
      <c r="Y131">
        <v>0</v>
      </c>
      <c r="AB131" s="80" t="e">
        <f>ARTICULOS_OSLE[[#This Row],[Costo]]*ARTICULOS_OSLE[[#This Row],[Pedido]]</f>
        <v>#VALUE!</v>
      </c>
      <c r="AH131" s="2" t="e">
        <f>IF(AND(ARTICULOS_OSLE[[#This Row],[FechaVenc]]=0,ARTICULOS_OSLE[[#This Row],[DiasVenc]]=0),"",ARTICULOS_OSLE[[#This Row],[FechaVenc]]-ARTICULOS_OSLE[[#This Row],[DiasVenc]])</f>
        <v>#VALUE!</v>
      </c>
      <c r="AO131" s="30" t="s">
        <v>8689</v>
      </c>
    </row>
    <row r="132" spans="1:41" ht="15.75" hidden="1" x14ac:dyDescent="0.25">
      <c r="A132" s="1" t="s">
        <v>9766</v>
      </c>
      <c r="B132" s="30">
        <v>1103063</v>
      </c>
      <c r="C132" t="str">
        <f t="shared" si="2"/>
        <v>KIO77980274</v>
      </c>
      <c r="D132" t="s">
        <v>8689</v>
      </c>
      <c r="E132" s="1" t="s">
        <v>9767</v>
      </c>
      <c r="F132" s="61">
        <f>VLOOKUP(ARTICULOS_GOLOMAX[[#This Row],[CodigoProveedor]],'PRECIOS GOLOMAX'!$A$1:$C$10000,3,FALSE)</f>
        <v>299.33</v>
      </c>
      <c r="G132" s="3">
        <v>0</v>
      </c>
      <c r="H132" s="3">
        <v>0</v>
      </c>
      <c r="I132">
        <v>1</v>
      </c>
      <c r="J132">
        <v>1</v>
      </c>
      <c r="K132" s="4"/>
      <c r="L132" s="65">
        <f>((ARTICULOS_GOLOMAX[[#This Row],[P. Compra]]*(1+ARTICULOS_GOLOMAX[[#This Row],[IVA]]%))/ARTICULOS_GOLOMAX[[#This Row],[UnidFact]])+ARTICULOS_GOLOMAX[[#This Row],[CostoFlete]]</f>
        <v>299.33</v>
      </c>
      <c r="M132">
        <v>30</v>
      </c>
      <c r="N132" s="63">
        <f t="shared" si="3"/>
        <v>450</v>
      </c>
      <c r="O132" s="3">
        <f>MROUND((ARTICULOS_GOLOMAX[[#This Row],[Precio]]/0.6),50)</f>
        <v>750</v>
      </c>
      <c r="P132" t="s">
        <v>8693</v>
      </c>
      <c r="Q132">
        <v>3</v>
      </c>
      <c r="R132" s="42">
        <v>10</v>
      </c>
      <c r="S132" t="s">
        <v>17</v>
      </c>
      <c r="T132" t="s">
        <v>27</v>
      </c>
      <c r="U132" t="s">
        <v>8</v>
      </c>
      <c r="V132" t="s">
        <v>9759</v>
      </c>
      <c r="W132" t="s">
        <v>8692</v>
      </c>
      <c r="X132">
        <v>1</v>
      </c>
      <c r="Y132">
        <v>0</v>
      </c>
      <c r="AB132" s="80" t="e">
        <f>ARTICULOS_OSLE[[#This Row],[Costo]]*ARTICULOS_OSLE[[#This Row],[Pedido]]</f>
        <v>#VALUE!</v>
      </c>
      <c r="AH132" s="2" t="e">
        <f>IF(AND(ARTICULOS_OSLE[[#This Row],[FechaVenc]]=0,ARTICULOS_OSLE[[#This Row],[DiasVenc]]=0),"",ARTICULOS_OSLE[[#This Row],[FechaVenc]]-ARTICULOS_OSLE[[#This Row],[DiasVenc]])</f>
        <v>#VALUE!</v>
      </c>
      <c r="AO132" s="30" t="s">
        <v>8689</v>
      </c>
    </row>
    <row r="133" spans="1:41" ht="15.75" hidden="1" x14ac:dyDescent="0.25">
      <c r="A133" s="1" t="s">
        <v>9769</v>
      </c>
      <c r="B133" s="30">
        <v>1101763</v>
      </c>
      <c r="C133" t="str">
        <f t="shared" si="2"/>
        <v>KIO77901729</v>
      </c>
      <c r="D133" t="s">
        <v>8689</v>
      </c>
      <c r="E133" s="1" t="s">
        <v>9770</v>
      </c>
      <c r="F133" s="61">
        <f>VLOOKUP(ARTICULOS_GOLOMAX[[#This Row],[CodigoProveedor]],'PRECIOS GOLOMAX'!$A$1:$C$10000,3,FALSE)</f>
        <v>623.32000000000005</v>
      </c>
      <c r="G133" s="3">
        <v>0</v>
      </c>
      <c r="H133" s="3">
        <v>0</v>
      </c>
      <c r="I133">
        <v>1</v>
      </c>
      <c r="J133">
        <v>1</v>
      </c>
      <c r="K133" s="4"/>
      <c r="L133" s="65">
        <f>((ARTICULOS_GOLOMAX[[#This Row],[P. Compra]]*(1+ARTICULOS_GOLOMAX[[#This Row],[IVA]]%))/ARTICULOS_GOLOMAX[[#This Row],[UnidFact]])+ARTICULOS_GOLOMAX[[#This Row],[CostoFlete]]</f>
        <v>623.32000000000005</v>
      </c>
      <c r="M133">
        <v>30</v>
      </c>
      <c r="N133" s="63">
        <f t="shared" si="3"/>
        <v>900</v>
      </c>
      <c r="O133" s="3">
        <f>MROUND((ARTICULOS_GOLOMAX[[#This Row],[Precio]]/0.6),50)</f>
        <v>1500</v>
      </c>
      <c r="P133" t="s">
        <v>8693</v>
      </c>
      <c r="Q133">
        <v>3</v>
      </c>
      <c r="R133" s="42">
        <v>10</v>
      </c>
      <c r="S133" t="s">
        <v>17</v>
      </c>
      <c r="T133" t="s">
        <v>27</v>
      </c>
      <c r="U133" t="s">
        <v>8</v>
      </c>
      <c r="V133" t="s">
        <v>9768</v>
      </c>
      <c r="W133" t="s">
        <v>8692</v>
      </c>
      <c r="X133">
        <v>1</v>
      </c>
      <c r="Y133">
        <v>0</v>
      </c>
      <c r="AB133" s="80" t="e">
        <f>ARTICULOS_OSLE[[#This Row],[Costo]]*ARTICULOS_OSLE[[#This Row],[Pedido]]</f>
        <v>#VALUE!</v>
      </c>
      <c r="AH133" s="2" t="e">
        <f>IF(AND(ARTICULOS_OSLE[[#This Row],[FechaVenc]]=0,ARTICULOS_OSLE[[#This Row],[DiasVenc]]=0),"",ARTICULOS_OSLE[[#This Row],[FechaVenc]]-ARTICULOS_OSLE[[#This Row],[DiasVenc]])</f>
        <v>#VALUE!</v>
      </c>
      <c r="AO133" s="30" t="s">
        <v>8689</v>
      </c>
    </row>
    <row r="134" spans="1:41" ht="15.75" hidden="1" x14ac:dyDescent="0.25">
      <c r="A134" s="1" t="s">
        <v>9771</v>
      </c>
      <c r="B134" s="30">
        <v>1101525</v>
      </c>
      <c r="C134" t="str">
        <f t="shared" si="2"/>
        <v>KIO77905758</v>
      </c>
      <c r="D134" t="s">
        <v>8689</v>
      </c>
      <c r="E134" s="1" t="s">
        <v>9772</v>
      </c>
      <c r="F134" s="61">
        <f>VLOOKUP(ARTICULOS_GOLOMAX[[#This Row],[CodigoProveedor]],'PRECIOS GOLOMAX'!$A$1:$C$10000,3,FALSE)</f>
        <v>438.71</v>
      </c>
      <c r="G134" s="3">
        <v>0</v>
      </c>
      <c r="H134" s="3">
        <v>0</v>
      </c>
      <c r="I134">
        <v>1</v>
      </c>
      <c r="J134">
        <v>1</v>
      </c>
      <c r="K134" s="4"/>
      <c r="L134" s="65">
        <f>((ARTICULOS_GOLOMAX[[#This Row],[P. Compra]]*(1+ARTICULOS_GOLOMAX[[#This Row],[IVA]]%))/ARTICULOS_GOLOMAX[[#This Row],[UnidFact]])+ARTICULOS_GOLOMAX[[#This Row],[CostoFlete]]</f>
        <v>438.71</v>
      </c>
      <c r="M134">
        <v>30</v>
      </c>
      <c r="N134" s="63">
        <f t="shared" si="3"/>
        <v>650</v>
      </c>
      <c r="O134" s="3">
        <f>MROUND((ARTICULOS_GOLOMAX[[#This Row],[Precio]]/0.6),50)</f>
        <v>1100</v>
      </c>
      <c r="P134" t="s">
        <v>8693</v>
      </c>
      <c r="Q134">
        <v>3</v>
      </c>
      <c r="R134" s="42">
        <v>10</v>
      </c>
      <c r="S134" t="s">
        <v>17</v>
      </c>
      <c r="T134" t="s">
        <v>27</v>
      </c>
      <c r="U134" t="s">
        <v>8</v>
      </c>
      <c r="V134" t="s">
        <v>9773</v>
      </c>
      <c r="W134" t="s">
        <v>8692</v>
      </c>
      <c r="X134">
        <v>1</v>
      </c>
      <c r="Y134">
        <v>0</v>
      </c>
      <c r="AB134" s="80" t="e">
        <f>ARTICULOS_OSLE[[#This Row],[Costo]]*ARTICULOS_OSLE[[#This Row],[Pedido]]</f>
        <v>#VALUE!</v>
      </c>
      <c r="AH134" s="2" t="e">
        <f>IF(AND(ARTICULOS_OSLE[[#This Row],[FechaVenc]]=0,ARTICULOS_OSLE[[#This Row],[DiasVenc]]=0),"",ARTICULOS_OSLE[[#This Row],[FechaVenc]]-ARTICULOS_OSLE[[#This Row],[DiasVenc]])</f>
        <v>#VALUE!</v>
      </c>
      <c r="AO134" s="30" t="s">
        <v>8689</v>
      </c>
    </row>
    <row r="135" spans="1:41" ht="15.75" hidden="1" x14ac:dyDescent="0.25">
      <c r="A135" s="1" t="s">
        <v>9774</v>
      </c>
      <c r="B135" s="30">
        <v>1101563</v>
      </c>
      <c r="C135" t="str">
        <f t="shared" si="2"/>
        <v>KIO77905741</v>
      </c>
      <c r="D135" t="s">
        <v>8689</v>
      </c>
      <c r="E135" s="1" t="s">
        <v>9775</v>
      </c>
      <c r="F135" s="61">
        <f>VLOOKUP(ARTICULOS_GOLOMAX[[#This Row],[CodigoProveedor]],'PRECIOS GOLOMAX'!$A$1:$C$10000,3,FALSE)</f>
        <v>438.71</v>
      </c>
      <c r="G135" s="3">
        <v>0</v>
      </c>
      <c r="H135" s="3">
        <v>0</v>
      </c>
      <c r="I135">
        <v>1</v>
      </c>
      <c r="J135">
        <v>1</v>
      </c>
      <c r="K135" s="4"/>
      <c r="L135" s="65">
        <f>((ARTICULOS_GOLOMAX[[#This Row],[P. Compra]]*(1+ARTICULOS_GOLOMAX[[#This Row],[IVA]]%))/ARTICULOS_GOLOMAX[[#This Row],[UnidFact]])+ARTICULOS_GOLOMAX[[#This Row],[CostoFlete]]</f>
        <v>438.71</v>
      </c>
      <c r="M135">
        <v>30</v>
      </c>
      <c r="N135" s="63">
        <f t="shared" si="3"/>
        <v>650</v>
      </c>
      <c r="O135" s="3">
        <f>MROUND((ARTICULOS_GOLOMAX[[#This Row],[Precio]]/0.6),50)</f>
        <v>1100</v>
      </c>
      <c r="P135" t="s">
        <v>8693</v>
      </c>
      <c r="Q135">
        <v>3</v>
      </c>
      <c r="R135" s="42">
        <v>10</v>
      </c>
      <c r="S135" t="s">
        <v>17</v>
      </c>
      <c r="T135" t="s">
        <v>27</v>
      </c>
      <c r="U135" t="s">
        <v>8</v>
      </c>
      <c r="V135" t="s">
        <v>9773</v>
      </c>
      <c r="W135" t="s">
        <v>8692</v>
      </c>
      <c r="X135">
        <v>1</v>
      </c>
      <c r="Y135">
        <v>4</v>
      </c>
      <c r="AB135" s="80" t="e">
        <f>ARTICULOS_OSLE[[#This Row],[Costo]]*ARTICULOS_OSLE[[#This Row],[Pedido]]</f>
        <v>#VALUE!</v>
      </c>
      <c r="AH135" s="2" t="e">
        <f>IF(AND(ARTICULOS_OSLE[[#This Row],[FechaVenc]]=0,ARTICULOS_OSLE[[#This Row],[DiasVenc]]=0),"",ARTICULOS_OSLE[[#This Row],[FechaVenc]]-ARTICULOS_OSLE[[#This Row],[DiasVenc]])</f>
        <v>#VALUE!</v>
      </c>
      <c r="AO135" s="30" t="s">
        <v>8689</v>
      </c>
    </row>
    <row r="136" spans="1:41" ht="15.75" hidden="1" x14ac:dyDescent="0.25">
      <c r="A136" s="1" t="s">
        <v>9776</v>
      </c>
      <c r="B136" s="30">
        <v>1101537</v>
      </c>
      <c r="C136" t="str">
        <f t="shared" ref="C136:C200" si="12">CONCATENATE(LEFT(T136,3),RIGHT(A136,8))</f>
        <v>KIO77905734</v>
      </c>
      <c r="D136" t="s">
        <v>8689</v>
      </c>
      <c r="E136" s="1" t="s">
        <v>9777</v>
      </c>
      <c r="F136" s="61">
        <f>VLOOKUP(ARTICULOS_GOLOMAX[[#This Row],[CodigoProveedor]],'PRECIOS GOLOMAX'!$A$1:$C$10000,3,FALSE)</f>
        <v>438.71</v>
      </c>
      <c r="G136" s="3">
        <v>0</v>
      </c>
      <c r="H136" s="3">
        <v>0</v>
      </c>
      <c r="I136">
        <v>1</v>
      </c>
      <c r="J136">
        <v>1</v>
      </c>
      <c r="K136" s="4"/>
      <c r="L136" s="65">
        <f>((ARTICULOS_GOLOMAX[[#This Row],[P. Compra]]*(1+ARTICULOS_GOLOMAX[[#This Row],[IVA]]%))/ARTICULOS_GOLOMAX[[#This Row],[UnidFact]])+ARTICULOS_GOLOMAX[[#This Row],[CostoFlete]]</f>
        <v>438.71</v>
      </c>
      <c r="M136">
        <v>30</v>
      </c>
      <c r="N136" s="63">
        <f t="shared" ref="N136:N199" si="13">IF(L136&gt;=10,MROUND(L136/(1-M136/100),50),20)</f>
        <v>650</v>
      </c>
      <c r="O136" s="3">
        <f>MROUND((ARTICULOS_GOLOMAX[[#This Row],[Precio]]/0.6),50)</f>
        <v>1100</v>
      </c>
      <c r="P136" t="s">
        <v>8693</v>
      </c>
      <c r="Q136">
        <v>3</v>
      </c>
      <c r="R136" s="42">
        <v>10</v>
      </c>
      <c r="S136" t="s">
        <v>17</v>
      </c>
      <c r="T136" t="s">
        <v>27</v>
      </c>
      <c r="U136" t="s">
        <v>8</v>
      </c>
      <c r="V136" t="s">
        <v>9773</v>
      </c>
      <c r="W136" t="s">
        <v>8692</v>
      </c>
      <c r="X136">
        <v>1</v>
      </c>
      <c r="Y136">
        <v>0</v>
      </c>
      <c r="AB136" s="80" t="e">
        <f>ARTICULOS_OSLE[[#This Row],[Costo]]*ARTICULOS_OSLE[[#This Row],[Pedido]]</f>
        <v>#VALUE!</v>
      </c>
      <c r="AH136" s="2" t="e">
        <f>IF(AND(ARTICULOS_OSLE[[#This Row],[FechaVenc]]=0,ARTICULOS_OSLE[[#This Row],[DiasVenc]]=0),"",ARTICULOS_OSLE[[#This Row],[FechaVenc]]-ARTICULOS_OSLE[[#This Row],[DiasVenc]])</f>
        <v>#VALUE!</v>
      </c>
      <c r="AO136" s="30" t="s">
        <v>8689</v>
      </c>
    </row>
    <row r="137" spans="1:41" ht="15.75" x14ac:dyDescent="0.25">
      <c r="A137" s="1" t="s">
        <v>9778</v>
      </c>
      <c r="B137" s="30">
        <v>6251240</v>
      </c>
      <c r="C137" t="str">
        <f t="shared" si="12"/>
        <v>KIO16001039</v>
      </c>
      <c r="D137" t="s">
        <v>8689</v>
      </c>
      <c r="E137" s="1" t="s">
        <v>9779</v>
      </c>
      <c r="F137" s="61">
        <f>VLOOKUP(ARTICULOS_GOLOMAX[[#This Row],[CodigoProveedor]],'PRECIOS GOLOMAX'!$A$1:$C$10000,3,FALSE)</f>
        <v>1272.6199999999999</v>
      </c>
      <c r="G137" s="3">
        <v>0</v>
      </c>
      <c r="H137" s="3">
        <v>0</v>
      </c>
      <c r="I137">
        <v>1</v>
      </c>
      <c r="J137">
        <v>1</v>
      </c>
      <c r="K137" s="4"/>
      <c r="L137" s="65">
        <f>((ARTICULOS_GOLOMAX[[#This Row],[P. Compra]]*(1+ARTICULOS_GOLOMAX[[#This Row],[IVA]]%))/ARTICULOS_GOLOMAX[[#This Row],[UnidFact]])+ARTICULOS_GOLOMAX[[#This Row],[CostoFlete]]</f>
        <v>1272.6199999999999</v>
      </c>
      <c r="M137">
        <v>30</v>
      </c>
      <c r="N137" s="63">
        <f t="shared" si="13"/>
        <v>1800</v>
      </c>
      <c r="O137" s="3">
        <f>MROUND((ARTICULOS_GOLOMAX[[#This Row],[Precio]]/0.6),50)</f>
        <v>3000</v>
      </c>
      <c r="P137" t="s">
        <v>8693</v>
      </c>
      <c r="Q137">
        <v>1</v>
      </c>
      <c r="R137" s="42">
        <f>ARTICULOS_GOLOMAX[[#This Row],[Bulto]]+ARTICULOS_GOLOMAX[[#This Row],[Minimo]]</f>
        <v>2</v>
      </c>
      <c r="S137" t="s">
        <v>17</v>
      </c>
      <c r="T137" t="s">
        <v>27</v>
      </c>
      <c r="U137" t="s">
        <v>7</v>
      </c>
      <c r="V137" t="s">
        <v>9780</v>
      </c>
      <c r="W137" t="s">
        <v>8692</v>
      </c>
      <c r="X137">
        <v>1</v>
      </c>
      <c r="Y137">
        <v>4</v>
      </c>
      <c r="AB137" s="80" t="e">
        <f>ARTICULOS_OSLE[[#This Row],[Costo]]*ARTICULOS_OSLE[[#This Row],[Pedido]]</f>
        <v>#VALUE!</v>
      </c>
      <c r="AH137" s="2" t="e">
        <f>IF(AND(ARTICULOS_OSLE[[#This Row],[FechaVenc]]=0,ARTICULOS_OSLE[[#This Row],[DiasVenc]]=0),"",ARTICULOS_OSLE[[#This Row],[FechaVenc]]-ARTICULOS_OSLE[[#This Row],[DiasVenc]])</f>
        <v>#VALUE!</v>
      </c>
      <c r="AO137" s="30" t="s">
        <v>8689</v>
      </c>
    </row>
    <row r="138" spans="1:41" ht="15.75" x14ac:dyDescent="0.25">
      <c r="A138" s="24" t="s">
        <v>12637</v>
      </c>
      <c r="B138" s="30">
        <v>6251250</v>
      </c>
      <c r="C138" t="str">
        <f t="shared" si="12"/>
        <v>KIO16001046</v>
      </c>
      <c r="D138" t="s">
        <v>8689</v>
      </c>
      <c r="E138" s="24" t="s">
        <v>11784</v>
      </c>
      <c r="F138" s="61">
        <f>VLOOKUP(ARTICULOS_GOLOMAX[[#This Row],[CodigoProveedor]],'PRECIOS GOLOMAX'!$A$1:$C$10000,3,FALSE)</f>
        <v>1505.89</v>
      </c>
      <c r="G138" s="3">
        <v>0</v>
      </c>
      <c r="H138" s="3">
        <v>0</v>
      </c>
      <c r="I138">
        <v>1</v>
      </c>
      <c r="J138">
        <v>1</v>
      </c>
      <c r="K138" s="4"/>
      <c r="L138" s="65">
        <f>((ARTICULOS_GOLOMAX[[#This Row],[P. Compra]]*(1+ARTICULOS_GOLOMAX[[#This Row],[IVA]]%))/ARTICULOS_GOLOMAX[[#This Row],[UnidFact]])+ARTICULOS_GOLOMAX[[#This Row],[CostoFlete]]</f>
        <v>1505.89</v>
      </c>
      <c r="M138">
        <v>30</v>
      </c>
      <c r="N138" s="63">
        <f t="shared" si="13"/>
        <v>2150</v>
      </c>
      <c r="O138" s="3">
        <f>MROUND((ARTICULOS_GOLOMAX[[#This Row],[Precio]]/0.6),50)</f>
        <v>3600</v>
      </c>
      <c r="P138" t="s">
        <v>8693</v>
      </c>
      <c r="Q138">
        <v>1</v>
      </c>
      <c r="R138" s="42">
        <f>ARTICULOS_GOLOMAX[[#This Row],[Bulto]]+ARTICULOS_GOLOMAX[[#This Row],[Minimo]]</f>
        <v>2</v>
      </c>
      <c r="S138" t="s">
        <v>17</v>
      </c>
      <c r="T138" t="s">
        <v>27</v>
      </c>
      <c r="U138" t="s">
        <v>7</v>
      </c>
      <c r="V138" t="s">
        <v>9780</v>
      </c>
      <c r="W138" t="s">
        <v>8692</v>
      </c>
      <c r="X138">
        <v>1</v>
      </c>
      <c r="Y138">
        <v>0</v>
      </c>
      <c r="AB138" s="80" t="e">
        <f>ARTICULOS_OSLE[[#This Row],[Costo]]*ARTICULOS_OSLE[[#This Row],[Pedido]]</f>
        <v>#VALUE!</v>
      </c>
      <c r="AH138" s="2" t="e">
        <f>IF(AND(ARTICULOS_OSLE[[#This Row],[FechaVenc]]=0,ARTICULOS_OSLE[[#This Row],[DiasVenc]]=0),"",ARTICULOS_OSLE[[#This Row],[FechaVenc]]-ARTICULOS_OSLE[[#This Row],[DiasVenc]])</f>
        <v>#VALUE!</v>
      </c>
      <c r="AO138" s="30" t="s">
        <v>8689</v>
      </c>
    </row>
    <row r="139" spans="1:41" ht="15.75" x14ac:dyDescent="0.25">
      <c r="A139" s="1" t="s">
        <v>9781</v>
      </c>
      <c r="B139" s="30">
        <v>6251176</v>
      </c>
      <c r="C139" t="str">
        <f t="shared" si="12"/>
        <v>KIO16001152</v>
      </c>
      <c r="D139" t="s">
        <v>8689</v>
      </c>
      <c r="E139" s="24" t="s">
        <v>11782</v>
      </c>
      <c r="F139" s="61">
        <f>VLOOKUP(ARTICULOS_GOLOMAX[[#This Row],[CodigoProveedor]],'PRECIOS GOLOMAX'!$A$1:$C$10000,3,FALSE)</f>
        <v>1995.2</v>
      </c>
      <c r="G139" s="3">
        <v>0</v>
      </c>
      <c r="H139" s="3">
        <v>0</v>
      </c>
      <c r="I139">
        <v>1</v>
      </c>
      <c r="J139">
        <v>1</v>
      </c>
      <c r="K139" s="4"/>
      <c r="L139" s="65">
        <f>((ARTICULOS_GOLOMAX[[#This Row],[P. Compra]]*(1+ARTICULOS_GOLOMAX[[#This Row],[IVA]]%))/ARTICULOS_GOLOMAX[[#This Row],[UnidFact]])+ARTICULOS_GOLOMAX[[#This Row],[CostoFlete]]</f>
        <v>1995.2</v>
      </c>
      <c r="M139">
        <v>30</v>
      </c>
      <c r="N139" s="63">
        <f t="shared" si="13"/>
        <v>2850</v>
      </c>
      <c r="O139" s="3">
        <f>MROUND((ARTICULOS_GOLOMAX[[#This Row],[Precio]]/0.6),50)</f>
        <v>4750</v>
      </c>
      <c r="P139" t="s">
        <v>8693</v>
      </c>
      <c r="Q139">
        <v>1</v>
      </c>
      <c r="R139" s="42">
        <f>ARTICULOS_GOLOMAX[[#This Row],[Bulto]]+ARTICULOS_GOLOMAX[[#This Row],[Minimo]]</f>
        <v>2</v>
      </c>
      <c r="S139" t="s">
        <v>17</v>
      </c>
      <c r="T139" t="s">
        <v>27</v>
      </c>
      <c r="U139" t="s">
        <v>7</v>
      </c>
      <c r="V139" t="s">
        <v>9780</v>
      </c>
      <c r="W139" t="s">
        <v>8692</v>
      </c>
      <c r="X139">
        <v>1</v>
      </c>
      <c r="Y139">
        <v>4</v>
      </c>
      <c r="AB139" s="80" t="e">
        <f>ARTICULOS_OSLE[[#This Row],[Costo]]*ARTICULOS_OSLE[[#This Row],[Pedido]]</f>
        <v>#VALUE!</v>
      </c>
      <c r="AH139" s="2" t="e">
        <f>IF(AND(ARTICULOS_OSLE[[#This Row],[FechaVenc]]=0,ARTICULOS_OSLE[[#This Row],[DiasVenc]]=0),"",ARTICULOS_OSLE[[#This Row],[FechaVenc]]-ARTICULOS_OSLE[[#This Row],[DiasVenc]])</f>
        <v>#VALUE!</v>
      </c>
      <c r="AO139" s="30" t="s">
        <v>8689</v>
      </c>
    </row>
    <row r="140" spans="1:41" ht="15.75" hidden="1" x14ac:dyDescent="0.25">
      <c r="A140" s="1" t="s">
        <v>9787</v>
      </c>
      <c r="B140">
        <v>1165063</v>
      </c>
      <c r="C140" t="str">
        <f t="shared" si="12"/>
        <v>KIO12002486</v>
      </c>
      <c r="D140" t="s">
        <v>8689</v>
      </c>
      <c r="E140" s="1" t="s">
        <v>9788</v>
      </c>
      <c r="F140" s="61">
        <f>VLOOKUP(ARTICULOS_GOLOMAX[[#This Row],[CodigoProveedor]],'PRECIOS GOLOMAX'!$A$1:$C$10000,3,FALSE)</f>
        <v>5216.47</v>
      </c>
      <c r="G140" s="3">
        <v>0</v>
      </c>
      <c r="H140" s="3">
        <v>0</v>
      </c>
      <c r="I140">
        <v>800</v>
      </c>
      <c r="J140">
        <v>800</v>
      </c>
      <c r="K140" s="4"/>
      <c r="L140" s="65">
        <f>((ARTICULOS_GOLOMAX[[#This Row],[P. Compra]]*(1+ARTICULOS_GOLOMAX[[#This Row],[IVA]]%))/ARTICULOS_GOLOMAX[[#This Row],[UnidFact]])+ARTICULOS_GOLOMAX[[#This Row],[CostoFlete]]</f>
        <v>6.5205875000000004</v>
      </c>
      <c r="M140">
        <v>50</v>
      </c>
      <c r="N140" s="63">
        <f t="shared" si="13"/>
        <v>20</v>
      </c>
      <c r="O140" s="3">
        <f>MROUND((ARTICULOS_GOLOMAX[[#This Row],[Precio]]/0.6),50)</f>
        <v>50</v>
      </c>
      <c r="P140" t="s">
        <v>8693</v>
      </c>
      <c r="Q140">
        <v>100</v>
      </c>
      <c r="R140" s="42">
        <f>ARTICULOS_GOLOMAX[[#This Row],[Bulto]]+ARTICULOS_GOLOMAX[[#This Row],[Minimo]]</f>
        <v>900</v>
      </c>
      <c r="S140" t="s">
        <v>17</v>
      </c>
      <c r="T140" t="s">
        <v>27</v>
      </c>
      <c r="U140" t="s">
        <v>19</v>
      </c>
      <c r="V140" t="s">
        <v>9789</v>
      </c>
      <c r="W140" t="s">
        <v>8692</v>
      </c>
      <c r="X140">
        <v>1</v>
      </c>
      <c r="Y140">
        <v>0</v>
      </c>
      <c r="AB140" s="80" t="e">
        <f>ARTICULOS_OSLE[[#This Row],[Costo]]*ARTICULOS_OSLE[[#This Row],[Pedido]]</f>
        <v>#VALUE!</v>
      </c>
      <c r="AH140" s="2" t="e">
        <f>IF(AND(ARTICULOS_OSLE[[#This Row],[FechaVenc]]=0,ARTICULOS_OSLE[[#This Row],[DiasVenc]]=0),"",ARTICULOS_OSLE[[#This Row],[FechaVenc]]-ARTICULOS_OSLE[[#This Row],[DiasVenc]])</f>
        <v>#VALUE!</v>
      </c>
      <c r="AO140" s="30" t="s">
        <v>8689</v>
      </c>
    </row>
    <row r="141" spans="1:41" ht="15.75" hidden="1" x14ac:dyDescent="0.25">
      <c r="A141" s="24" t="s">
        <v>9790</v>
      </c>
      <c r="B141">
        <v>1242818</v>
      </c>
      <c r="C141" t="str">
        <f t="shared" si="12"/>
        <v>KIO47089422</v>
      </c>
      <c r="D141" t="s">
        <v>8689</v>
      </c>
      <c r="E141" s="24" t="s">
        <v>9791</v>
      </c>
      <c r="F141" s="61">
        <f>VLOOKUP(ARTICULOS_GOLOMAX[[#This Row],[CodigoProveedor]],'PRECIOS GOLOMAX'!$A$1:$C$10000,3,FALSE)</f>
        <v>10503.39</v>
      </c>
      <c r="G141" s="3">
        <v>0</v>
      </c>
      <c r="H141" s="3">
        <v>0</v>
      </c>
      <c r="I141">
        <v>8</v>
      </c>
      <c r="J141">
        <v>8</v>
      </c>
      <c r="K141" s="4"/>
      <c r="L141" s="65">
        <f>((ARTICULOS_GOLOMAX[[#This Row],[P. Compra]]*(1+ARTICULOS_GOLOMAX[[#This Row],[IVA]]%))/ARTICULOS_GOLOMAX[[#This Row],[UnidFact]])+ARTICULOS_GOLOMAX[[#This Row],[CostoFlete]]</f>
        <v>1312.9237499999999</v>
      </c>
      <c r="M141">
        <v>30</v>
      </c>
      <c r="N141" s="63">
        <f t="shared" si="13"/>
        <v>1900</v>
      </c>
      <c r="O141" s="3">
        <f>MROUND((ARTICULOS_GOLOMAX[[#This Row],[Precio]]/0.6),50)</f>
        <v>3150</v>
      </c>
      <c r="P141" t="s">
        <v>8693</v>
      </c>
      <c r="Q141">
        <v>2</v>
      </c>
      <c r="R141" s="42">
        <f>ARTICULOS_GOLOMAX[[#This Row],[Bulto]]+ARTICULOS_GOLOMAX[[#This Row],[Minimo]]</f>
        <v>10</v>
      </c>
      <c r="S141" t="s">
        <v>17</v>
      </c>
      <c r="T141" t="s">
        <v>27</v>
      </c>
      <c r="U141" t="s">
        <v>19</v>
      </c>
      <c r="V141" t="s">
        <v>9792</v>
      </c>
      <c r="W141" t="s">
        <v>8692</v>
      </c>
      <c r="X141">
        <v>1</v>
      </c>
      <c r="Y141">
        <v>3</v>
      </c>
      <c r="AB141" s="80" t="e">
        <f>ARTICULOS_OSLE[[#This Row],[Costo]]*ARTICULOS_OSLE[[#This Row],[Pedido]]</f>
        <v>#VALUE!</v>
      </c>
      <c r="AH141" s="2" t="e">
        <f>IF(AND(ARTICULOS_OSLE[[#This Row],[FechaVenc]]=0,ARTICULOS_OSLE[[#This Row],[DiasVenc]]=0),"",ARTICULOS_OSLE[[#This Row],[FechaVenc]]-ARTICULOS_OSLE[[#This Row],[DiasVenc]])</f>
        <v>#VALUE!</v>
      </c>
      <c r="AO141" s="30" t="s">
        <v>8689</v>
      </c>
    </row>
    <row r="142" spans="1:41" ht="15.75" hidden="1" x14ac:dyDescent="0.25">
      <c r="A142" s="1" t="s">
        <v>9793</v>
      </c>
      <c r="B142">
        <v>1242811</v>
      </c>
      <c r="C142" t="str">
        <f t="shared" si="12"/>
        <v>KIO47089415</v>
      </c>
      <c r="D142" t="s">
        <v>8689</v>
      </c>
      <c r="E142" s="1" t="s">
        <v>9794</v>
      </c>
      <c r="F142" s="61">
        <f>VLOOKUP(ARTICULOS_GOLOMAX[[#This Row],[CodigoProveedor]],'PRECIOS GOLOMAX'!$A$1:$C$10000,3,FALSE)</f>
        <v>12833.23</v>
      </c>
      <c r="G142" s="3">
        <v>0</v>
      </c>
      <c r="H142" s="3">
        <v>0</v>
      </c>
      <c r="I142">
        <v>8</v>
      </c>
      <c r="J142">
        <v>8</v>
      </c>
      <c r="K142" s="4"/>
      <c r="L142" s="65">
        <f>((ARTICULOS_GOLOMAX[[#This Row],[P. Compra]]*(1+ARTICULOS_GOLOMAX[[#This Row],[IVA]]%))/ARTICULOS_GOLOMAX[[#This Row],[UnidFact]])+ARTICULOS_GOLOMAX[[#This Row],[CostoFlete]]</f>
        <v>1604.1537499999999</v>
      </c>
      <c r="M142">
        <v>30</v>
      </c>
      <c r="N142" s="63">
        <f t="shared" si="13"/>
        <v>2300</v>
      </c>
      <c r="O142" s="3">
        <f>MROUND((ARTICULOS_GOLOMAX[[#This Row],[Precio]]/0.6),50)</f>
        <v>3850</v>
      </c>
      <c r="P142" t="s">
        <v>8693</v>
      </c>
      <c r="Q142">
        <v>2</v>
      </c>
      <c r="R142" s="42">
        <f>ARTICULOS_GOLOMAX[[#This Row],[Bulto]]+ARTICULOS_GOLOMAX[[#This Row],[Minimo]]</f>
        <v>10</v>
      </c>
      <c r="S142" t="s">
        <v>17</v>
      </c>
      <c r="T142" t="s">
        <v>27</v>
      </c>
      <c r="U142" t="s">
        <v>19</v>
      </c>
      <c r="V142" t="s">
        <v>9792</v>
      </c>
      <c r="W142" t="s">
        <v>8692</v>
      </c>
      <c r="X142">
        <v>1</v>
      </c>
      <c r="Y142">
        <v>4</v>
      </c>
      <c r="AB142" s="80" t="e">
        <f>ARTICULOS_OSLE[[#This Row],[Costo]]*ARTICULOS_OSLE[[#This Row],[Pedido]]</f>
        <v>#VALUE!</v>
      </c>
      <c r="AH142" s="2" t="e">
        <f>IF(AND(ARTICULOS_OSLE[[#This Row],[FechaVenc]]=0,ARTICULOS_OSLE[[#This Row],[DiasVenc]]=0),"",ARTICULOS_OSLE[[#This Row],[FechaVenc]]-ARTICULOS_OSLE[[#This Row],[DiasVenc]])</f>
        <v>#VALUE!</v>
      </c>
      <c r="AO142" s="30" t="s">
        <v>8689</v>
      </c>
    </row>
    <row r="143" spans="1:41" ht="15.75" hidden="1" x14ac:dyDescent="0.25">
      <c r="A143" s="1" t="s">
        <v>9795</v>
      </c>
      <c r="B143" s="30">
        <v>1168069</v>
      </c>
      <c r="C143" t="str">
        <f t="shared" si="12"/>
        <v>KIO80423803</v>
      </c>
      <c r="D143" t="s">
        <v>8689</v>
      </c>
      <c r="E143" s="1" t="s">
        <v>9796</v>
      </c>
      <c r="F143" s="61">
        <f>VLOOKUP(ARTICULOS_GOLOMAX[[#This Row],[CodigoProveedor]],'PRECIOS GOLOMAX'!$A$1:$C$10000,3,FALSE)</f>
        <v>2056.88</v>
      </c>
      <c r="G143" s="3">
        <v>0</v>
      </c>
      <c r="H143" s="3">
        <v>0</v>
      </c>
      <c r="I143">
        <v>24</v>
      </c>
      <c r="J143">
        <v>24</v>
      </c>
      <c r="K143" s="4"/>
      <c r="L143" s="65">
        <f>((ARTICULOS_GOLOMAX[[#This Row],[P. Compra]]*(1+ARTICULOS_GOLOMAX[[#This Row],[IVA]]%))/ARTICULOS_GOLOMAX[[#This Row],[UnidFact]])+ARTICULOS_GOLOMAX[[#This Row],[CostoFlete]]</f>
        <v>85.703333333333333</v>
      </c>
      <c r="M143">
        <v>30</v>
      </c>
      <c r="N143" s="63">
        <f t="shared" si="13"/>
        <v>100</v>
      </c>
      <c r="O143" s="3">
        <f>MROUND((ARTICULOS_GOLOMAX[[#This Row],[Precio]]/0.6),50)</f>
        <v>150</v>
      </c>
      <c r="P143" t="s">
        <v>8693</v>
      </c>
      <c r="Q143">
        <v>6</v>
      </c>
      <c r="R143" s="42">
        <f>ARTICULOS_GOLOMAX[[#This Row],[Bulto]]+ARTICULOS_GOLOMAX[[#This Row],[Minimo]]</f>
        <v>30</v>
      </c>
      <c r="S143" t="s">
        <v>17</v>
      </c>
      <c r="T143" t="s">
        <v>27</v>
      </c>
      <c r="U143" t="s">
        <v>19</v>
      </c>
      <c r="V143" t="s">
        <v>9797</v>
      </c>
      <c r="W143" t="s">
        <v>8692</v>
      </c>
      <c r="X143">
        <v>1</v>
      </c>
      <c r="Y143">
        <v>5</v>
      </c>
      <c r="AB143" s="80" t="e">
        <f>ARTICULOS_OSLE[[#This Row],[Costo]]*ARTICULOS_OSLE[[#This Row],[Pedido]]</f>
        <v>#VALUE!</v>
      </c>
      <c r="AH143" s="2" t="e">
        <f>IF(AND(ARTICULOS_OSLE[[#This Row],[FechaVenc]]=0,ARTICULOS_OSLE[[#This Row],[DiasVenc]]=0),"",ARTICULOS_OSLE[[#This Row],[FechaVenc]]-ARTICULOS_OSLE[[#This Row],[DiasVenc]])</f>
        <v>#VALUE!</v>
      </c>
      <c r="AO143" s="30" t="s">
        <v>8689</v>
      </c>
    </row>
    <row r="144" spans="1:41" ht="15.75" hidden="1" x14ac:dyDescent="0.25">
      <c r="A144" s="1" t="s">
        <v>9798</v>
      </c>
      <c r="B144">
        <v>1242814</v>
      </c>
      <c r="C144" t="str">
        <f t="shared" si="12"/>
        <v>KIO47089385</v>
      </c>
      <c r="D144" t="s">
        <v>8689</v>
      </c>
      <c r="E144" s="1" t="s">
        <v>9799</v>
      </c>
      <c r="F144" s="61">
        <f>VLOOKUP(ARTICULOS_GOLOMAX[[#This Row],[CodigoProveedor]],'PRECIOS GOLOMAX'!$A$1:$C$10000,3,FALSE)</f>
        <v>12774.41</v>
      </c>
      <c r="G144" s="3">
        <v>0</v>
      </c>
      <c r="H144" s="3">
        <v>0</v>
      </c>
      <c r="I144">
        <v>8</v>
      </c>
      <c r="J144">
        <v>8</v>
      </c>
      <c r="K144" s="4"/>
      <c r="L144" s="65">
        <f>((ARTICULOS_GOLOMAX[[#This Row],[P. Compra]]*(1+ARTICULOS_GOLOMAX[[#This Row],[IVA]]%))/ARTICULOS_GOLOMAX[[#This Row],[UnidFact]])+ARTICULOS_GOLOMAX[[#This Row],[CostoFlete]]</f>
        <v>1596.80125</v>
      </c>
      <c r="M144">
        <v>30</v>
      </c>
      <c r="N144" s="63">
        <f t="shared" si="13"/>
        <v>2300</v>
      </c>
      <c r="O144" s="3">
        <f>MROUND((ARTICULOS_GOLOMAX[[#This Row],[Precio]]/0.6),50)</f>
        <v>3850</v>
      </c>
      <c r="P144" t="s">
        <v>8693</v>
      </c>
      <c r="Q144">
        <v>2</v>
      </c>
      <c r="R144" s="42">
        <f>ARTICULOS_GOLOMAX[[#This Row],[Bulto]]+ARTICULOS_GOLOMAX[[#This Row],[Minimo]]</f>
        <v>10</v>
      </c>
      <c r="S144" t="s">
        <v>17</v>
      </c>
      <c r="T144" t="s">
        <v>27</v>
      </c>
      <c r="U144" t="s">
        <v>19</v>
      </c>
      <c r="V144" t="s">
        <v>9792</v>
      </c>
      <c r="W144" t="s">
        <v>8692</v>
      </c>
      <c r="X144">
        <v>1</v>
      </c>
      <c r="Y144">
        <v>2</v>
      </c>
      <c r="AB144" s="80" t="e">
        <f>ARTICULOS_OSLE[[#This Row],[Costo]]*ARTICULOS_OSLE[[#This Row],[Pedido]]</f>
        <v>#VALUE!</v>
      </c>
      <c r="AH144" s="2" t="e">
        <f>IF(AND(ARTICULOS_OSLE[[#This Row],[FechaVenc]]=0,ARTICULOS_OSLE[[#This Row],[DiasVenc]]=0),"",ARTICULOS_OSLE[[#This Row],[FechaVenc]]-ARTICULOS_OSLE[[#This Row],[DiasVenc]])</f>
        <v>#VALUE!</v>
      </c>
      <c r="AO144" s="30" t="s">
        <v>8689</v>
      </c>
    </row>
    <row r="145" spans="1:41" ht="15.75" hidden="1" x14ac:dyDescent="0.25">
      <c r="A145" s="1" t="s">
        <v>9800</v>
      </c>
      <c r="B145" s="30">
        <v>1164700</v>
      </c>
      <c r="C145" t="str">
        <f t="shared" si="12"/>
        <v>KIO80056001</v>
      </c>
      <c r="D145" t="s">
        <v>8689</v>
      </c>
      <c r="E145" s="1" t="s">
        <v>9801</v>
      </c>
      <c r="F145" s="61">
        <f>VLOOKUP(ARTICULOS_GOLOMAX[[#This Row],[CodigoProveedor]],'PRECIOS GOLOMAX'!$A$1:$C$10000,3,FALSE)</f>
        <v>587.55999999999995</v>
      </c>
      <c r="G145" s="3">
        <v>0</v>
      </c>
      <c r="H145" s="3">
        <v>0</v>
      </c>
      <c r="I145">
        <v>1</v>
      </c>
      <c r="J145">
        <v>1</v>
      </c>
      <c r="K145" s="4"/>
      <c r="L145" s="65">
        <f>((ARTICULOS_GOLOMAX[[#This Row],[P. Compra]]*(1+ARTICULOS_GOLOMAX[[#This Row],[IVA]]%))/ARTICULOS_GOLOMAX[[#This Row],[UnidFact]])+ARTICULOS_GOLOMAX[[#This Row],[CostoFlete]]</f>
        <v>587.55999999999995</v>
      </c>
      <c r="M145">
        <v>30</v>
      </c>
      <c r="N145" s="63">
        <f t="shared" si="13"/>
        <v>850</v>
      </c>
      <c r="O145" s="3">
        <f>MROUND((ARTICULOS_GOLOMAX[[#This Row],[Precio]]/0.6),50)</f>
        <v>1400</v>
      </c>
      <c r="P145" t="s">
        <v>8693</v>
      </c>
      <c r="Q145">
        <v>6</v>
      </c>
      <c r="R145" s="42">
        <f>ARTICULOS_GOLOMAX[[#This Row],[Bulto]]+ARTICULOS_GOLOMAX[[#This Row],[Minimo]]</f>
        <v>7</v>
      </c>
      <c r="S145" t="s">
        <v>17</v>
      </c>
      <c r="T145" t="s">
        <v>27</v>
      </c>
      <c r="U145" t="s">
        <v>19</v>
      </c>
      <c r="V145" t="s">
        <v>9802</v>
      </c>
      <c r="W145" t="s">
        <v>8692</v>
      </c>
      <c r="X145">
        <v>1</v>
      </c>
      <c r="Y145">
        <v>0</v>
      </c>
      <c r="AB145" s="80" t="e">
        <f>ARTICULOS_OSLE[[#This Row],[Costo]]*ARTICULOS_OSLE[[#This Row],[Pedido]]</f>
        <v>#VALUE!</v>
      </c>
      <c r="AH145" s="2" t="e">
        <f>IF(AND(ARTICULOS_OSLE[[#This Row],[FechaVenc]]=0,ARTICULOS_OSLE[[#This Row],[DiasVenc]]=0),"",ARTICULOS_OSLE[[#This Row],[FechaVenc]]-ARTICULOS_OSLE[[#This Row],[DiasVenc]])</f>
        <v>#VALUE!</v>
      </c>
      <c r="AO145" s="30" t="s">
        <v>8689</v>
      </c>
    </row>
    <row r="146" spans="1:41" ht="15.75" hidden="1" x14ac:dyDescent="0.25">
      <c r="A146" s="24" t="s">
        <v>9803</v>
      </c>
      <c r="B146" s="30">
        <v>1164700</v>
      </c>
      <c r="C146" t="str">
        <f t="shared" si="12"/>
        <v>KIO80139698</v>
      </c>
      <c r="D146" t="s">
        <v>8689</v>
      </c>
      <c r="E146" s="24" t="s">
        <v>9804</v>
      </c>
      <c r="F146" s="61">
        <f>VLOOKUP(ARTICULOS_GOLOMAX[[#This Row],[CodigoProveedor]],'PRECIOS GOLOMAX'!$A$1:$C$10000,3,FALSE)</f>
        <v>587.55999999999995</v>
      </c>
      <c r="G146" s="3">
        <v>0</v>
      </c>
      <c r="H146" s="3">
        <v>0</v>
      </c>
      <c r="I146">
        <v>1</v>
      </c>
      <c r="J146">
        <v>1</v>
      </c>
      <c r="K146" s="4"/>
      <c r="L146" s="65">
        <f>((ARTICULOS_GOLOMAX[[#This Row],[P. Compra]]*(1+ARTICULOS_GOLOMAX[[#This Row],[IVA]]%))/ARTICULOS_GOLOMAX[[#This Row],[UnidFact]])+ARTICULOS_GOLOMAX[[#This Row],[CostoFlete]]</f>
        <v>587.55999999999995</v>
      </c>
      <c r="M146">
        <v>30</v>
      </c>
      <c r="N146" s="63">
        <f t="shared" si="13"/>
        <v>850</v>
      </c>
      <c r="O146" s="3">
        <f>MROUND((ARTICULOS_GOLOMAX[[#This Row],[Precio]]/0.6),50)</f>
        <v>1400</v>
      </c>
      <c r="P146" t="s">
        <v>8693</v>
      </c>
      <c r="Q146">
        <v>6</v>
      </c>
      <c r="R146" s="42">
        <f>ARTICULOS_GOLOMAX[[#This Row],[Bulto]]+ARTICULOS_GOLOMAX[[#This Row],[Minimo]]</f>
        <v>7</v>
      </c>
      <c r="S146" t="s">
        <v>17</v>
      </c>
      <c r="T146" t="s">
        <v>27</v>
      </c>
      <c r="U146" t="s">
        <v>19</v>
      </c>
      <c r="V146" t="s">
        <v>9802</v>
      </c>
      <c r="W146" t="s">
        <v>8692</v>
      </c>
      <c r="X146">
        <v>1</v>
      </c>
      <c r="Y146">
        <v>6</v>
      </c>
      <c r="AB146" s="80" t="e">
        <f>ARTICULOS_OSLE[[#This Row],[Costo]]*ARTICULOS_OSLE[[#This Row],[Pedido]]</f>
        <v>#VALUE!</v>
      </c>
      <c r="AH146" s="2" t="e">
        <f>IF(AND(ARTICULOS_OSLE[[#This Row],[FechaVenc]]=0,ARTICULOS_OSLE[[#This Row],[DiasVenc]]=0),"",ARTICULOS_OSLE[[#This Row],[FechaVenc]]-ARTICULOS_OSLE[[#This Row],[DiasVenc]])</f>
        <v>#VALUE!</v>
      </c>
      <c r="AO146" s="30" t="s">
        <v>8689</v>
      </c>
    </row>
    <row r="147" spans="1:41" ht="15.75" hidden="1" x14ac:dyDescent="0.25">
      <c r="A147" s="1" t="s">
        <v>9805</v>
      </c>
      <c r="B147">
        <v>1408000</v>
      </c>
      <c r="C147" t="str">
        <f t="shared" si="12"/>
        <v>KIO30954586</v>
      </c>
      <c r="D147" t="s">
        <v>8689</v>
      </c>
      <c r="E147" s="1" t="s">
        <v>9806</v>
      </c>
      <c r="F147" s="61">
        <f>VLOOKUP(ARTICULOS_GOLOMAX[[#This Row],[CodigoProveedor]],'PRECIOS GOLOMAX'!$A$1:$C$10000,3,FALSE)</f>
        <v>1238.67</v>
      </c>
      <c r="G147" s="3">
        <v>0</v>
      </c>
      <c r="H147" s="3">
        <v>0</v>
      </c>
      <c r="I147">
        <v>8</v>
      </c>
      <c r="J147">
        <v>1</v>
      </c>
      <c r="K147" s="4"/>
      <c r="L147" s="65">
        <f>((ARTICULOS_GOLOMAX[[#This Row],[P. Compra]]*(1+ARTICULOS_GOLOMAX[[#This Row],[IVA]]%))/ARTICULOS_GOLOMAX[[#This Row],[UnidFact]])+ARTICULOS_GOLOMAX[[#This Row],[CostoFlete]]</f>
        <v>1238.67</v>
      </c>
      <c r="M147">
        <v>30</v>
      </c>
      <c r="N147" s="63">
        <f t="shared" si="13"/>
        <v>1750</v>
      </c>
      <c r="O147" s="3">
        <f>MROUND((ARTICULOS_GOLOMAX[[#This Row],[Precio]]/0.6),50)</f>
        <v>2900</v>
      </c>
      <c r="P147" t="s">
        <v>8693</v>
      </c>
      <c r="Q147">
        <v>8</v>
      </c>
      <c r="R147" s="42">
        <f>ARTICULOS_GOLOMAX[[#This Row],[Bulto]]+ARTICULOS_GOLOMAX[[#This Row],[Minimo]]</f>
        <v>16</v>
      </c>
      <c r="S147" t="s">
        <v>17</v>
      </c>
      <c r="T147" t="s">
        <v>27</v>
      </c>
      <c r="U147" t="s">
        <v>19</v>
      </c>
      <c r="V147" t="s">
        <v>9792</v>
      </c>
      <c r="W147" t="s">
        <v>8692</v>
      </c>
      <c r="X147">
        <v>1</v>
      </c>
      <c r="Y147">
        <v>6</v>
      </c>
      <c r="AB147" s="80" t="e">
        <f>ARTICULOS_OSLE[[#This Row],[Costo]]*ARTICULOS_OSLE[[#This Row],[Pedido]]</f>
        <v>#VALUE!</v>
      </c>
      <c r="AH147" s="2" t="e">
        <f>IF(AND(ARTICULOS_OSLE[[#This Row],[FechaVenc]]=0,ARTICULOS_OSLE[[#This Row],[DiasVenc]]=0),"",ARTICULOS_OSLE[[#This Row],[FechaVenc]]-ARTICULOS_OSLE[[#This Row],[DiasVenc]])</f>
        <v>#VALUE!</v>
      </c>
      <c r="AO147" s="30" t="s">
        <v>8689</v>
      </c>
    </row>
    <row r="148" spans="1:41" ht="15.75" hidden="1" x14ac:dyDescent="0.25">
      <c r="A148" s="1" t="s">
        <v>9807</v>
      </c>
      <c r="B148">
        <v>1242893</v>
      </c>
      <c r="C148" t="str">
        <f t="shared" si="12"/>
        <v>KIO47089903</v>
      </c>
      <c r="D148" t="s">
        <v>8689</v>
      </c>
      <c r="E148" s="1" t="s">
        <v>9808</v>
      </c>
      <c r="F148" s="61">
        <f>VLOOKUP(ARTICULOS_GOLOMAX[[#This Row],[CodigoProveedor]],'PRECIOS GOLOMAX'!$A$1:$C$10000,3,FALSE)</f>
        <v>7306.71</v>
      </c>
      <c r="G148" s="3">
        <v>0</v>
      </c>
      <c r="H148" s="3">
        <v>0</v>
      </c>
      <c r="I148">
        <v>6</v>
      </c>
      <c r="J148">
        <v>6</v>
      </c>
      <c r="K148" s="4"/>
      <c r="L148" s="65">
        <f>((ARTICULOS_GOLOMAX[[#This Row],[P. Compra]]*(1+ARTICULOS_GOLOMAX[[#This Row],[IVA]]%))/ARTICULOS_GOLOMAX[[#This Row],[UnidFact]])+ARTICULOS_GOLOMAX[[#This Row],[CostoFlete]]</f>
        <v>1217.7850000000001</v>
      </c>
      <c r="M148">
        <v>30</v>
      </c>
      <c r="N148" s="63">
        <f t="shared" si="13"/>
        <v>1750</v>
      </c>
      <c r="O148" s="3">
        <f>MROUND((ARTICULOS_GOLOMAX[[#This Row],[Precio]]/0.6),50)</f>
        <v>2900</v>
      </c>
      <c r="P148" t="s">
        <v>8693</v>
      </c>
      <c r="Q148">
        <v>2</v>
      </c>
      <c r="R148" s="42">
        <f>ARTICULOS_GOLOMAX[[#This Row],[Bulto]]+ARTICULOS_GOLOMAX[[#This Row],[Minimo]]</f>
        <v>8</v>
      </c>
      <c r="S148" t="s">
        <v>17</v>
      </c>
      <c r="T148" t="s">
        <v>27</v>
      </c>
      <c r="U148" t="s">
        <v>19</v>
      </c>
      <c r="V148" t="s">
        <v>9792</v>
      </c>
      <c r="W148" t="s">
        <v>8692</v>
      </c>
      <c r="X148">
        <v>1</v>
      </c>
      <c r="Y148">
        <v>4</v>
      </c>
      <c r="AB148" s="80" t="e">
        <f>ARTICULOS_OSLE[[#This Row],[Costo]]*ARTICULOS_OSLE[[#This Row],[Pedido]]</f>
        <v>#VALUE!</v>
      </c>
      <c r="AH148" s="2" t="e">
        <f>IF(AND(ARTICULOS_OSLE[[#This Row],[FechaVenc]]=0,ARTICULOS_OSLE[[#This Row],[DiasVenc]]=0),"",ARTICULOS_OSLE[[#This Row],[FechaVenc]]-ARTICULOS_OSLE[[#This Row],[DiasVenc]])</f>
        <v>#VALUE!</v>
      </c>
      <c r="AO148" s="30" t="s">
        <v>8689</v>
      </c>
    </row>
    <row r="149" spans="1:41" ht="15.75" hidden="1" x14ac:dyDescent="0.25">
      <c r="A149" s="1" t="s">
        <v>9809</v>
      </c>
      <c r="B149">
        <v>1168766</v>
      </c>
      <c r="C149" t="str">
        <f t="shared" si="12"/>
        <v>KIO30958034</v>
      </c>
      <c r="D149" t="s">
        <v>8689</v>
      </c>
      <c r="E149" s="1" t="s">
        <v>9810</v>
      </c>
      <c r="F149" s="61">
        <f>VLOOKUP(ARTICULOS_GOLOMAX[[#This Row],[CodigoProveedor]],'PRECIOS GOLOMAX'!$A$1:$C$10000,3,FALSE)</f>
        <v>363.63</v>
      </c>
      <c r="G149" s="3">
        <v>0</v>
      </c>
      <c r="H149" s="3">
        <v>0</v>
      </c>
      <c r="I149">
        <v>1</v>
      </c>
      <c r="J149">
        <v>1</v>
      </c>
      <c r="K149" s="4"/>
      <c r="L149" s="65">
        <f>((ARTICULOS_GOLOMAX[[#This Row],[P. Compra]]*(1+ARTICULOS_GOLOMAX[[#This Row],[IVA]]%))/ARTICULOS_GOLOMAX[[#This Row],[UnidFact]])+ARTICULOS_GOLOMAX[[#This Row],[CostoFlete]]</f>
        <v>363.63</v>
      </c>
      <c r="M149">
        <v>30</v>
      </c>
      <c r="N149" s="63">
        <f t="shared" si="13"/>
        <v>500</v>
      </c>
      <c r="O149" s="3">
        <f>MROUND((ARTICULOS_GOLOMAX[[#This Row],[Precio]]/0.6),50)</f>
        <v>850</v>
      </c>
      <c r="P149" t="s">
        <v>8693</v>
      </c>
      <c r="Q149">
        <v>3</v>
      </c>
      <c r="R149" s="42">
        <v>15</v>
      </c>
      <c r="S149" t="s">
        <v>17</v>
      </c>
      <c r="T149" t="s">
        <v>27</v>
      </c>
      <c r="U149" t="s">
        <v>19</v>
      </c>
      <c r="V149" t="s">
        <v>9792</v>
      </c>
      <c r="W149" t="s">
        <v>8692</v>
      </c>
      <c r="X149">
        <v>1</v>
      </c>
      <c r="Y149">
        <v>0</v>
      </c>
      <c r="AB149" s="80" t="e">
        <f>ARTICULOS_OSLE[[#This Row],[Costo]]*ARTICULOS_OSLE[[#This Row],[Pedido]]</f>
        <v>#VALUE!</v>
      </c>
      <c r="AH149" s="2" t="e">
        <f>IF(AND(ARTICULOS_OSLE[[#This Row],[FechaVenc]]=0,ARTICULOS_OSLE[[#This Row],[DiasVenc]]=0),"",ARTICULOS_OSLE[[#This Row],[FechaVenc]]-ARTICULOS_OSLE[[#This Row],[DiasVenc]])</f>
        <v>#VALUE!</v>
      </c>
      <c r="AO149" s="30" t="s">
        <v>8689</v>
      </c>
    </row>
    <row r="150" spans="1:41" ht="15.75" hidden="1" x14ac:dyDescent="0.25">
      <c r="A150" s="1" t="s">
        <v>9811</v>
      </c>
      <c r="B150">
        <v>1168700</v>
      </c>
      <c r="C150" t="str">
        <f t="shared" si="12"/>
        <v>KIO30958058</v>
      </c>
      <c r="D150" t="s">
        <v>8689</v>
      </c>
      <c r="E150" s="1" t="s">
        <v>9812</v>
      </c>
      <c r="F150" s="61">
        <f>VLOOKUP(ARTICULOS_GOLOMAX[[#This Row],[CodigoProveedor]],'PRECIOS GOLOMAX'!$A$1:$C$10000,3,FALSE)</f>
        <v>363.63</v>
      </c>
      <c r="G150" s="3">
        <v>0</v>
      </c>
      <c r="H150" s="3">
        <v>0</v>
      </c>
      <c r="I150">
        <v>1</v>
      </c>
      <c r="J150">
        <v>1</v>
      </c>
      <c r="K150" s="4"/>
      <c r="L150" s="65">
        <f>((ARTICULOS_GOLOMAX[[#This Row],[P. Compra]]*(1+ARTICULOS_GOLOMAX[[#This Row],[IVA]]%))/ARTICULOS_GOLOMAX[[#This Row],[UnidFact]])+ARTICULOS_GOLOMAX[[#This Row],[CostoFlete]]</f>
        <v>363.63</v>
      </c>
      <c r="M150">
        <v>30</v>
      </c>
      <c r="N150" s="63">
        <f t="shared" si="13"/>
        <v>500</v>
      </c>
      <c r="O150" s="3">
        <f>MROUND((ARTICULOS_GOLOMAX[[#This Row],[Precio]]/0.6),50)</f>
        <v>850</v>
      </c>
      <c r="P150" t="s">
        <v>8693</v>
      </c>
      <c r="Q150">
        <v>3</v>
      </c>
      <c r="R150" s="42">
        <v>15</v>
      </c>
      <c r="S150" t="s">
        <v>17</v>
      </c>
      <c r="T150" t="s">
        <v>27</v>
      </c>
      <c r="U150" t="s">
        <v>19</v>
      </c>
      <c r="V150" t="s">
        <v>9792</v>
      </c>
      <c r="W150" t="s">
        <v>8692</v>
      </c>
      <c r="X150">
        <v>1</v>
      </c>
      <c r="Y150">
        <v>0</v>
      </c>
      <c r="AB150" s="80" t="e">
        <f>ARTICULOS_OSLE[[#This Row],[Costo]]*ARTICULOS_OSLE[[#This Row],[Pedido]]</f>
        <v>#VALUE!</v>
      </c>
      <c r="AH150" s="2" t="e">
        <f>IF(AND(ARTICULOS_OSLE[[#This Row],[FechaVenc]]=0,ARTICULOS_OSLE[[#This Row],[DiasVenc]]=0),"",ARTICULOS_OSLE[[#This Row],[FechaVenc]]-ARTICULOS_OSLE[[#This Row],[DiasVenc]])</f>
        <v>#VALUE!</v>
      </c>
      <c r="AO150" s="30" t="s">
        <v>8689</v>
      </c>
    </row>
    <row r="151" spans="1:41" ht="15.75" hidden="1" x14ac:dyDescent="0.25">
      <c r="A151" s="1" t="s">
        <v>9813</v>
      </c>
      <c r="B151">
        <v>1168737</v>
      </c>
      <c r="C151" t="str">
        <f t="shared" si="12"/>
        <v>KIO30958072</v>
      </c>
      <c r="D151" t="s">
        <v>8689</v>
      </c>
      <c r="E151" s="1" t="s">
        <v>9814</v>
      </c>
      <c r="F151" s="61">
        <f>VLOOKUP(ARTICULOS_GOLOMAX[[#This Row],[CodigoProveedor]],'PRECIOS GOLOMAX'!$A$1:$C$10000,3,FALSE)</f>
        <v>4363.59</v>
      </c>
      <c r="G151" s="3">
        <v>0</v>
      </c>
      <c r="H151" s="3">
        <v>0</v>
      </c>
      <c r="I151">
        <v>12</v>
      </c>
      <c r="J151">
        <v>12</v>
      </c>
      <c r="K151" s="4"/>
      <c r="L151" s="65">
        <f>((ARTICULOS_GOLOMAX[[#This Row],[P. Compra]]*(1+ARTICULOS_GOLOMAX[[#This Row],[IVA]]%))/ARTICULOS_GOLOMAX[[#This Row],[UnidFact]])+ARTICULOS_GOLOMAX[[#This Row],[CostoFlete]]</f>
        <v>363.63249999999999</v>
      </c>
      <c r="M151">
        <v>30</v>
      </c>
      <c r="N151" s="63">
        <f t="shared" si="13"/>
        <v>500</v>
      </c>
      <c r="O151" s="3">
        <f>MROUND((ARTICULOS_GOLOMAX[[#This Row],[Precio]]/0.6),50)</f>
        <v>850</v>
      </c>
      <c r="P151" t="s">
        <v>8693</v>
      </c>
      <c r="Q151">
        <v>3</v>
      </c>
      <c r="R151" s="42">
        <f>ARTICULOS_GOLOMAX[[#This Row],[Bulto]]+ARTICULOS_GOLOMAX[[#This Row],[Minimo]]</f>
        <v>15</v>
      </c>
      <c r="S151" t="s">
        <v>17</v>
      </c>
      <c r="T151" t="s">
        <v>27</v>
      </c>
      <c r="U151" t="s">
        <v>19</v>
      </c>
      <c r="V151" t="s">
        <v>9792</v>
      </c>
      <c r="W151" t="s">
        <v>8692</v>
      </c>
      <c r="X151">
        <v>1</v>
      </c>
      <c r="Y151">
        <v>0</v>
      </c>
      <c r="AB151" s="80" t="e">
        <f>ARTICULOS_OSLE[[#This Row],[Costo]]*ARTICULOS_OSLE[[#This Row],[Pedido]]</f>
        <v>#VALUE!</v>
      </c>
      <c r="AH151" s="2" t="e">
        <f>IF(AND(ARTICULOS_OSLE[[#This Row],[FechaVenc]]=0,ARTICULOS_OSLE[[#This Row],[DiasVenc]]=0),"",ARTICULOS_OSLE[[#This Row],[FechaVenc]]-ARTICULOS_OSLE[[#This Row],[DiasVenc]])</f>
        <v>#VALUE!</v>
      </c>
      <c r="AO151" s="30" t="s">
        <v>8689</v>
      </c>
    </row>
    <row r="152" spans="1:41" ht="15.75" hidden="1" x14ac:dyDescent="0.25">
      <c r="A152" s="1" t="s">
        <v>9815</v>
      </c>
      <c r="B152">
        <v>1206900</v>
      </c>
      <c r="C152" t="str">
        <f t="shared" si="12"/>
        <v>KIO30959376</v>
      </c>
      <c r="D152" t="s">
        <v>8689</v>
      </c>
      <c r="E152" s="1" t="s">
        <v>9816</v>
      </c>
      <c r="F152" s="61">
        <f>VLOOKUP(ARTICULOS_GOLOMAX[[#This Row],[CodigoProveedor]],'PRECIOS GOLOMAX'!$A$1:$C$10000,3,FALSE)</f>
        <v>11349.51</v>
      </c>
      <c r="G152" s="3">
        <v>0</v>
      </c>
      <c r="H152" s="3">
        <v>0</v>
      </c>
      <c r="I152">
        <v>8</v>
      </c>
      <c r="J152">
        <v>8</v>
      </c>
      <c r="K152" s="4"/>
      <c r="L152" s="65">
        <f>((ARTICULOS_GOLOMAX[[#This Row],[P. Compra]]*(1+ARTICULOS_GOLOMAX[[#This Row],[IVA]]%))/ARTICULOS_GOLOMAX[[#This Row],[UnidFact]])+ARTICULOS_GOLOMAX[[#This Row],[CostoFlete]]</f>
        <v>1418.68875</v>
      </c>
      <c r="M152">
        <v>30</v>
      </c>
      <c r="N152" s="63">
        <f t="shared" si="13"/>
        <v>2050</v>
      </c>
      <c r="O152" s="3">
        <f>MROUND((ARTICULOS_GOLOMAX[[#This Row],[Precio]]/0.6),50)</f>
        <v>3400</v>
      </c>
      <c r="P152" t="s">
        <v>8693</v>
      </c>
      <c r="Q152">
        <v>2</v>
      </c>
      <c r="R152" s="42">
        <f>ARTICULOS_GOLOMAX[[#This Row],[Bulto]]+ARTICULOS_GOLOMAX[[#This Row],[Minimo]]</f>
        <v>10</v>
      </c>
      <c r="S152" t="s">
        <v>17</v>
      </c>
      <c r="T152" t="s">
        <v>27</v>
      </c>
      <c r="U152" t="s">
        <v>25</v>
      </c>
      <c r="V152" t="s">
        <v>9792</v>
      </c>
      <c r="W152" t="s">
        <v>8692</v>
      </c>
      <c r="X152">
        <v>1</v>
      </c>
      <c r="Y152">
        <v>14</v>
      </c>
      <c r="AB152" s="80" t="e">
        <f>ARTICULOS_OSLE[[#This Row],[Costo]]*ARTICULOS_OSLE[[#This Row],[Pedido]]</f>
        <v>#VALUE!</v>
      </c>
      <c r="AH152" s="2" t="e">
        <f>IF(AND(ARTICULOS_OSLE[[#This Row],[FechaVenc]]=0,ARTICULOS_OSLE[[#This Row],[DiasVenc]]=0),"",ARTICULOS_OSLE[[#This Row],[FechaVenc]]-ARTICULOS_OSLE[[#This Row],[DiasVenc]])</f>
        <v>#VALUE!</v>
      </c>
      <c r="AO152" s="30" t="s">
        <v>8689</v>
      </c>
    </row>
    <row r="153" spans="1:41" ht="15.75" hidden="1" x14ac:dyDescent="0.25">
      <c r="A153" s="1" t="s">
        <v>12117</v>
      </c>
      <c r="B153">
        <v>1209111</v>
      </c>
      <c r="C153" t="str">
        <f t="shared" ref="C153" si="14">CONCATENATE(LEFT(T153,3),RIGHT(A153,8))</f>
        <v>KIO95301897</v>
      </c>
      <c r="D153" t="s">
        <v>8689</v>
      </c>
      <c r="E153" s="1" t="s">
        <v>9816</v>
      </c>
      <c r="F153" s="61">
        <f>VLOOKUP(ARTICULOS_GOLOMAX[[#This Row],[CodigoProveedor]],'PRECIOS GOLOMAX'!$A$1:$C$10000,3,FALSE)</f>
        <v>2130.75</v>
      </c>
      <c r="G153" s="3">
        <v>0</v>
      </c>
      <c r="H153" s="3">
        <v>0</v>
      </c>
      <c r="I153">
        <v>8</v>
      </c>
      <c r="J153">
        <v>8</v>
      </c>
      <c r="K153" s="4"/>
      <c r="L153" s="65">
        <f>((ARTICULOS_GOLOMAX[[#This Row],[P. Compra]]*(1+ARTICULOS_GOLOMAX[[#This Row],[IVA]]%))/ARTICULOS_GOLOMAX[[#This Row],[UnidFact]])+ARTICULOS_GOLOMAX[[#This Row],[CostoFlete]]</f>
        <v>266.34375</v>
      </c>
      <c r="M153">
        <v>30</v>
      </c>
      <c r="N153" s="63">
        <f t="shared" si="13"/>
        <v>400</v>
      </c>
      <c r="O153" s="3">
        <f>MROUND((ARTICULOS_GOLOMAX[[#This Row],[Precio]]/0.6),50)</f>
        <v>650</v>
      </c>
      <c r="P153" t="s">
        <v>8693</v>
      </c>
      <c r="Q153">
        <v>2</v>
      </c>
      <c r="R153" s="42">
        <f>ARTICULOS_GOLOMAX[[#This Row],[Bulto]]+ARTICULOS_GOLOMAX[[#This Row],[Minimo]]</f>
        <v>10</v>
      </c>
      <c r="S153" t="s">
        <v>17</v>
      </c>
      <c r="T153" t="s">
        <v>27</v>
      </c>
      <c r="U153" t="s">
        <v>25</v>
      </c>
      <c r="V153" t="s">
        <v>9792</v>
      </c>
      <c r="W153" t="s">
        <v>8692</v>
      </c>
      <c r="X153">
        <v>1</v>
      </c>
      <c r="Y153">
        <v>14</v>
      </c>
      <c r="AB153" s="80" t="e">
        <f>ARTICULOS_OSLE[[#This Row],[Costo]]*ARTICULOS_OSLE[[#This Row],[Pedido]]</f>
        <v>#VALUE!</v>
      </c>
      <c r="AH153" s="2" t="e">
        <f>IF(AND(ARTICULOS_OSLE[[#This Row],[FechaVenc]]=0,ARTICULOS_OSLE[[#This Row],[DiasVenc]]=0),"",ARTICULOS_OSLE[[#This Row],[FechaVenc]]-ARTICULOS_OSLE[[#This Row],[DiasVenc]])</f>
        <v>#VALUE!</v>
      </c>
      <c r="AO153" s="30" t="s">
        <v>8689</v>
      </c>
    </row>
    <row r="154" spans="1:41" ht="15.75" hidden="1" x14ac:dyDescent="0.25">
      <c r="A154" s="1" t="s">
        <v>9817</v>
      </c>
      <c r="B154">
        <v>1142535</v>
      </c>
      <c r="C154" t="str">
        <f t="shared" si="12"/>
        <v>KIO60070047</v>
      </c>
      <c r="D154" t="s">
        <v>8689</v>
      </c>
      <c r="E154" s="1" t="s">
        <v>9818</v>
      </c>
      <c r="F154" s="61">
        <f>VLOOKUP(ARTICULOS_GOLOMAX[[#This Row],[CodigoProveedor]],'PRECIOS GOLOMAX'!$A$1:$C$10000,3,FALSE)</f>
        <v>304.89999999999998</v>
      </c>
      <c r="G154" s="3">
        <v>0</v>
      </c>
      <c r="H154" s="3">
        <v>0</v>
      </c>
      <c r="I154">
        <v>1</v>
      </c>
      <c r="J154">
        <v>1</v>
      </c>
      <c r="K154" s="4"/>
      <c r="L154" s="65">
        <f>((ARTICULOS_GOLOMAX[[#This Row],[P. Compra]]*(1+ARTICULOS_GOLOMAX[[#This Row],[IVA]]%))/ARTICULOS_GOLOMAX[[#This Row],[UnidFact]])+ARTICULOS_GOLOMAX[[#This Row],[CostoFlete]]</f>
        <v>304.89999999999998</v>
      </c>
      <c r="M154">
        <v>30</v>
      </c>
      <c r="N154" s="63">
        <f t="shared" si="13"/>
        <v>450</v>
      </c>
      <c r="O154" s="3">
        <f>MROUND((ARTICULOS_GOLOMAX[[#This Row],[Precio]]/0.6),50)</f>
        <v>750</v>
      </c>
      <c r="P154" t="s">
        <v>8693</v>
      </c>
      <c r="Q154">
        <v>6</v>
      </c>
      <c r="R154" s="42">
        <v>22</v>
      </c>
      <c r="S154" t="s">
        <v>17</v>
      </c>
      <c r="T154" t="s">
        <v>27</v>
      </c>
      <c r="U154" t="s">
        <v>28</v>
      </c>
      <c r="V154" t="s">
        <v>9819</v>
      </c>
      <c r="W154" t="s">
        <v>8692</v>
      </c>
      <c r="X154">
        <v>1</v>
      </c>
      <c r="Y154">
        <v>0</v>
      </c>
      <c r="AB154" s="80" t="e">
        <f>ARTICULOS_OSLE[[#This Row],[Costo]]*ARTICULOS_OSLE[[#This Row],[Pedido]]</f>
        <v>#VALUE!</v>
      </c>
      <c r="AH154" s="2" t="e">
        <f>IF(AND(ARTICULOS_OSLE[[#This Row],[FechaVenc]]=0,ARTICULOS_OSLE[[#This Row],[DiasVenc]]=0),"",ARTICULOS_OSLE[[#This Row],[FechaVenc]]-ARTICULOS_OSLE[[#This Row],[DiasVenc]])</f>
        <v>#VALUE!</v>
      </c>
      <c r="AO154" s="30" t="s">
        <v>8689</v>
      </c>
    </row>
    <row r="155" spans="1:41" ht="15.75" hidden="1" x14ac:dyDescent="0.25">
      <c r="A155" s="1" t="s">
        <v>9820</v>
      </c>
      <c r="B155"/>
      <c r="C155" t="str">
        <f t="shared" si="12"/>
        <v>KIO77907509</v>
      </c>
      <c r="D155" t="s">
        <v>8689</v>
      </c>
      <c r="E155" s="1" t="s">
        <v>9821</v>
      </c>
      <c r="F155" s="61" t="e">
        <f>VLOOKUP(ARTICULOS_GOLOMAX[[#This Row],[CodigoProveedor]],'PRECIOS GOLOMAX'!$A$1:$C$10000,3,FALSE)</f>
        <v>#N/A</v>
      </c>
      <c r="G155" s="3">
        <v>0</v>
      </c>
      <c r="H155" s="3">
        <v>0</v>
      </c>
      <c r="I155">
        <v>20</v>
      </c>
      <c r="J155">
        <v>20</v>
      </c>
      <c r="K155" s="4"/>
      <c r="L155" s="65" t="e">
        <f>((ARTICULOS_GOLOMAX[[#This Row],[P. Compra]]*(1+ARTICULOS_GOLOMAX[[#This Row],[IVA]]%))/ARTICULOS_GOLOMAX[[#This Row],[UnidFact]])+ARTICULOS_GOLOMAX[[#This Row],[CostoFlete]]</f>
        <v>#N/A</v>
      </c>
      <c r="M155">
        <v>30</v>
      </c>
      <c r="N155" s="63" t="e">
        <f t="shared" si="13"/>
        <v>#N/A</v>
      </c>
      <c r="O155" s="3" t="e">
        <f>MROUND((ARTICULOS_GOLOMAX[[#This Row],[Precio]]/0.6),50)</f>
        <v>#N/A</v>
      </c>
      <c r="P155" t="s">
        <v>8693</v>
      </c>
      <c r="Q155">
        <v>5</v>
      </c>
      <c r="R155" s="42">
        <v>25</v>
      </c>
      <c r="S155" t="s">
        <v>17</v>
      </c>
      <c r="T155" t="s">
        <v>27</v>
      </c>
      <c r="U155" t="s">
        <v>28</v>
      </c>
      <c r="V155" t="s">
        <v>9822</v>
      </c>
      <c r="W155" t="s">
        <v>8692</v>
      </c>
      <c r="X155">
        <v>1</v>
      </c>
      <c r="Y155">
        <v>2</v>
      </c>
      <c r="AB155" s="80" t="e">
        <f>ARTICULOS_OSLE[[#This Row],[Costo]]*ARTICULOS_OSLE[[#This Row],[Pedido]]</f>
        <v>#VALUE!</v>
      </c>
      <c r="AH155" s="2" t="e">
        <f>IF(AND(ARTICULOS_OSLE[[#This Row],[FechaVenc]]=0,ARTICULOS_OSLE[[#This Row],[DiasVenc]]=0),"",ARTICULOS_OSLE[[#This Row],[FechaVenc]]-ARTICULOS_OSLE[[#This Row],[DiasVenc]])</f>
        <v>#VALUE!</v>
      </c>
      <c r="AO155" s="30" t="s">
        <v>8689</v>
      </c>
    </row>
    <row r="156" spans="1:41" ht="15.75" hidden="1" x14ac:dyDescent="0.25">
      <c r="A156" s="1" t="s">
        <v>9823</v>
      </c>
      <c r="B156">
        <v>1148942</v>
      </c>
      <c r="C156" t="str">
        <f t="shared" si="12"/>
        <v>KIO29609464</v>
      </c>
      <c r="D156" t="s">
        <v>8689</v>
      </c>
      <c r="E156" s="24" t="s">
        <v>9824</v>
      </c>
      <c r="F156" s="61">
        <f>VLOOKUP(ARTICULOS_GOLOMAX[[#This Row],[CodigoProveedor]],'PRECIOS GOLOMAX'!$A$1:$C$10000,3,FALSE)</f>
        <v>3937.96</v>
      </c>
      <c r="G156" s="3">
        <v>0</v>
      </c>
      <c r="H156" s="3">
        <v>0</v>
      </c>
      <c r="I156">
        <v>300</v>
      </c>
      <c r="J156">
        <v>300</v>
      </c>
      <c r="K156" s="4"/>
      <c r="L156" s="65">
        <f>((ARTICULOS_GOLOMAX[[#This Row],[P. Compra]]*(1+ARTICULOS_GOLOMAX[[#This Row],[IVA]]%))/ARTICULOS_GOLOMAX[[#This Row],[UnidFact]])+ARTICULOS_GOLOMAX[[#This Row],[CostoFlete]]</f>
        <v>13.126533333333333</v>
      </c>
      <c r="M156">
        <v>50</v>
      </c>
      <c r="N156" s="63">
        <f t="shared" si="13"/>
        <v>50</v>
      </c>
      <c r="O156" s="3">
        <f>MROUND((ARTICULOS_GOLOMAX[[#This Row],[Precio]]/0.6),50)</f>
        <v>100</v>
      </c>
      <c r="P156" t="s">
        <v>8693</v>
      </c>
      <c r="Q156">
        <v>50</v>
      </c>
      <c r="R156" s="42">
        <f>ARTICULOS_GOLOMAX[[#This Row],[Bulto]]+ARTICULOS_GOLOMAX[[#This Row],[Minimo]]</f>
        <v>350</v>
      </c>
      <c r="S156" t="s">
        <v>17</v>
      </c>
      <c r="T156" t="s">
        <v>27</v>
      </c>
      <c r="U156" t="s">
        <v>28</v>
      </c>
      <c r="V156" t="s">
        <v>9825</v>
      </c>
      <c r="W156" t="s">
        <v>8692</v>
      </c>
      <c r="X156">
        <v>1</v>
      </c>
      <c r="Y156">
        <v>100</v>
      </c>
      <c r="AB156" s="80" t="e">
        <f>ARTICULOS_OSLE[[#This Row],[Costo]]*ARTICULOS_OSLE[[#This Row],[Pedido]]</f>
        <v>#VALUE!</v>
      </c>
      <c r="AH156" s="2" t="e">
        <f>IF(AND(ARTICULOS_OSLE[[#This Row],[FechaVenc]]=0,ARTICULOS_OSLE[[#This Row],[DiasVenc]]=0),"",ARTICULOS_OSLE[[#This Row],[FechaVenc]]-ARTICULOS_OSLE[[#This Row],[DiasVenc]])</f>
        <v>#VALUE!</v>
      </c>
      <c r="AO156" s="30" t="s">
        <v>8689</v>
      </c>
    </row>
    <row r="157" spans="1:41" ht="15.75" hidden="1" x14ac:dyDescent="0.25">
      <c r="A157" s="24" t="s">
        <v>9826</v>
      </c>
      <c r="B157">
        <v>1148992</v>
      </c>
      <c r="C157" t="str">
        <f t="shared" si="12"/>
        <v>KIO29200227</v>
      </c>
      <c r="D157" t="s">
        <v>8689</v>
      </c>
      <c r="E157" s="24" t="s">
        <v>9827</v>
      </c>
      <c r="F157" s="61">
        <f>VLOOKUP(ARTICULOS_GOLOMAX[[#This Row],[CodigoProveedor]],'PRECIOS GOLOMAX'!$A$1:$C$10000,3,FALSE)</f>
        <v>3937.96</v>
      </c>
      <c r="G157" s="3">
        <v>0</v>
      </c>
      <c r="H157" s="3">
        <v>0</v>
      </c>
      <c r="I157">
        <v>300</v>
      </c>
      <c r="J157">
        <v>300</v>
      </c>
      <c r="K157" s="4"/>
      <c r="L157" s="65">
        <f>((ARTICULOS_GOLOMAX[[#This Row],[P. Compra]]*(1+ARTICULOS_GOLOMAX[[#This Row],[IVA]]%))/ARTICULOS_GOLOMAX[[#This Row],[UnidFact]])+ARTICULOS_GOLOMAX[[#This Row],[CostoFlete]]</f>
        <v>13.126533333333333</v>
      </c>
      <c r="M157">
        <v>50</v>
      </c>
      <c r="N157" s="63">
        <f t="shared" si="13"/>
        <v>50</v>
      </c>
      <c r="O157" s="3">
        <f>MROUND((ARTICULOS_GOLOMAX[[#This Row],[Precio]]/0.6),50)</f>
        <v>100</v>
      </c>
      <c r="P157" t="s">
        <v>8693</v>
      </c>
      <c r="Q157">
        <v>50</v>
      </c>
      <c r="R157" s="42">
        <f>ARTICULOS_GOLOMAX[[#This Row],[Bulto]]+ARTICULOS_GOLOMAX[[#This Row],[Minimo]]</f>
        <v>350</v>
      </c>
      <c r="S157" t="s">
        <v>17</v>
      </c>
      <c r="T157" t="s">
        <v>27</v>
      </c>
      <c r="U157" t="s">
        <v>28</v>
      </c>
      <c r="V157" t="s">
        <v>9825</v>
      </c>
      <c r="W157" t="s">
        <v>8692</v>
      </c>
      <c r="X157">
        <v>1</v>
      </c>
      <c r="Y157">
        <v>100</v>
      </c>
      <c r="AB157" s="80" t="e">
        <f>ARTICULOS_OSLE[[#This Row],[Costo]]*ARTICULOS_OSLE[[#This Row],[Pedido]]</f>
        <v>#VALUE!</v>
      </c>
      <c r="AH157" s="2" t="e">
        <f>IF(AND(ARTICULOS_OSLE[[#This Row],[FechaVenc]]=0,ARTICULOS_OSLE[[#This Row],[DiasVenc]]=0),"",ARTICULOS_OSLE[[#This Row],[FechaVenc]]-ARTICULOS_OSLE[[#This Row],[DiasVenc]])</f>
        <v>#VALUE!</v>
      </c>
      <c r="AO157" s="30" t="s">
        <v>8689</v>
      </c>
    </row>
    <row r="158" spans="1:41" ht="15.75" hidden="1" x14ac:dyDescent="0.25">
      <c r="A158" s="24" t="s">
        <v>9828</v>
      </c>
      <c r="B158">
        <v>1148913</v>
      </c>
      <c r="C158" t="str">
        <f t="shared" si="12"/>
        <v>KIO29601994</v>
      </c>
      <c r="D158" t="s">
        <v>8689</v>
      </c>
      <c r="E158" s="24" t="s">
        <v>9829</v>
      </c>
      <c r="F158" s="61">
        <f>VLOOKUP(ARTICULOS_GOLOMAX[[#This Row],[CodigoProveedor]],'PRECIOS GOLOMAX'!$A$1:$C$10000,3,FALSE)</f>
        <v>3937.96</v>
      </c>
      <c r="G158" s="3">
        <v>0</v>
      </c>
      <c r="H158" s="3">
        <v>0</v>
      </c>
      <c r="I158">
        <v>300</v>
      </c>
      <c r="J158">
        <v>300</v>
      </c>
      <c r="K158" s="4"/>
      <c r="L158" s="65">
        <f>((ARTICULOS_GOLOMAX[[#This Row],[P. Compra]]*(1+ARTICULOS_GOLOMAX[[#This Row],[IVA]]%))/ARTICULOS_GOLOMAX[[#This Row],[UnidFact]])+ARTICULOS_GOLOMAX[[#This Row],[CostoFlete]]</f>
        <v>13.126533333333333</v>
      </c>
      <c r="M158">
        <v>50</v>
      </c>
      <c r="N158" s="63">
        <f t="shared" si="13"/>
        <v>50</v>
      </c>
      <c r="O158" s="3">
        <f>MROUND((ARTICULOS_GOLOMAX[[#This Row],[Precio]]/0.6),50)</f>
        <v>100</v>
      </c>
      <c r="P158" t="s">
        <v>8693</v>
      </c>
      <c r="Q158">
        <v>50</v>
      </c>
      <c r="R158" s="42">
        <f>ARTICULOS_GOLOMAX[[#This Row],[Bulto]]+ARTICULOS_GOLOMAX[[#This Row],[Minimo]]</f>
        <v>350</v>
      </c>
      <c r="S158" t="s">
        <v>17</v>
      </c>
      <c r="T158" t="s">
        <v>27</v>
      </c>
      <c r="U158" t="s">
        <v>28</v>
      </c>
      <c r="V158" t="s">
        <v>9825</v>
      </c>
      <c r="W158" t="s">
        <v>8692</v>
      </c>
      <c r="X158">
        <v>1</v>
      </c>
      <c r="Y158">
        <v>100</v>
      </c>
      <c r="AB158" s="80" t="e">
        <f>ARTICULOS_OSLE[[#This Row],[Costo]]*ARTICULOS_OSLE[[#This Row],[Pedido]]</f>
        <v>#VALUE!</v>
      </c>
      <c r="AH158" s="2" t="e">
        <f>IF(AND(ARTICULOS_OSLE[[#This Row],[FechaVenc]]=0,ARTICULOS_OSLE[[#This Row],[DiasVenc]]=0),"",ARTICULOS_OSLE[[#This Row],[FechaVenc]]-ARTICULOS_OSLE[[#This Row],[DiasVenc]])</f>
        <v>#VALUE!</v>
      </c>
      <c r="AO158" s="30" t="s">
        <v>8689</v>
      </c>
    </row>
    <row r="159" spans="1:41" ht="15.75" hidden="1" x14ac:dyDescent="0.25">
      <c r="A159" s="1" t="s">
        <v>9830</v>
      </c>
      <c r="B159"/>
      <c r="C159" t="str">
        <f t="shared" si="12"/>
        <v>KIO06006106</v>
      </c>
      <c r="D159" t="s">
        <v>8689</v>
      </c>
      <c r="E159" s="1" t="s">
        <v>9831</v>
      </c>
      <c r="F159" s="61" t="e">
        <f>VLOOKUP(ARTICULOS_GOLOMAX[[#This Row],[CodigoProveedor]],'PRECIOS GOLOMAX'!$A$1:$C$10000,3,FALSE)</f>
        <v>#N/A</v>
      </c>
      <c r="G159" s="3">
        <v>0</v>
      </c>
      <c r="H159" s="3">
        <v>0</v>
      </c>
      <c r="I159">
        <v>60</v>
      </c>
      <c r="J159">
        <v>60</v>
      </c>
      <c r="K159" s="4"/>
      <c r="L159" s="65" t="e">
        <f>((ARTICULOS_GOLOMAX[[#This Row],[P. Compra]]*(1+ARTICULOS_GOLOMAX[[#This Row],[IVA]]%))/ARTICULOS_GOLOMAX[[#This Row],[UnidFact]])+ARTICULOS_GOLOMAX[[#This Row],[CostoFlete]]</f>
        <v>#N/A</v>
      </c>
      <c r="M159">
        <v>30</v>
      </c>
      <c r="N159" s="63" t="e">
        <f t="shared" si="13"/>
        <v>#N/A</v>
      </c>
      <c r="O159" s="3" t="e">
        <f>MROUND((ARTICULOS_GOLOMAX[[#This Row],[Precio]]/0.6),50)</f>
        <v>#N/A</v>
      </c>
      <c r="P159" t="s">
        <v>8693</v>
      </c>
      <c r="Q159">
        <v>10</v>
      </c>
      <c r="R159" s="42">
        <v>70</v>
      </c>
      <c r="S159" t="s">
        <v>17</v>
      </c>
      <c r="T159" t="s">
        <v>27</v>
      </c>
      <c r="U159" t="s">
        <v>28</v>
      </c>
      <c r="V159" t="s">
        <v>9822</v>
      </c>
      <c r="W159" t="s">
        <v>8692</v>
      </c>
      <c r="X159">
        <v>1</v>
      </c>
      <c r="Y159">
        <v>0</v>
      </c>
      <c r="AB159" s="80" t="e">
        <f>ARTICULOS_OSLE[[#This Row],[Costo]]*ARTICULOS_OSLE[[#This Row],[Pedido]]</f>
        <v>#VALUE!</v>
      </c>
      <c r="AH159" s="2" t="e">
        <f>IF(AND(ARTICULOS_OSLE[[#This Row],[FechaVenc]]=0,ARTICULOS_OSLE[[#This Row],[DiasVenc]]=0),"",ARTICULOS_OSLE[[#This Row],[FechaVenc]]-ARTICULOS_OSLE[[#This Row],[DiasVenc]])</f>
        <v>#VALUE!</v>
      </c>
      <c r="AO159" s="30" t="s">
        <v>8689</v>
      </c>
    </row>
    <row r="160" spans="1:41" ht="15.75" hidden="1" x14ac:dyDescent="0.25">
      <c r="A160" s="1" t="s">
        <v>9832</v>
      </c>
      <c r="B160" s="30">
        <v>1263312</v>
      </c>
      <c r="C160" t="str">
        <f t="shared" si="12"/>
        <v>KIO77939722</v>
      </c>
      <c r="D160" t="s">
        <v>8689</v>
      </c>
      <c r="E160" s="1" t="s">
        <v>9833</v>
      </c>
      <c r="F160" s="61">
        <f>VLOOKUP(ARTICULOS_GOLOMAX[[#This Row],[CodigoProveedor]],'PRECIOS GOLOMAX'!$A$1:$C$10000,3,FALSE)</f>
        <v>522.54999999999995</v>
      </c>
      <c r="G160" s="3">
        <v>0</v>
      </c>
      <c r="H160" s="3">
        <v>0</v>
      </c>
      <c r="I160">
        <v>1</v>
      </c>
      <c r="J160">
        <v>1</v>
      </c>
      <c r="K160" s="4"/>
      <c r="L160" s="65">
        <f>((ARTICULOS_GOLOMAX[[#This Row],[P. Compra]]*(1+ARTICULOS_GOLOMAX[[#This Row],[IVA]]%))/ARTICULOS_GOLOMAX[[#This Row],[UnidFact]])+ARTICULOS_GOLOMAX[[#This Row],[CostoFlete]]</f>
        <v>522.54999999999995</v>
      </c>
      <c r="M160">
        <v>30</v>
      </c>
      <c r="N160" s="63">
        <f t="shared" si="13"/>
        <v>750</v>
      </c>
      <c r="O160" s="3">
        <f>MROUND((ARTICULOS_GOLOMAX[[#This Row],[Precio]]/0.6),50)</f>
        <v>1250</v>
      </c>
      <c r="P160" t="s">
        <v>8693</v>
      </c>
      <c r="Q160">
        <v>3</v>
      </c>
      <c r="R160" s="42">
        <v>15</v>
      </c>
      <c r="S160" t="s">
        <v>17</v>
      </c>
      <c r="T160" t="s">
        <v>27</v>
      </c>
      <c r="U160" t="s">
        <v>28</v>
      </c>
      <c r="V160" t="s">
        <v>9773</v>
      </c>
      <c r="W160" t="s">
        <v>8692</v>
      </c>
      <c r="X160">
        <v>1</v>
      </c>
      <c r="Y160">
        <v>0</v>
      </c>
      <c r="AB160" s="80" t="e">
        <f>ARTICULOS_OSLE[[#This Row],[Costo]]*ARTICULOS_OSLE[[#This Row],[Pedido]]</f>
        <v>#VALUE!</v>
      </c>
      <c r="AH160" s="2" t="e">
        <f>IF(AND(ARTICULOS_OSLE[[#This Row],[FechaVenc]]=0,ARTICULOS_OSLE[[#This Row],[DiasVenc]]=0),"",ARTICULOS_OSLE[[#This Row],[FechaVenc]]-ARTICULOS_OSLE[[#This Row],[DiasVenc]])</f>
        <v>#VALUE!</v>
      </c>
      <c r="AO160" s="30" t="s">
        <v>8689</v>
      </c>
    </row>
    <row r="161" spans="1:41" ht="15.75" hidden="1" x14ac:dyDescent="0.25">
      <c r="A161" s="1" t="s">
        <v>9834</v>
      </c>
      <c r="B161">
        <v>1143512</v>
      </c>
      <c r="C161" t="str">
        <f t="shared" si="12"/>
        <v>KIO24396994</v>
      </c>
      <c r="D161" t="s">
        <v>8689</v>
      </c>
      <c r="E161" s="1" t="s">
        <v>9835</v>
      </c>
      <c r="F161" s="61">
        <f>VLOOKUP(ARTICULOS_GOLOMAX[[#This Row],[CodigoProveedor]],'PRECIOS GOLOMAX'!$A$1:$C$10000,3,FALSE)</f>
        <v>6792.48</v>
      </c>
      <c r="G161" s="3">
        <v>0</v>
      </c>
      <c r="H161" s="3">
        <v>0</v>
      </c>
      <c r="I161">
        <v>1</v>
      </c>
      <c r="J161">
        <v>1</v>
      </c>
      <c r="K161" s="4"/>
      <c r="L161" s="65">
        <f>((ARTICULOS_GOLOMAX[[#This Row],[P. Compra]]*(1+ARTICULOS_GOLOMAX[[#This Row],[IVA]]%))/ARTICULOS_GOLOMAX[[#This Row],[UnidFact]])+ARTICULOS_GOLOMAX[[#This Row],[CostoFlete]]</f>
        <v>6792.48</v>
      </c>
      <c r="M161">
        <v>30</v>
      </c>
      <c r="N161" s="63">
        <f t="shared" si="13"/>
        <v>9700</v>
      </c>
      <c r="O161" s="3">
        <f>MROUND((ARTICULOS_GOLOMAX[[#This Row],[Precio]]/0.6),50)</f>
        <v>16150</v>
      </c>
      <c r="P161" t="s">
        <v>8693</v>
      </c>
      <c r="Q161">
        <v>2</v>
      </c>
      <c r="R161" s="42">
        <v>6</v>
      </c>
      <c r="S161" t="s">
        <v>17</v>
      </c>
      <c r="T161" t="s">
        <v>27</v>
      </c>
      <c r="U161" t="s">
        <v>28</v>
      </c>
      <c r="V161" t="s">
        <v>8875</v>
      </c>
      <c r="W161" t="s">
        <v>8692</v>
      </c>
      <c r="X161">
        <v>1</v>
      </c>
      <c r="Y161">
        <v>0</v>
      </c>
      <c r="AB161" s="80" t="e">
        <f>ARTICULOS_OSLE[[#This Row],[Costo]]*ARTICULOS_OSLE[[#This Row],[Pedido]]</f>
        <v>#VALUE!</v>
      </c>
      <c r="AH161" s="2" t="e">
        <f>IF(AND(ARTICULOS_OSLE[[#This Row],[FechaVenc]]=0,ARTICULOS_OSLE[[#This Row],[DiasVenc]]=0),"",ARTICULOS_OSLE[[#This Row],[FechaVenc]]-ARTICULOS_OSLE[[#This Row],[DiasVenc]])</f>
        <v>#VALUE!</v>
      </c>
      <c r="AO161" s="30" t="s">
        <v>8689</v>
      </c>
    </row>
    <row r="162" spans="1:41" ht="15.75" hidden="1" x14ac:dyDescent="0.25">
      <c r="A162" s="1" t="s">
        <v>9836</v>
      </c>
      <c r="B162">
        <v>1143524</v>
      </c>
      <c r="C162" t="str">
        <f t="shared" si="12"/>
        <v>KIO00009673</v>
      </c>
      <c r="D162" t="s">
        <v>8689</v>
      </c>
      <c r="E162" s="1" t="s">
        <v>9837</v>
      </c>
      <c r="F162" s="61">
        <f>VLOOKUP(ARTICULOS_GOLOMAX[[#This Row],[CodigoProveedor]],'PRECIOS GOLOMAX'!$A$1:$C$10000,3,FALSE)</f>
        <v>12850.76</v>
      </c>
      <c r="G162" s="3">
        <v>0</v>
      </c>
      <c r="H162" s="3">
        <v>0</v>
      </c>
      <c r="I162">
        <v>1</v>
      </c>
      <c r="J162">
        <v>1</v>
      </c>
      <c r="K162" s="4"/>
      <c r="L162" s="65">
        <f>((ARTICULOS_GOLOMAX[[#This Row],[P. Compra]]*(1+ARTICULOS_GOLOMAX[[#This Row],[IVA]]%))/ARTICULOS_GOLOMAX[[#This Row],[UnidFact]])+ARTICULOS_GOLOMAX[[#This Row],[CostoFlete]]</f>
        <v>12850.76</v>
      </c>
      <c r="M162">
        <v>30</v>
      </c>
      <c r="N162" s="63">
        <f t="shared" si="13"/>
        <v>18350</v>
      </c>
      <c r="O162" s="3">
        <f>MROUND((ARTICULOS_GOLOMAX[[#This Row],[Precio]]/0.6),50)</f>
        <v>30600</v>
      </c>
      <c r="P162" t="s">
        <v>8693</v>
      </c>
      <c r="Q162">
        <v>2</v>
      </c>
      <c r="R162" s="42">
        <v>6</v>
      </c>
      <c r="S162" t="s">
        <v>17</v>
      </c>
      <c r="T162" t="s">
        <v>27</v>
      </c>
      <c r="U162" t="s">
        <v>28</v>
      </c>
      <c r="V162" t="s">
        <v>8875</v>
      </c>
      <c r="W162" t="s">
        <v>8692</v>
      </c>
      <c r="X162">
        <v>1</v>
      </c>
      <c r="Y162">
        <v>0</v>
      </c>
      <c r="AB162" s="80" t="e">
        <f>ARTICULOS_OSLE[[#This Row],[Costo]]*ARTICULOS_OSLE[[#This Row],[Pedido]]</f>
        <v>#VALUE!</v>
      </c>
      <c r="AH162" s="2" t="e">
        <f>IF(AND(ARTICULOS_OSLE[[#This Row],[FechaVenc]]=0,ARTICULOS_OSLE[[#This Row],[DiasVenc]]=0),"",ARTICULOS_OSLE[[#This Row],[FechaVenc]]-ARTICULOS_OSLE[[#This Row],[DiasVenc]])</f>
        <v>#VALUE!</v>
      </c>
      <c r="AO162" s="30" t="s">
        <v>8689</v>
      </c>
    </row>
    <row r="163" spans="1:41" ht="15.75" hidden="1" x14ac:dyDescent="0.25">
      <c r="A163" s="1" t="s">
        <v>9838</v>
      </c>
      <c r="B163">
        <v>1143503</v>
      </c>
      <c r="C163" t="str">
        <f t="shared" si="12"/>
        <v>KIO78909434</v>
      </c>
      <c r="D163" t="s">
        <v>8689</v>
      </c>
      <c r="E163" s="1" t="s">
        <v>9839</v>
      </c>
      <c r="F163" s="61">
        <f>VLOOKUP(ARTICULOS_GOLOMAX[[#This Row],[CodigoProveedor]],'PRECIOS GOLOMAX'!$A$1:$C$10000,3,FALSE)</f>
        <v>1457.75</v>
      </c>
      <c r="G163" s="3">
        <v>0</v>
      </c>
      <c r="H163" s="3">
        <v>0</v>
      </c>
      <c r="I163">
        <v>1</v>
      </c>
      <c r="J163">
        <v>1</v>
      </c>
      <c r="K163" s="4"/>
      <c r="L163" s="65">
        <f>((ARTICULOS_GOLOMAX[[#This Row],[P. Compra]]*(1+ARTICULOS_GOLOMAX[[#This Row],[IVA]]%))/ARTICULOS_GOLOMAX[[#This Row],[UnidFact]])+ARTICULOS_GOLOMAX[[#This Row],[CostoFlete]]</f>
        <v>1457.75</v>
      </c>
      <c r="M163">
        <v>30</v>
      </c>
      <c r="N163" s="63">
        <f t="shared" si="13"/>
        <v>2100</v>
      </c>
      <c r="O163" s="3">
        <f>MROUND((ARTICULOS_GOLOMAX[[#This Row],[Precio]]/0.6),50)</f>
        <v>3500</v>
      </c>
      <c r="P163" t="s">
        <v>8693</v>
      </c>
      <c r="Q163">
        <v>2</v>
      </c>
      <c r="R163" s="42">
        <v>14</v>
      </c>
      <c r="S163" t="s">
        <v>17</v>
      </c>
      <c r="T163" t="s">
        <v>27</v>
      </c>
      <c r="U163" t="s">
        <v>28</v>
      </c>
      <c r="V163" t="s">
        <v>8875</v>
      </c>
      <c r="W163" t="s">
        <v>8692</v>
      </c>
      <c r="X163">
        <v>1</v>
      </c>
      <c r="Y163">
        <v>0</v>
      </c>
      <c r="AB163" s="80" t="e">
        <f>ARTICULOS_OSLE[[#This Row],[Costo]]*ARTICULOS_OSLE[[#This Row],[Pedido]]</f>
        <v>#VALUE!</v>
      </c>
      <c r="AH163" s="2" t="e">
        <f>IF(AND(ARTICULOS_OSLE[[#This Row],[FechaVenc]]=0,ARTICULOS_OSLE[[#This Row],[DiasVenc]]=0),"",ARTICULOS_OSLE[[#This Row],[FechaVenc]]-ARTICULOS_OSLE[[#This Row],[DiasVenc]])</f>
        <v>#VALUE!</v>
      </c>
      <c r="AO163" s="30" t="s">
        <v>8689</v>
      </c>
    </row>
    <row r="164" spans="1:41" ht="15.75" hidden="1" x14ac:dyDescent="0.25">
      <c r="A164" s="1" t="s">
        <v>9840</v>
      </c>
      <c r="B164">
        <v>1143504</v>
      </c>
      <c r="C164" t="str">
        <f t="shared" si="12"/>
        <v>KIO24397861</v>
      </c>
      <c r="D164" t="s">
        <v>8689</v>
      </c>
      <c r="E164" s="1" t="s">
        <v>9841</v>
      </c>
      <c r="F164" s="61">
        <f>VLOOKUP(ARTICULOS_GOLOMAX[[#This Row],[CodigoProveedor]],'PRECIOS GOLOMAX'!$A$1:$C$10000,3,FALSE)</f>
        <v>2311.4699999999998</v>
      </c>
      <c r="G164" s="3">
        <v>0</v>
      </c>
      <c r="H164" s="3">
        <v>0</v>
      </c>
      <c r="I164">
        <v>1</v>
      </c>
      <c r="J164">
        <v>1</v>
      </c>
      <c r="K164" s="4"/>
      <c r="L164" s="65">
        <f>((ARTICULOS_GOLOMAX[[#This Row],[P. Compra]]*(1+ARTICULOS_GOLOMAX[[#This Row],[IVA]]%))/ARTICULOS_GOLOMAX[[#This Row],[UnidFact]])+ARTICULOS_GOLOMAX[[#This Row],[CostoFlete]]</f>
        <v>2311.4699999999998</v>
      </c>
      <c r="M164">
        <v>30</v>
      </c>
      <c r="N164" s="63">
        <f t="shared" si="13"/>
        <v>3300</v>
      </c>
      <c r="O164" s="3">
        <f>MROUND((ARTICULOS_GOLOMAX[[#This Row],[Precio]]/0.6),50)</f>
        <v>5500</v>
      </c>
      <c r="P164" t="s">
        <v>8693</v>
      </c>
      <c r="Q164">
        <v>2</v>
      </c>
      <c r="R164" s="42">
        <v>10</v>
      </c>
      <c r="S164" t="s">
        <v>17</v>
      </c>
      <c r="T164" t="s">
        <v>27</v>
      </c>
      <c r="U164" t="s">
        <v>28</v>
      </c>
      <c r="V164" t="s">
        <v>8875</v>
      </c>
      <c r="W164" t="s">
        <v>8692</v>
      </c>
      <c r="X164">
        <v>1</v>
      </c>
      <c r="Y164">
        <v>0</v>
      </c>
      <c r="AB164" s="80" t="e">
        <f>ARTICULOS_OSLE[[#This Row],[Costo]]*ARTICULOS_OSLE[[#This Row],[Pedido]]</f>
        <v>#VALUE!</v>
      </c>
      <c r="AH164" s="2" t="e">
        <f>IF(AND(ARTICULOS_OSLE[[#This Row],[FechaVenc]]=0,ARTICULOS_OSLE[[#This Row],[DiasVenc]]=0),"",ARTICULOS_OSLE[[#This Row],[FechaVenc]]-ARTICULOS_OSLE[[#This Row],[DiasVenc]])</f>
        <v>#VALUE!</v>
      </c>
      <c r="AO164" s="30" t="s">
        <v>8689</v>
      </c>
    </row>
    <row r="165" spans="1:41" ht="15.75" hidden="1" x14ac:dyDescent="0.25">
      <c r="A165" s="1" t="s">
        <v>9842</v>
      </c>
      <c r="B165">
        <v>1143508</v>
      </c>
      <c r="C165" t="str">
        <f t="shared" si="12"/>
        <v>KIO02900117</v>
      </c>
      <c r="D165" t="s">
        <v>8689</v>
      </c>
      <c r="E165" s="1" t="s">
        <v>9843</v>
      </c>
      <c r="F165" s="61">
        <f>VLOOKUP(ARTICULOS_GOLOMAX[[#This Row],[CodigoProveedor]],'PRECIOS GOLOMAX'!$A$1:$C$10000,3,FALSE)</f>
        <v>5540.02</v>
      </c>
      <c r="G165" s="3">
        <v>0</v>
      </c>
      <c r="H165" s="3">
        <v>0</v>
      </c>
      <c r="I165">
        <v>1</v>
      </c>
      <c r="J165">
        <v>1</v>
      </c>
      <c r="K165" s="4"/>
      <c r="L165" s="65">
        <f>((ARTICULOS_GOLOMAX[[#This Row],[P. Compra]]*(1+ARTICULOS_GOLOMAX[[#This Row],[IVA]]%))/ARTICULOS_GOLOMAX[[#This Row],[UnidFact]])+ARTICULOS_GOLOMAX[[#This Row],[CostoFlete]]</f>
        <v>5540.02</v>
      </c>
      <c r="M165">
        <v>30</v>
      </c>
      <c r="N165" s="63">
        <f t="shared" si="13"/>
        <v>7900</v>
      </c>
      <c r="O165" s="3">
        <f>MROUND((ARTICULOS_GOLOMAX[[#This Row],[Precio]]/0.6),50)</f>
        <v>13150</v>
      </c>
      <c r="P165" t="s">
        <v>8693</v>
      </c>
      <c r="Q165">
        <v>2</v>
      </c>
      <c r="R165" s="42">
        <v>6</v>
      </c>
      <c r="S165" t="s">
        <v>17</v>
      </c>
      <c r="T165" t="s">
        <v>27</v>
      </c>
      <c r="U165" t="s">
        <v>28</v>
      </c>
      <c r="V165" t="s">
        <v>8875</v>
      </c>
      <c r="W165" t="s">
        <v>8692</v>
      </c>
      <c r="X165">
        <v>1</v>
      </c>
      <c r="Y165">
        <v>0</v>
      </c>
      <c r="AB165" s="80" t="e">
        <f>ARTICULOS_OSLE[[#This Row],[Costo]]*ARTICULOS_OSLE[[#This Row],[Pedido]]</f>
        <v>#VALUE!</v>
      </c>
      <c r="AH165" s="2" t="e">
        <f>IF(AND(ARTICULOS_OSLE[[#This Row],[FechaVenc]]=0,ARTICULOS_OSLE[[#This Row],[DiasVenc]]=0),"",ARTICULOS_OSLE[[#This Row],[FechaVenc]]-ARTICULOS_OSLE[[#This Row],[DiasVenc]])</f>
        <v>#VALUE!</v>
      </c>
      <c r="AO165" s="30" t="s">
        <v>8689</v>
      </c>
    </row>
    <row r="166" spans="1:41" ht="15.75" hidden="1" x14ac:dyDescent="0.25">
      <c r="A166" s="1" t="s">
        <v>9845</v>
      </c>
      <c r="B166" s="30">
        <v>1211538</v>
      </c>
      <c r="C166" t="str">
        <f t="shared" si="12"/>
        <v>KIO12066419</v>
      </c>
      <c r="D166" t="s">
        <v>8689</v>
      </c>
      <c r="E166" s="1" t="s">
        <v>9846</v>
      </c>
      <c r="F166" s="61">
        <f>VLOOKUP(ARTICULOS_GOLOMAX[[#This Row],[CodigoProveedor]],'PRECIOS GOLOMAX'!$A$1:$C$10000,3,FALSE)</f>
        <v>327.14</v>
      </c>
      <c r="G166" s="3">
        <v>0</v>
      </c>
      <c r="H166" s="3">
        <v>0</v>
      </c>
      <c r="I166">
        <v>1</v>
      </c>
      <c r="J166">
        <v>1</v>
      </c>
      <c r="K166" s="4"/>
      <c r="L166" s="65">
        <f>((ARTICULOS_GOLOMAX[[#This Row],[P. Compra]]*(1+ARTICULOS_GOLOMAX[[#This Row],[IVA]]%))/ARTICULOS_GOLOMAX[[#This Row],[UnidFact]])+ARTICULOS_GOLOMAX[[#This Row],[CostoFlete]]</f>
        <v>327.14</v>
      </c>
      <c r="M166">
        <v>30</v>
      </c>
      <c r="N166" s="63">
        <f t="shared" si="13"/>
        <v>450</v>
      </c>
      <c r="O166" s="3">
        <f>MROUND((ARTICULOS_GOLOMAX[[#This Row],[Precio]]/0.6),50)</f>
        <v>750</v>
      </c>
      <c r="P166" t="s">
        <v>8693</v>
      </c>
      <c r="Q166">
        <v>2</v>
      </c>
      <c r="R166" s="42">
        <v>10</v>
      </c>
      <c r="S166" t="s">
        <v>17</v>
      </c>
      <c r="T166" t="s">
        <v>27</v>
      </c>
      <c r="U166" t="s">
        <v>28</v>
      </c>
      <c r="V166" t="s">
        <v>9844</v>
      </c>
      <c r="W166" t="s">
        <v>8692</v>
      </c>
      <c r="X166">
        <v>1</v>
      </c>
      <c r="Y166">
        <v>0</v>
      </c>
      <c r="AB166" s="80" t="e">
        <f>ARTICULOS_OSLE[[#This Row],[Costo]]*ARTICULOS_OSLE[[#This Row],[Pedido]]</f>
        <v>#VALUE!</v>
      </c>
      <c r="AH166" s="2" t="e">
        <f>IF(AND(ARTICULOS_OSLE[[#This Row],[FechaVenc]]=0,ARTICULOS_OSLE[[#This Row],[DiasVenc]]=0),"",ARTICULOS_OSLE[[#This Row],[FechaVenc]]-ARTICULOS_OSLE[[#This Row],[DiasVenc]])</f>
        <v>#VALUE!</v>
      </c>
      <c r="AO166" s="30" t="s">
        <v>8689</v>
      </c>
    </row>
    <row r="167" spans="1:41" ht="15.75" hidden="1" x14ac:dyDescent="0.25">
      <c r="A167" s="1" t="s">
        <v>9847</v>
      </c>
      <c r="B167" s="30">
        <v>1211536</v>
      </c>
      <c r="C167" t="str">
        <f t="shared" si="12"/>
        <v>KIO80137649</v>
      </c>
      <c r="D167" t="s">
        <v>8689</v>
      </c>
      <c r="E167" s="1" t="s">
        <v>9848</v>
      </c>
      <c r="F167" s="61">
        <f>VLOOKUP(ARTICULOS_GOLOMAX[[#This Row],[CodigoProveedor]],'PRECIOS GOLOMAX'!$A$1:$C$10000,3,FALSE)</f>
        <v>326.83</v>
      </c>
      <c r="G167" s="3">
        <v>0</v>
      </c>
      <c r="H167" s="3">
        <v>0</v>
      </c>
      <c r="I167">
        <v>1</v>
      </c>
      <c r="J167">
        <v>1</v>
      </c>
      <c r="K167" s="4"/>
      <c r="L167" s="65">
        <f>((ARTICULOS_GOLOMAX[[#This Row],[P. Compra]]*(1+ARTICULOS_GOLOMAX[[#This Row],[IVA]]%))/ARTICULOS_GOLOMAX[[#This Row],[UnidFact]])+ARTICULOS_GOLOMAX[[#This Row],[CostoFlete]]</f>
        <v>326.83</v>
      </c>
      <c r="M167">
        <v>30</v>
      </c>
      <c r="N167" s="63">
        <f t="shared" si="13"/>
        <v>450</v>
      </c>
      <c r="O167" s="3">
        <f>MROUND((ARTICULOS_GOLOMAX[[#This Row],[Precio]]/0.6),50)</f>
        <v>750</v>
      </c>
      <c r="P167" t="s">
        <v>8693</v>
      </c>
      <c r="Q167">
        <v>2</v>
      </c>
      <c r="R167" s="42">
        <v>10</v>
      </c>
      <c r="S167" t="s">
        <v>17</v>
      </c>
      <c r="T167" t="s">
        <v>27</v>
      </c>
      <c r="U167" t="s">
        <v>28</v>
      </c>
      <c r="V167" t="s">
        <v>9844</v>
      </c>
      <c r="W167" t="s">
        <v>8692</v>
      </c>
      <c r="X167">
        <v>1</v>
      </c>
      <c r="Y167">
        <v>4</v>
      </c>
      <c r="AB167" s="80" t="e">
        <f>ARTICULOS_OSLE[[#This Row],[Costo]]*ARTICULOS_OSLE[[#This Row],[Pedido]]</f>
        <v>#VALUE!</v>
      </c>
      <c r="AH167" s="2" t="e">
        <f>IF(AND(ARTICULOS_OSLE[[#This Row],[FechaVenc]]=0,ARTICULOS_OSLE[[#This Row],[DiasVenc]]=0),"",ARTICULOS_OSLE[[#This Row],[FechaVenc]]-ARTICULOS_OSLE[[#This Row],[DiasVenc]])</f>
        <v>#VALUE!</v>
      </c>
      <c r="AO167" s="30" t="s">
        <v>8689</v>
      </c>
    </row>
    <row r="168" spans="1:41" ht="15.75" hidden="1" x14ac:dyDescent="0.25">
      <c r="A168" s="1" t="s">
        <v>9849</v>
      </c>
      <c r="B168" s="30">
        <v>1211525</v>
      </c>
      <c r="C168" t="str">
        <f t="shared" si="12"/>
        <v>KIO12066310</v>
      </c>
      <c r="D168" t="s">
        <v>8689</v>
      </c>
      <c r="E168" s="1" t="s">
        <v>9850</v>
      </c>
      <c r="F168" s="61">
        <f>VLOOKUP(ARTICULOS_GOLOMAX[[#This Row],[CodigoProveedor]],'PRECIOS GOLOMAX'!$A$1:$C$10000,3,FALSE)</f>
        <v>327.14</v>
      </c>
      <c r="G168" s="3">
        <v>0</v>
      </c>
      <c r="H168" s="3">
        <v>0</v>
      </c>
      <c r="I168">
        <v>1</v>
      </c>
      <c r="J168">
        <v>1</v>
      </c>
      <c r="K168" s="4"/>
      <c r="L168" s="65">
        <f>((ARTICULOS_GOLOMAX[[#This Row],[P. Compra]]*(1+ARTICULOS_GOLOMAX[[#This Row],[IVA]]%))/ARTICULOS_GOLOMAX[[#This Row],[UnidFact]])+ARTICULOS_GOLOMAX[[#This Row],[CostoFlete]]</f>
        <v>327.14</v>
      </c>
      <c r="M168">
        <v>30</v>
      </c>
      <c r="N168" s="63">
        <f t="shared" si="13"/>
        <v>450</v>
      </c>
      <c r="O168" s="3">
        <f>MROUND((ARTICULOS_GOLOMAX[[#This Row],[Precio]]/0.6),50)</f>
        <v>750</v>
      </c>
      <c r="P168" t="s">
        <v>8693</v>
      </c>
      <c r="Q168">
        <v>2</v>
      </c>
      <c r="R168" s="42">
        <v>10</v>
      </c>
      <c r="S168" t="s">
        <v>17</v>
      </c>
      <c r="T168" t="s">
        <v>27</v>
      </c>
      <c r="U168" t="s">
        <v>28</v>
      </c>
      <c r="V168" t="s">
        <v>9844</v>
      </c>
      <c r="W168" t="s">
        <v>8692</v>
      </c>
      <c r="X168">
        <v>1</v>
      </c>
      <c r="Y168">
        <v>0</v>
      </c>
      <c r="AB168" s="80" t="e">
        <f>ARTICULOS_OSLE[[#This Row],[Costo]]*ARTICULOS_OSLE[[#This Row],[Pedido]]</f>
        <v>#VALUE!</v>
      </c>
      <c r="AH168" s="2" t="e">
        <f>IF(AND(ARTICULOS_OSLE[[#This Row],[FechaVenc]]=0,ARTICULOS_OSLE[[#This Row],[DiasVenc]]=0),"",ARTICULOS_OSLE[[#This Row],[FechaVenc]]-ARTICULOS_OSLE[[#This Row],[DiasVenc]])</f>
        <v>#VALUE!</v>
      </c>
      <c r="AO168" s="30" t="s">
        <v>8689</v>
      </c>
    </row>
    <row r="169" spans="1:41" ht="15.75" hidden="1" x14ac:dyDescent="0.25">
      <c r="A169" s="1" t="s">
        <v>9851</v>
      </c>
      <c r="B169" s="30">
        <v>1211524</v>
      </c>
      <c r="C169" t="str">
        <f t="shared" si="12"/>
        <v>KIO12066211</v>
      </c>
      <c r="D169" t="s">
        <v>8689</v>
      </c>
      <c r="E169" s="1" t="s">
        <v>9852</v>
      </c>
      <c r="F169" s="61">
        <f>VLOOKUP(ARTICULOS_GOLOMAX[[#This Row],[CodigoProveedor]],'PRECIOS GOLOMAX'!$A$1:$C$10000,3,FALSE)</f>
        <v>327.14</v>
      </c>
      <c r="G169" s="3">
        <v>0</v>
      </c>
      <c r="H169" s="3">
        <v>0</v>
      </c>
      <c r="I169">
        <v>1</v>
      </c>
      <c r="J169">
        <v>1</v>
      </c>
      <c r="K169" s="4"/>
      <c r="L169" s="65">
        <f>((ARTICULOS_GOLOMAX[[#This Row],[P. Compra]]*(1+ARTICULOS_GOLOMAX[[#This Row],[IVA]]%))/ARTICULOS_GOLOMAX[[#This Row],[UnidFact]])+ARTICULOS_GOLOMAX[[#This Row],[CostoFlete]]</f>
        <v>327.14</v>
      </c>
      <c r="M169">
        <v>30</v>
      </c>
      <c r="N169" s="63">
        <f t="shared" si="13"/>
        <v>450</v>
      </c>
      <c r="O169" s="3">
        <f>MROUND((ARTICULOS_GOLOMAX[[#This Row],[Precio]]/0.6),50)</f>
        <v>750</v>
      </c>
      <c r="P169" t="s">
        <v>8693</v>
      </c>
      <c r="Q169">
        <v>2</v>
      </c>
      <c r="R169" s="42">
        <v>10</v>
      </c>
      <c r="S169" t="s">
        <v>17</v>
      </c>
      <c r="T169" t="s">
        <v>27</v>
      </c>
      <c r="U169" t="s">
        <v>28</v>
      </c>
      <c r="V169" t="s">
        <v>9844</v>
      </c>
      <c r="W169" t="s">
        <v>8692</v>
      </c>
      <c r="X169">
        <v>1</v>
      </c>
      <c r="Y169">
        <v>0</v>
      </c>
      <c r="AB169" s="80" t="e">
        <f>ARTICULOS_OSLE[[#This Row],[Costo]]*ARTICULOS_OSLE[[#This Row],[Pedido]]</f>
        <v>#VALUE!</v>
      </c>
      <c r="AH169" s="2" t="e">
        <f>IF(AND(ARTICULOS_OSLE[[#This Row],[FechaVenc]]=0,ARTICULOS_OSLE[[#This Row],[DiasVenc]]=0),"",ARTICULOS_OSLE[[#This Row],[FechaVenc]]-ARTICULOS_OSLE[[#This Row],[DiasVenc]])</f>
        <v>#VALUE!</v>
      </c>
      <c r="AO169" s="30" t="s">
        <v>8689</v>
      </c>
    </row>
    <row r="170" spans="1:41" ht="15.75" hidden="1" x14ac:dyDescent="0.25">
      <c r="A170" s="1" t="s">
        <v>9853</v>
      </c>
      <c r="B170" s="30">
        <v>1211526</v>
      </c>
      <c r="C170" t="str">
        <f t="shared" si="12"/>
        <v>KIO12065719</v>
      </c>
      <c r="D170" t="s">
        <v>8689</v>
      </c>
      <c r="E170" s="1" t="s">
        <v>9854</v>
      </c>
      <c r="F170" s="61">
        <f>VLOOKUP(ARTICULOS_GOLOMAX[[#This Row],[CodigoProveedor]],'PRECIOS GOLOMAX'!$A$1:$C$10000,3,FALSE)</f>
        <v>327.14</v>
      </c>
      <c r="G170" s="3">
        <v>0</v>
      </c>
      <c r="H170" s="3">
        <v>0</v>
      </c>
      <c r="I170">
        <v>1</v>
      </c>
      <c r="J170">
        <v>1</v>
      </c>
      <c r="K170" s="4"/>
      <c r="L170" s="65">
        <f>((ARTICULOS_GOLOMAX[[#This Row],[P. Compra]]*(1+ARTICULOS_GOLOMAX[[#This Row],[IVA]]%))/ARTICULOS_GOLOMAX[[#This Row],[UnidFact]])+ARTICULOS_GOLOMAX[[#This Row],[CostoFlete]]</f>
        <v>327.14</v>
      </c>
      <c r="M170">
        <v>30</v>
      </c>
      <c r="N170" s="63">
        <f t="shared" si="13"/>
        <v>450</v>
      </c>
      <c r="O170" s="3">
        <f>MROUND((ARTICULOS_GOLOMAX[[#This Row],[Precio]]/0.6),50)</f>
        <v>750</v>
      </c>
      <c r="P170" t="s">
        <v>8693</v>
      </c>
      <c r="Q170">
        <v>2</v>
      </c>
      <c r="R170" s="42">
        <v>10</v>
      </c>
      <c r="S170" t="s">
        <v>17</v>
      </c>
      <c r="T170" t="s">
        <v>27</v>
      </c>
      <c r="U170" t="s">
        <v>28</v>
      </c>
      <c r="V170" t="s">
        <v>9844</v>
      </c>
      <c r="W170" t="s">
        <v>8692</v>
      </c>
      <c r="X170">
        <v>1</v>
      </c>
      <c r="Y170">
        <v>0</v>
      </c>
      <c r="AB170" s="80" t="e">
        <f>ARTICULOS_OSLE[[#This Row],[Costo]]*ARTICULOS_OSLE[[#This Row],[Pedido]]</f>
        <v>#VALUE!</v>
      </c>
      <c r="AH170" s="2" t="e">
        <f>IF(AND(ARTICULOS_OSLE[[#This Row],[FechaVenc]]=0,ARTICULOS_OSLE[[#This Row],[DiasVenc]]=0),"",ARTICULOS_OSLE[[#This Row],[FechaVenc]]-ARTICULOS_OSLE[[#This Row],[DiasVenc]])</f>
        <v>#VALUE!</v>
      </c>
      <c r="AO170" s="30" t="s">
        <v>8689</v>
      </c>
    </row>
    <row r="171" spans="1:41" ht="15.75" hidden="1" x14ac:dyDescent="0.25">
      <c r="A171" s="1" t="s">
        <v>9855</v>
      </c>
      <c r="B171" s="30">
        <v>1211500</v>
      </c>
      <c r="C171" t="str">
        <f t="shared" si="12"/>
        <v>KIO12491013</v>
      </c>
      <c r="D171" t="s">
        <v>8689</v>
      </c>
      <c r="E171" s="1" t="s">
        <v>9856</v>
      </c>
      <c r="F171" s="61">
        <f>VLOOKUP(ARTICULOS_GOLOMAX[[#This Row],[CodigoProveedor]],'PRECIOS GOLOMAX'!$A$1:$C$10000,3,FALSE)</f>
        <v>327.14</v>
      </c>
      <c r="G171" s="3">
        <v>0</v>
      </c>
      <c r="H171" s="3">
        <v>0</v>
      </c>
      <c r="I171">
        <v>1</v>
      </c>
      <c r="J171">
        <v>1</v>
      </c>
      <c r="K171" s="4"/>
      <c r="L171" s="65">
        <f>((ARTICULOS_GOLOMAX[[#This Row],[P. Compra]]*(1+ARTICULOS_GOLOMAX[[#This Row],[IVA]]%))/ARTICULOS_GOLOMAX[[#This Row],[UnidFact]])+ARTICULOS_GOLOMAX[[#This Row],[CostoFlete]]</f>
        <v>327.14</v>
      </c>
      <c r="M171">
        <v>30</v>
      </c>
      <c r="N171" s="63">
        <f t="shared" si="13"/>
        <v>450</v>
      </c>
      <c r="O171" s="3">
        <f>MROUND((ARTICULOS_GOLOMAX[[#This Row],[Precio]]/0.6),50)</f>
        <v>750</v>
      </c>
      <c r="P171" t="s">
        <v>8693</v>
      </c>
      <c r="Q171">
        <v>2</v>
      </c>
      <c r="R171" s="42">
        <v>10</v>
      </c>
      <c r="S171" t="s">
        <v>17</v>
      </c>
      <c r="T171" t="s">
        <v>27</v>
      </c>
      <c r="U171" t="s">
        <v>28</v>
      </c>
      <c r="V171" t="s">
        <v>9844</v>
      </c>
      <c r="W171" t="s">
        <v>8692</v>
      </c>
      <c r="X171">
        <v>1</v>
      </c>
      <c r="Y171">
        <v>2</v>
      </c>
      <c r="AB171" s="80" t="e">
        <f>ARTICULOS_OSLE[[#This Row],[Costo]]*ARTICULOS_OSLE[[#This Row],[Pedido]]</f>
        <v>#VALUE!</v>
      </c>
      <c r="AH171" s="2" t="e">
        <f>IF(AND(ARTICULOS_OSLE[[#This Row],[FechaVenc]]=0,ARTICULOS_OSLE[[#This Row],[DiasVenc]]=0),"",ARTICULOS_OSLE[[#This Row],[FechaVenc]]-ARTICULOS_OSLE[[#This Row],[DiasVenc]])</f>
        <v>#VALUE!</v>
      </c>
      <c r="AO171" s="30" t="s">
        <v>8689</v>
      </c>
    </row>
    <row r="172" spans="1:41" ht="15.75" hidden="1" x14ac:dyDescent="0.25">
      <c r="A172" s="1" t="s">
        <v>9857</v>
      </c>
      <c r="B172" s="30">
        <v>1211523</v>
      </c>
      <c r="C172" t="str">
        <f t="shared" si="12"/>
        <v>KIO12065917</v>
      </c>
      <c r="D172" t="s">
        <v>8689</v>
      </c>
      <c r="E172" s="1" t="s">
        <v>9858</v>
      </c>
      <c r="F172" s="61">
        <f>VLOOKUP(ARTICULOS_GOLOMAX[[#This Row],[CodigoProveedor]],'PRECIOS GOLOMAX'!$A$1:$C$10000,3,FALSE)</f>
        <v>327.14</v>
      </c>
      <c r="G172" s="3">
        <v>0</v>
      </c>
      <c r="H172" s="3">
        <v>0</v>
      </c>
      <c r="I172">
        <v>1</v>
      </c>
      <c r="J172">
        <v>1</v>
      </c>
      <c r="K172" s="4"/>
      <c r="L172" s="65">
        <f>((ARTICULOS_GOLOMAX[[#This Row],[P. Compra]]*(1+ARTICULOS_GOLOMAX[[#This Row],[IVA]]%))/ARTICULOS_GOLOMAX[[#This Row],[UnidFact]])+ARTICULOS_GOLOMAX[[#This Row],[CostoFlete]]</f>
        <v>327.14</v>
      </c>
      <c r="M172">
        <v>30</v>
      </c>
      <c r="N172" s="63">
        <f t="shared" si="13"/>
        <v>450</v>
      </c>
      <c r="O172" s="3">
        <f>MROUND((ARTICULOS_GOLOMAX[[#This Row],[Precio]]/0.6),50)</f>
        <v>750</v>
      </c>
      <c r="P172" t="s">
        <v>8693</v>
      </c>
      <c r="Q172">
        <v>2</v>
      </c>
      <c r="R172" s="42">
        <v>10</v>
      </c>
      <c r="S172" t="s">
        <v>17</v>
      </c>
      <c r="T172" t="s">
        <v>27</v>
      </c>
      <c r="U172" t="s">
        <v>28</v>
      </c>
      <c r="V172" t="s">
        <v>9844</v>
      </c>
      <c r="W172" t="s">
        <v>8692</v>
      </c>
      <c r="X172">
        <v>1</v>
      </c>
      <c r="Y172">
        <v>0</v>
      </c>
      <c r="AB172" s="80" t="e">
        <f>ARTICULOS_OSLE[[#This Row],[Costo]]*ARTICULOS_OSLE[[#This Row],[Pedido]]</f>
        <v>#VALUE!</v>
      </c>
      <c r="AH172" s="2" t="e">
        <f>IF(AND(ARTICULOS_OSLE[[#This Row],[FechaVenc]]=0,ARTICULOS_OSLE[[#This Row],[DiasVenc]]=0),"",ARTICULOS_OSLE[[#This Row],[FechaVenc]]-ARTICULOS_OSLE[[#This Row],[DiasVenc]])</f>
        <v>#VALUE!</v>
      </c>
      <c r="AO172" s="30" t="s">
        <v>8689</v>
      </c>
    </row>
    <row r="173" spans="1:41" ht="15.75" hidden="1" x14ac:dyDescent="0.25">
      <c r="A173" s="1" t="s">
        <v>9859</v>
      </c>
      <c r="B173">
        <v>1264148</v>
      </c>
      <c r="C173" t="str">
        <f t="shared" si="12"/>
        <v>KIO40084106</v>
      </c>
      <c r="D173" t="s">
        <v>8689</v>
      </c>
      <c r="E173" s="24" t="s">
        <v>11785</v>
      </c>
      <c r="F173" s="61">
        <f>VLOOKUP(ARTICULOS_GOLOMAX[[#This Row],[CodigoProveedor]],'PRECIOS GOLOMAX'!$A$1:$C$10000,3,FALSE)</f>
        <v>1223.8</v>
      </c>
      <c r="G173" s="3">
        <v>0</v>
      </c>
      <c r="H173" s="3">
        <v>0</v>
      </c>
      <c r="I173">
        <v>1</v>
      </c>
      <c r="J173">
        <v>1</v>
      </c>
      <c r="K173" s="4"/>
      <c r="L173" s="65">
        <f>((ARTICULOS_GOLOMAX[[#This Row],[P. Compra]]*(1+ARTICULOS_GOLOMAX[[#This Row],[IVA]]%))/ARTICULOS_GOLOMAX[[#This Row],[UnidFact]])+ARTICULOS_GOLOMAX[[#This Row],[CostoFlete]]</f>
        <v>1223.8</v>
      </c>
      <c r="M173">
        <v>40</v>
      </c>
      <c r="N173" s="63">
        <f t="shared" si="13"/>
        <v>2050</v>
      </c>
      <c r="O173" s="3">
        <f>MROUND((ARTICULOS_GOLOMAX[[#This Row],[Precio]]/0.6),50)</f>
        <v>3400</v>
      </c>
      <c r="P173" t="s">
        <v>8693</v>
      </c>
      <c r="Q173">
        <v>6</v>
      </c>
      <c r="R173" s="42">
        <v>18</v>
      </c>
      <c r="S173" t="s">
        <v>17</v>
      </c>
      <c r="T173" t="s">
        <v>27</v>
      </c>
      <c r="U173" t="s">
        <v>28</v>
      </c>
      <c r="V173" t="s">
        <v>8875</v>
      </c>
      <c r="W173" t="s">
        <v>8692</v>
      </c>
      <c r="X173">
        <v>1</v>
      </c>
      <c r="Y173">
        <v>35</v>
      </c>
      <c r="AB173" s="80" t="e">
        <f>ARTICULOS_OSLE[[#This Row],[Costo]]*ARTICULOS_OSLE[[#This Row],[Pedido]]</f>
        <v>#VALUE!</v>
      </c>
      <c r="AH173" s="2" t="e">
        <f>IF(AND(ARTICULOS_OSLE[[#This Row],[FechaVenc]]=0,ARTICULOS_OSLE[[#This Row],[DiasVenc]]=0),"",ARTICULOS_OSLE[[#This Row],[FechaVenc]]-ARTICULOS_OSLE[[#This Row],[DiasVenc]])</f>
        <v>#VALUE!</v>
      </c>
      <c r="AO173" s="30" t="s">
        <v>8689</v>
      </c>
    </row>
    <row r="174" spans="1:41" ht="15.75" hidden="1" x14ac:dyDescent="0.25">
      <c r="A174" s="1" t="s">
        <v>9860</v>
      </c>
      <c r="B174">
        <v>1381105</v>
      </c>
      <c r="C174" t="str">
        <f t="shared" si="12"/>
        <v>KIO40084107</v>
      </c>
      <c r="D174" t="s">
        <v>8689</v>
      </c>
      <c r="E174" s="1" t="s">
        <v>9861</v>
      </c>
      <c r="F174" s="61">
        <f>VLOOKUP(ARTICULOS_GOLOMAX[[#This Row],[CodigoProveedor]],'PRECIOS GOLOMAX'!$A$1:$C$10000,3,FALSE)</f>
        <v>14685.59</v>
      </c>
      <c r="G174" s="3">
        <v>0</v>
      </c>
      <c r="H174" s="3">
        <v>0</v>
      </c>
      <c r="I174">
        <v>12</v>
      </c>
      <c r="J174">
        <v>12</v>
      </c>
      <c r="K174" s="4"/>
      <c r="L174" s="65">
        <f>((ARTICULOS_GOLOMAX[[#This Row],[P. Compra]]*(1+ARTICULOS_GOLOMAX[[#This Row],[IVA]]%))/ARTICULOS_GOLOMAX[[#This Row],[UnidFact]])+ARTICULOS_GOLOMAX[[#This Row],[CostoFlete]]</f>
        <v>1223.7991666666667</v>
      </c>
      <c r="M174">
        <v>40</v>
      </c>
      <c r="N174" s="63">
        <f t="shared" si="13"/>
        <v>2050</v>
      </c>
      <c r="O174" s="3">
        <f>MROUND((ARTICULOS_GOLOMAX[[#This Row],[Precio]]/0.6),50)</f>
        <v>3400</v>
      </c>
      <c r="P174" t="s">
        <v>8693</v>
      </c>
      <c r="Q174">
        <v>6</v>
      </c>
      <c r="R174" s="42">
        <f>ARTICULOS_GOLOMAX[[#This Row],[Bulto]]+ARTICULOS_GOLOMAX[[#This Row],[Minimo]]</f>
        <v>18</v>
      </c>
      <c r="S174" t="s">
        <v>17</v>
      </c>
      <c r="T174" t="s">
        <v>27</v>
      </c>
      <c r="U174" t="s">
        <v>28</v>
      </c>
      <c r="V174" t="s">
        <v>8875</v>
      </c>
      <c r="W174" t="s">
        <v>8692</v>
      </c>
      <c r="X174">
        <v>1</v>
      </c>
      <c r="Y174">
        <v>0</v>
      </c>
      <c r="AB174" s="80" t="e">
        <f>ARTICULOS_OSLE[[#This Row],[Costo]]*ARTICULOS_OSLE[[#This Row],[Pedido]]</f>
        <v>#VALUE!</v>
      </c>
      <c r="AH174" s="2" t="e">
        <f>IF(AND(ARTICULOS_OSLE[[#This Row],[FechaVenc]]=0,ARTICULOS_OSLE[[#This Row],[DiasVenc]]=0),"",ARTICULOS_OSLE[[#This Row],[FechaVenc]]-ARTICULOS_OSLE[[#This Row],[DiasVenc]])</f>
        <v>#VALUE!</v>
      </c>
      <c r="AO174" s="30" t="s">
        <v>8689</v>
      </c>
    </row>
    <row r="175" spans="1:41" ht="15.75" hidden="1" x14ac:dyDescent="0.25">
      <c r="A175" s="1" t="s">
        <v>9862</v>
      </c>
      <c r="B175">
        <v>1381199</v>
      </c>
      <c r="C175" t="str">
        <f t="shared" si="12"/>
        <v>KIO78931053</v>
      </c>
      <c r="D175" t="s">
        <v>8689</v>
      </c>
      <c r="E175" s="1" t="s">
        <v>9863</v>
      </c>
      <c r="F175" s="61">
        <f>VLOOKUP(ARTICULOS_GOLOMAX[[#This Row],[CodigoProveedor]],'PRECIOS GOLOMAX'!$A$1:$C$10000,3,FALSE)</f>
        <v>14685.59</v>
      </c>
      <c r="G175" s="3">
        <v>0</v>
      </c>
      <c r="H175" s="3">
        <v>0</v>
      </c>
      <c r="I175">
        <v>12</v>
      </c>
      <c r="J175">
        <v>12</v>
      </c>
      <c r="K175" s="4"/>
      <c r="L175" s="65">
        <f>((ARTICULOS_GOLOMAX[[#This Row],[P. Compra]]*(1+ARTICULOS_GOLOMAX[[#This Row],[IVA]]%))/ARTICULOS_GOLOMAX[[#This Row],[UnidFact]])+ARTICULOS_GOLOMAX[[#This Row],[CostoFlete]]</f>
        <v>1223.7991666666667</v>
      </c>
      <c r="M175">
        <v>40</v>
      </c>
      <c r="N175" s="63">
        <f t="shared" si="13"/>
        <v>2050</v>
      </c>
      <c r="O175" s="3">
        <f>MROUND((ARTICULOS_GOLOMAX[[#This Row],[Precio]]/0.6),50)</f>
        <v>3400</v>
      </c>
      <c r="P175" t="s">
        <v>8693</v>
      </c>
      <c r="Q175">
        <v>6</v>
      </c>
      <c r="R175" s="42">
        <f>ARTICULOS_GOLOMAX[[#This Row],[Bulto]]+ARTICULOS_GOLOMAX[[#This Row],[Minimo]]</f>
        <v>18</v>
      </c>
      <c r="S175" t="s">
        <v>17</v>
      </c>
      <c r="T175" t="s">
        <v>27</v>
      </c>
      <c r="U175" t="s">
        <v>28</v>
      </c>
      <c r="V175" t="s">
        <v>8875</v>
      </c>
      <c r="W175" t="s">
        <v>8692</v>
      </c>
      <c r="X175">
        <v>1</v>
      </c>
      <c r="Y175">
        <v>7</v>
      </c>
      <c r="AB175" s="80" t="e">
        <f>ARTICULOS_OSLE[[#This Row],[Costo]]*ARTICULOS_OSLE[[#This Row],[Pedido]]</f>
        <v>#VALUE!</v>
      </c>
      <c r="AH175" s="2" t="e">
        <f>IF(AND(ARTICULOS_OSLE[[#This Row],[FechaVenc]]=0,ARTICULOS_OSLE[[#This Row],[DiasVenc]]=0),"",ARTICULOS_OSLE[[#This Row],[FechaVenc]]-ARTICULOS_OSLE[[#This Row],[DiasVenc]])</f>
        <v>#VALUE!</v>
      </c>
      <c r="AO175" s="30" t="s">
        <v>8689</v>
      </c>
    </row>
    <row r="176" spans="1:41" ht="15.75" hidden="1" x14ac:dyDescent="0.25">
      <c r="A176" s="1" t="s">
        <v>9864</v>
      </c>
      <c r="B176">
        <v>1217000</v>
      </c>
      <c r="C176" t="str">
        <f t="shared" si="12"/>
        <v>KIO80052760</v>
      </c>
      <c r="D176" t="s">
        <v>8689</v>
      </c>
      <c r="E176" s="1" t="s">
        <v>9865</v>
      </c>
      <c r="F176" s="61">
        <f>VLOOKUP(ARTICULOS_GOLOMAX[[#This Row],[CodigoProveedor]],'PRECIOS GOLOMAX'!$A$1:$C$10000,3,FALSE)</f>
        <v>1800.06</v>
      </c>
      <c r="G176" s="3">
        <v>0</v>
      </c>
      <c r="H176" s="3">
        <v>0</v>
      </c>
      <c r="I176">
        <v>1</v>
      </c>
      <c r="J176">
        <v>1</v>
      </c>
      <c r="K176" s="4"/>
      <c r="L176" s="65">
        <f>((ARTICULOS_GOLOMAX[[#This Row],[P. Compra]]*(1+ARTICULOS_GOLOMAX[[#This Row],[IVA]]%))/ARTICULOS_GOLOMAX[[#This Row],[UnidFact]])+ARTICULOS_GOLOMAX[[#This Row],[CostoFlete]]</f>
        <v>1800.06</v>
      </c>
      <c r="M176">
        <v>30</v>
      </c>
      <c r="N176" s="63">
        <f t="shared" si="13"/>
        <v>2550</v>
      </c>
      <c r="O176" s="3">
        <f>MROUND((ARTICULOS_GOLOMAX[[#This Row],[Precio]]/0.6),50)</f>
        <v>4250</v>
      </c>
      <c r="P176" t="s">
        <v>8693</v>
      </c>
      <c r="Q176">
        <v>2</v>
      </c>
      <c r="R176" s="42">
        <v>6</v>
      </c>
      <c r="S176" t="s">
        <v>17</v>
      </c>
      <c r="T176" t="s">
        <v>27</v>
      </c>
      <c r="U176" t="s">
        <v>28</v>
      </c>
      <c r="V176" t="s">
        <v>8875</v>
      </c>
      <c r="W176" t="s">
        <v>8692</v>
      </c>
      <c r="X176">
        <v>1</v>
      </c>
      <c r="Y176">
        <v>0</v>
      </c>
      <c r="AB176" s="80" t="e">
        <f>ARTICULOS_OSLE[[#This Row],[Costo]]*ARTICULOS_OSLE[[#This Row],[Pedido]]</f>
        <v>#VALUE!</v>
      </c>
      <c r="AH176" s="2" t="e">
        <f>IF(AND(ARTICULOS_OSLE[[#This Row],[FechaVenc]]=0,ARTICULOS_OSLE[[#This Row],[DiasVenc]]=0),"",ARTICULOS_OSLE[[#This Row],[FechaVenc]]-ARTICULOS_OSLE[[#This Row],[DiasVenc]])</f>
        <v>#VALUE!</v>
      </c>
      <c r="AO176" s="30" t="s">
        <v>8689</v>
      </c>
    </row>
    <row r="177" spans="1:41" ht="15.75" hidden="1" x14ac:dyDescent="0.25">
      <c r="A177" s="24" t="s">
        <v>11786</v>
      </c>
      <c r="B177">
        <v>1217000</v>
      </c>
      <c r="C177" t="str">
        <f t="shared" si="12"/>
        <v>KIO80761761</v>
      </c>
      <c r="D177" t="s">
        <v>8689</v>
      </c>
      <c r="E177" s="24" t="s">
        <v>11787</v>
      </c>
      <c r="F177" s="61">
        <f>VLOOKUP(ARTICULOS_GOLOMAX[[#This Row],[CodigoProveedor]],'PRECIOS GOLOMAX'!$A$1:$C$10000,3,FALSE)</f>
        <v>1800.06</v>
      </c>
      <c r="G177" s="3">
        <v>0</v>
      </c>
      <c r="H177" s="3">
        <v>0</v>
      </c>
      <c r="I177">
        <v>1</v>
      </c>
      <c r="J177">
        <v>1</v>
      </c>
      <c r="K177" s="4"/>
      <c r="L177" s="65">
        <f>((ARTICULOS_GOLOMAX[[#This Row],[P. Compra]]*(1+ARTICULOS_GOLOMAX[[#This Row],[IVA]]%))/ARTICULOS_GOLOMAX[[#This Row],[UnidFact]])+ARTICULOS_GOLOMAX[[#This Row],[CostoFlete]]</f>
        <v>1800.06</v>
      </c>
      <c r="M177">
        <v>30</v>
      </c>
      <c r="N177" s="63">
        <f t="shared" si="13"/>
        <v>2550</v>
      </c>
      <c r="O177" s="3">
        <f>MROUND((ARTICULOS_GOLOMAX[[#This Row],[Precio]]/0.6),50)</f>
        <v>4250</v>
      </c>
      <c r="P177" t="s">
        <v>8693</v>
      </c>
      <c r="Q177">
        <v>2</v>
      </c>
      <c r="R177" s="42">
        <v>6</v>
      </c>
      <c r="S177" t="s">
        <v>17</v>
      </c>
      <c r="T177" t="s">
        <v>27</v>
      </c>
      <c r="U177" t="s">
        <v>28</v>
      </c>
      <c r="V177" t="s">
        <v>8875</v>
      </c>
      <c r="W177" t="s">
        <v>8692</v>
      </c>
      <c r="X177">
        <v>1</v>
      </c>
      <c r="Y177">
        <v>0</v>
      </c>
      <c r="AB177" s="80" t="e">
        <f>ARTICULOS_OSLE[[#This Row],[Costo]]*ARTICULOS_OSLE[[#This Row],[Pedido]]</f>
        <v>#VALUE!</v>
      </c>
      <c r="AH177" s="2" t="e">
        <f>IF(AND(ARTICULOS_OSLE[[#This Row],[FechaVenc]]=0,ARTICULOS_OSLE[[#This Row],[DiasVenc]]=0),"",ARTICULOS_OSLE[[#This Row],[FechaVenc]]-ARTICULOS_OSLE[[#This Row],[DiasVenc]])</f>
        <v>#VALUE!</v>
      </c>
      <c r="AO177" s="30" t="s">
        <v>8689</v>
      </c>
    </row>
    <row r="178" spans="1:41" ht="15.75" hidden="1" x14ac:dyDescent="0.25">
      <c r="A178" s="1" t="s">
        <v>9866</v>
      </c>
      <c r="B178">
        <v>1217124</v>
      </c>
      <c r="C178" t="str">
        <f t="shared" si="12"/>
        <v>KIO80050315</v>
      </c>
      <c r="D178" t="s">
        <v>8689</v>
      </c>
      <c r="E178" s="1" t="s">
        <v>9867</v>
      </c>
      <c r="F178" s="61">
        <f>VLOOKUP(ARTICULOS_GOLOMAX[[#This Row],[CodigoProveedor]],'PRECIOS GOLOMAX'!$A$1:$C$10000,3,FALSE)</f>
        <v>10648.93</v>
      </c>
      <c r="G178" s="3">
        <v>0</v>
      </c>
      <c r="H178" s="3">
        <v>0</v>
      </c>
      <c r="I178">
        <v>1</v>
      </c>
      <c r="J178">
        <v>1</v>
      </c>
      <c r="K178" s="4"/>
      <c r="L178" s="65">
        <f>((ARTICULOS_GOLOMAX[[#This Row],[P. Compra]]*(1+ARTICULOS_GOLOMAX[[#This Row],[IVA]]%))/ARTICULOS_GOLOMAX[[#This Row],[UnidFact]])+ARTICULOS_GOLOMAX[[#This Row],[CostoFlete]]</f>
        <v>10648.93</v>
      </c>
      <c r="M178">
        <v>30</v>
      </c>
      <c r="N178" s="63">
        <f t="shared" si="13"/>
        <v>15200</v>
      </c>
      <c r="O178" s="3">
        <f>MROUND((ARTICULOS_GOLOMAX[[#This Row],[Precio]]/0.6),50)</f>
        <v>25350</v>
      </c>
      <c r="P178" t="s">
        <v>8693</v>
      </c>
      <c r="Q178">
        <v>6</v>
      </c>
      <c r="R178" s="42">
        <v>18</v>
      </c>
      <c r="S178" t="s">
        <v>17</v>
      </c>
      <c r="T178" t="s">
        <v>27</v>
      </c>
      <c r="U178" t="s">
        <v>28</v>
      </c>
      <c r="V178" t="s">
        <v>8875</v>
      </c>
      <c r="W178" t="s">
        <v>8692</v>
      </c>
      <c r="X178">
        <v>1</v>
      </c>
      <c r="Y178">
        <v>0</v>
      </c>
      <c r="AB178" s="80" t="e">
        <f>ARTICULOS_OSLE[[#This Row],[Costo]]*ARTICULOS_OSLE[[#This Row],[Pedido]]</f>
        <v>#VALUE!</v>
      </c>
      <c r="AH178" s="2" t="e">
        <f>IF(AND(ARTICULOS_OSLE[[#This Row],[FechaVenc]]=0,ARTICULOS_OSLE[[#This Row],[DiasVenc]]=0),"",ARTICULOS_OSLE[[#This Row],[FechaVenc]]-ARTICULOS_OSLE[[#This Row],[DiasVenc]])</f>
        <v>#VALUE!</v>
      </c>
      <c r="AO178" s="30" t="s">
        <v>8689</v>
      </c>
    </row>
    <row r="179" spans="1:41" ht="15.75" hidden="1" x14ac:dyDescent="0.25">
      <c r="A179" s="1" t="s">
        <v>9868</v>
      </c>
      <c r="B179">
        <v>1217100</v>
      </c>
      <c r="C179" t="str">
        <f t="shared" si="12"/>
        <v>KIO77949677</v>
      </c>
      <c r="D179" t="s">
        <v>8689</v>
      </c>
      <c r="E179" s="1" t="s">
        <v>9869</v>
      </c>
      <c r="F179" s="61">
        <f>VLOOKUP(ARTICULOS_GOLOMAX[[#This Row],[CodigoProveedor]],'PRECIOS GOLOMAX'!$A$1:$C$10000,3,FALSE)</f>
        <v>1626.4</v>
      </c>
      <c r="G179" s="3">
        <v>0</v>
      </c>
      <c r="H179" s="3">
        <v>0</v>
      </c>
      <c r="I179">
        <v>1</v>
      </c>
      <c r="J179">
        <v>1</v>
      </c>
      <c r="K179" s="4"/>
      <c r="L179" s="65">
        <f>((ARTICULOS_GOLOMAX[[#This Row],[P. Compra]]*(1+ARTICULOS_GOLOMAX[[#This Row],[IVA]]%))/ARTICULOS_GOLOMAX[[#This Row],[UnidFact]])+ARTICULOS_GOLOMAX[[#This Row],[CostoFlete]]</f>
        <v>1626.4</v>
      </c>
      <c r="M179">
        <v>30</v>
      </c>
      <c r="N179" s="63">
        <f t="shared" si="13"/>
        <v>2300</v>
      </c>
      <c r="O179" s="3">
        <f>MROUND((ARTICULOS_GOLOMAX[[#This Row],[Precio]]/0.6),50)</f>
        <v>3850</v>
      </c>
      <c r="P179" t="s">
        <v>8693</v>
      </c>
      <c r="Q179">
        <v>2</v>
      </c>
      <c r="R179" s="42">
        <v>6</v>
      </c>
      <c r="S179" t="s">
        <v>17</v>
      </c>
      <c r="T179" t="s">
        <v>27</v>
      </c>
      <c r="U179" t="s">
        <v>28</v>
      </c>
      <c r="V179" t="s">
        <v>8875</v>
      </c>
      <c r="W179" t="s">
        <v>8692</v>
      </c>
      <c r="X179">
        <v>1</v>
      </c>
      <c r="Y179">
        <v>0</v>
      </c>
      <c r="AB179" s="80" t="e">
        <f>ARTICULOS_OSLE[[#This Row],[Costo]]*ARTICULOS_OSLE[[#This Row],[Pedido]]</f>
        <v>#VALUE!</v>
      </c>
      <c r="AH179" s="2" t="e">
        <f>IF(AND(ARTICULOS_OSLE[[#This Row],[FechaVenc]]=0,ARTICULOS_OSLE[[#This Row],[DiasVenc]]=0),"",ARTICULOS_OSLE[[#This Row],[FechaVenc]]-ARTICULOS_OSLE[[#This Row],[DiasVenc]])</f>
        <v>#VALUE!</v>
      </c>
      <c r="AO179" s="30" t="s">
        <v>8689</v>
      </c>
    </row>
    <row r="180" spans="1:41" ht="15.75" hidden="1" x14ac:dyDescent="0.25">
      <c r="A180" s="1" t="s">
        <v>9870</v>
      </c>
      <c r="B180">
        <v>1217102</v>
      </c>
      <c r="C180" t="str">
        <f t="shared" si="12"/>
        <v>KIO80050094</v>
      </c>
      <c r="D180" t="s">
        <v>8689</v>
      </c>
      <c r="E180" s="1" t="s">
        <v>9871</v>
      </c>
      <c r="F180" s="61">
        <f>VLOOKUP(ARTICULOS_GOLOMAX[[#This Row],[CodigoProveedor]],'PRECIOS GOLOMAX'!$A$1:$C$10000,3,FALSE)</f>
        <v>7183.92</v>
      </c>
      <c r="G180" s="3">
        <v>0</v>
      </c>
      <c r="H180" s="3">
        <v>0</v>
      </c>
      <c r="I180">
        <v>1</v>
      </c>
      <c r="J180">
        <v>1</v>
      </c>
      <c r="K180" s="4"/>
      <c r="L180" s="65">
        <f>((ARTICULOS_GOLOMAX[[#This Row],[P. Compra]]*(1+ARTICULOS_GOLOMAX[[#This Row],[IVA]]%))/ARTICULOS_GOLOMAX[[#This Row],[UnidFact]])+ARTICULOS_GOLOMAX[[#This Row],[CostoFlete]]</f>
        <v>7183.92</v>
      </c>
      <c r="M180">
        <v>30</v>
      </c>
      <c r="N180" s="63">
        <f t="shared" si="13"/>
        <v>10250</v>
      </c>
      <c r="O180" s="3">
        <f>MROUND((ARTICULOS_GOLOMAX[[#This Row],[Precio]]/0.6),50)</f>
        <v>17100</v>
      </c>
      <c r="P180" t="s">
        <v>8693</v>
      </c>
      <c r="Q180">
        <v>2</v>
      </c>
      <c r="R180" s="42">
        <v>6</v>
      </c>
      <c r="S180" t="s">
        <v>17</v>
      </c>
      <c r="T180" t="s">
        <v>27</v>
      </c>
      <c r="U180" t="s">
        <v>28</v>
      </c>
      <c r="V180" t="s">
        <v>8875</v>
      </c>
      <c r="W180" t="s">
        <v>8692</v>
      </c>
      <c r="X180">
        <v>1</v>
      </c>
      <c r="Y180">
        <v>0</v>
      </c>
      <c r="AB180" s="80" t="e">
        <f>ARTICULOS_OSLE[[#This Row],[Costo]]*ARTICULOS_OSLE[[#This Row],[Pedido]]</f>
        <v>#VALUE!</v>
      </c>
      <c r="AH180" s="2" t="e">
        <f>IF(AND(ARTICULOS_OSLE[[#This Row],[FechaVenc]]=0,ARTICULOS_OSLE[[#This Row],[DiasVenc]]=0),"",ARTICULOS_OSLE[[#This Row],[FechaVenc]]-ARTICULOS_OSLE[[#This Row],[DiasVenc]])</f>
        <v>#VALUE!</v>
      </c>
      <c r="AO180" s="30" t="s">
        <v>8689</v>
      </c>
    </row>
    <row r="181" spans="1:41" ht="15.75" hidden="1" x14ac:dyDescent="0.25">
      <c r="A181" s="1" t="s">
        <v>9872</v>
      </c>
      <c r="B181"/>
      <c r="C181" t="str">
        <f t="shared" si="12"/>
        <v>KIO06008308</v>
      </c>
      <c r="D181" t="s">
        <v>8689</v>
      </c>
      <c r="E181" s="1" t="s">
        <v>9873</v>
      </c>
      <c r="F181" s="61" t="e">
        <f>VLOOKUP(ARTICULOS_GOLOMAX[[#This Row],[CodigoProveedor]],'PRECIOS GOLOMAX'!$A$1:$C$10000,3,FALSE)</f>
        <v>#N/A</v>
      </c>
      <c r="G181" s="3">
        <v>0</v>
      </c>
      <c r="H181" s="3">
        <v>0</v>
      </c>
      <c r="I181">
        <v>30</v>
      </c>
      <c r="J181">
        <v>30</v>
      </c>
      <c r="K181" s="4"/>
      <c r="L181" s="65" t="e">
        <f>((ARTICULOS_GOLOMAX[[#This Row],[P. Compra]]*(1+ARTICULOS_GOLOMAX[[#This Row],[IVA]]%))/ARTICULOS_GOLOMAX[[#This Row],[UnidFact]])+ARTICULOS_GOLOMAX[[#This Row],[CostoFlete]]</f>
        <v>#N/A</v>
      </c>
      <c r="M181">
        <v>30</v>
      </c>
      <c r="N181" s="63" t="e">
        <f t="shared" si="13"/>
        <v>#N/A</v>
      </c>
      <c r="O181" s="3" t="e">
        <f>MROUND((ARTICULOS_GOLOMAX[[#This Row],[Precio]]/0.6),50)</f>
        <v>#N/A</v>
      </c>
      <c r="P181" t="s">
        <v>8693</v>
      </c>
      <c r="Q181">
        <v>6</v>
      </c>
      <c r="R181" s="42">
        <v>26</v>
      </c>
      <c r="S181" t="s">
        <v>17</v>
      </c>
      <c r="T181" t="s">
        <v>27</v>
      </c>
      <c r="U181" t="s">
        <v>28</v>
      </c>
      <c r="V181" t="s">
        <v>9822</v>
      </c>
      <c r="W181" t="s">
        <v>8692</v>
      </c>
      <c r="X181">
        <v>1</v>
      </c>
      <c r="Y181">
        <v>0</v>
      </c>
      <c r="AB181" s="80" t="e">
        <f>ARTICULOS_OSLE[[#This Row],[Costo]]*ARTICULOS_OSLE[[#This Row],[Pedido]]</f>
        <v>#VALUE!</v>
      </c>
      <c r="AH181" s="2" t="e">
        <f>IF(AND(ARTICULOS_OSLE[[#This Row],[FechaVenc]]=0,ARTICULOS_OSLE[[#This Row],[DiasVenc]]=0),"",ARTICULOS_OSLE[[#This Row],[FechaVenc]]-ARTICULOS_OSLE[[#This Row],[DiasVenc]])</f>
        <v>#VALUE!</v>
      </c>
      <c r="AO181" s="30" t="s">
        <v>8689</v>
      </c>
    </row>
    <row r="182" spans="1:41" ht="15.75" hidden="1" x14ac:dyDescent="0.25">
      <c r="A182" s="24" t="s">
        <v>9874</v>
      </c>
      <c r="B182" s="30">
        <v>1228053</v>
      </c>
      <c r="C182" t="str">
        <f t="shared" si="12"/>
        <v>KIO15105203</v>
      </c>
      <c r="D182" s="30" t="s">
        <v>8689</v>
      </c>
      <c r="E182" s="24" t="s">
        <v>9875</v>
      </c>
      <c r="F182" s="61">
        <f>VLOOKUP(ARTICULOS_GOLOMAX[[#This Row],[CodigoProveedor]],'PRECIOS GOLOMAX'!$A$1:$C$10000,3,FALSE)</f>
        <v>15240.65</v>
      </c>
      <c r="G182" s="3">
        <v>0</v>
      </c>
      <c r="H182" s="3">
        <v>0</v>
      </c>
      <c r="I182">
        <v>100</v>
      </c>
      <c r="J182">
        <v>100</v>
      </c>
      <c r="K182" s="4"/>
      <c r="L182" s="65">
        <f>((ARTICULOS_GOLOMAX[[#This Row],[P. Compra]]*(1+ARTICULOS_GOLOMAX[[#This Row],[IVA]]%))/ARTICULOS_GOLOMAX[[#This Row],[UnidFact]])+ARTICULOS_GOLOMAX[[#This Row],[CostoFlete]]</f>
        <v>152.40649999999999</v>
      </c>
      <c r="M182">
        <v>30</v>
      </c>
      <c r="N182" s="63">
        <f t="shared" si="13"/>
        <v>200</v>
      </c>
      <c r="O182" s="3">
        <f>MROUND((ARTICULOS_GOLOMAX[[#This Row],[Precio]]/0.6),50)</f>
        <v>350</v>
      </c>
      <c r="P182" s="23" t="s">
        <v>8693</v>
      </c>
      <c r="Q182">
        <v>20</v>
      </c>
      <c r="R182" s="44">
        <f>ARTICULOS_GOLOMAX[[#This Row],[Bulto]]+ARTICULOS_GOLOMAX[[#This Row],[Minimo]]</f>
        <v>120</v>
      </c>
      <c r="S182" t="s">
        <v>17</v>
      </c>
      <c r="T182" t="s">
        <v>27</v>
      </c>
      <c r="U182" t="s">
        <v>28</v>
      </c>
      <c r="V182" s="30" t="s">
        <v>9819</v>
      </c>
      <c r="W182" s="23" t="s">
        <v>8692</v>
      </c>
      <c r="X182">
        <v>1</v>
      </c>
      <c r="Y182" s="30">
        <v>100</v>
      </c>
      <c r="Z182" s="30"/>
      <c r="AB182" s="80" t="e">
        <f>ARTICULOS_OSLE[[#This Row],[Costo]]*ARTICULOS_OSLE[[#This Row],[Pedido]]</f>
        <v>#VALUE!</v>
      </c>
      <c r="AH182" s="2" t="e">
        <f>IF(AND(ARTICULOS_OSLE[[#This Row],[FechaVenc]]=0,ARTICULOS_OSLE[[#This Row],[DiasVenc]]=0),"",ARTICULOS_OSLE[[#This Row],[FechaVenc]]-ARTICULOS_OSLE[[#This Row],[DiasVenc]])</f>
        <v>#VALUE!</v>
      </c>
      <c r="AO182" s="30" t="s">
        <v>8689</v>
      </c>
    </row>
    <row r="183" spans="1:41" ht="15.75" hidden="1" x14ac:dyDescent="0.25">
      <c r="A183" s="24" t="s">
        <v>9876</v>
      </c>
      <c r="B183"/>
      <c r="C183" t="str">
        <f t="shared" si="12"/>
        <v>KIO11119</v>
      </c>
      <c r="D183" t="s">
        <v>8689</v>
      </c>
      <c r="E183" s="1" t="s">
        <v>9877</v>
      </c>
      <c r="F183" s="61" t="e">
        <f>VLOOKUP(ARTICULOS_GOLOMAX[[#This Row],[CodigoProveedor]],'PRECIOS GOLOMAX'!$A$1:$C$10000,3,FALSE)</f>
        <v>#N/A</v>
      </c>
      <c r="G183" s="3">
        <v>0</v>
      </c>
      <c r="H183" s="3">
        <v>0</v>
      </c>
      <c r="I183">
        <v>24</v>
      </c>
      <c r="J183">
        <v>24</v>
      </c>
      <c r="K183" s="4"/>
      <c r="L183" s="65" t="e">
        <f>((ARTICULOS_GOLOMAX[[#This Row],[P. Compra]]*(1+ARTICULOS_GOLOMAX[[#This Row],[IVA]]%))/ARTICULOS_GOLOMAX[[#This Row],[UnidFact]])+ARTICULOS_GOLOMAX[[#This Row],[CostoFlete]]</f>
        <v>#N/A</v>
      </c>
      <c r="M183">
        <v>30</v>
      </c>
      <c r="N183" s="63" t="e">
        <f t="shared" si="13"/>
        <v>#N/A</v>
      </c>
      <c r="O183" s="3" t="e">
        <f>MROUND((ARTICULOS_GOLOMAX[[#This Row],[Precio]]/0.6),50)</f>
        <v>#N/A</v>
      </c>
      <c r="P183" t="s">
        <v>8693</v>
      </c>
      <c r="Q183">
        <v>6</v>
      </c>
      <c r="R183" s="42">
        <v>30</v>
      </c>
      <c r="S183" t="s">
        <v>17</v>
      </c>
      <c r="T183" t="s">
        <v>27</v>
      </c>
      <c r="U183" t="s">
        <v>28</v>
      </c>
      <c r="V183" t="s">
        <v>9822</v>
      </c>
      <c r="W183" t="s">
        <v>8692</v>
      </c>
      <c r="X183">
        <v>1</v>
      </c>
      <c r="Y183">
        <v>17</v>
      </c>
      <c r="AB183" s="80" t="e">
        <f>ARTICULOS_OSLE[[#This Row],[Costo]]*ARTICULOS_OSLE[[#This Row],[Pedido]]</f>
        <v>#VALUE!</v>
      </c>
      <c r="AH183" s="2" t="e">
        <f>IF(AND(ARTICULOS_OSLE[[#This Row],[FechaVenc]]=0,ARTICULOS_OSLE[[#This Row],[DiasVenc]]=0),"",ARTICULOS_OSLE[[#This Row],[FechaVenc]]-ARTICULOS_OSLE[[#This Row],[DiasVenc]])</f>
        <v>#VALUE!</v>
      </c>
      <c r="AO183" s="30" t="s">
        <v>8689</v>
      </c>
    </row>
    <row r="184" spans="1:41" ht="15.75" hidden="1" x14ac:dyDescent="0.25">
      <c r="A184" s="1" t="s">
        <v>9878</v>
      </c>
      <c r="B184" s="30">
        <v>1211362</v>
      </c>
      <c r="C184" t="str">
        <f t="shared" si="12"/>
        <v>KIO77912718</v>
      </c>
      <c r="D184" t="s">
        <v>8689</v>
      </c>
      <c r="E184" s="1" t="s">
        <v>9879</v>
      </c>
      <c r="F184" s="61">
        <f>VLOOKUP(ARTICULOS_GOLOMAX[[#This Row],[CodigoProveedor]],'PRECIOS GOLOMAX'!$A$1:$C$10000,3,FALSE)</f>
        <v>3033.28</v>
      </c>
      <c r="G184" s="3">
        <v>0</v>
      </c>
      <c r="H184" s="3">
        <v>0</v>
      </c>
      <c r="I184">
        <v>24</v>
      </c>
      <c r="J184">
        <v>24</v>
      </c>
      <c r="K184" s="4"/>
      <c r="L184" s="65">
        <f>((ARTICULOS_GOLOMAX[[#This Row],[P. Compra]]*(1+ARTICULOS_GOLOMAX[[#This Row],[IVA]]%))/ARTICULOS_GOLOMAX[[#This Row],[UnidFact]])+ARTICULOS_GOLOMAX[[#This Row],[CostoFlete]]</f>
        <v>126.38666666666667</v>
      </c>
      <c r="M184">
        <v>30</v>
      </c>
      <c r="N184" s="63">
        <f t="shared" si="13"/>
        <v>200</v>
      </c>
      <c r="O184" s="3">
        <f>MROUND((ARTICULOS_GOLOMAX[[#This Row],[Precio]]/0.6),50)</f>
        <v>350</v>
      </c>
      <c r="P184" t="s">
        <v>8693</v>
      </c>
      <c r="Q184">
        <v>6</v>
      </c>
      <c r="R184" s="42">
        <f>ARTICULOS_GOLOMAX[[#This Row],[Bulto]]+ARTICULOS_GOLOMAX[[#This Row],[Minimo]]</f>
        <v>30</v>
      </c>
      <c r="S184" t="s">
        <v>17</v>
      </c>
      <c r="T184" t="s">
        <v>27</v>
      </c>
      <c r="U184" t="s">
        <v>28</v>
      </c>
      <c r="V184" t="s">
        <v>9797</v>
      </c>
      <c r="W184" t="s">
        <v>8692</v>
      </c>
      <c r="X184">
        <v>1</v>
      </c>
      <c r="Y184">
        <v>7</v>
      </c>
      <c r="AB184" s="80" t="e">
        <f>ARTICULOS_OSLE[[#This Row],[Costo]]*ARTICULOS_OSLE[[#This Row],[Pedido]]</f>
        <v>#VALUE!</v>
      </c>
      <c r="AH184" s="2" t="e">
        <f>IF(AND(ARTICULOS_OSLE[[#This Row],[FechaVenc]]=0,ARTICULOS_OSLE[[#This Row],[DiasVenc]]=0),"",ARTICULOS_OSLE[[#This Row],[FechaVenc]]-ARTICULOS_OSLE[[#This Row],[DiasVenc]])</f>
        <v>#VALUE!</v>
      </c>
      <c r="AO184" s="30" t="s">
        <v>8689</v>
      </c>
    </row>
    <row r="185" spans="1:41" ht="15.75" hidden="1" x14ac:dyDescent="0.25">
      <c r="A185" s="1" t="s">
        <v>9880</v>
      </c>
      <c r="B185" s="30">
        <v>1211363</v>
      </c>
      <c r="C185" t="str">
        <f t="shared" si="12"/>
        <v>KIO77928894</v>
      </c>
      <c r="D185" t="s">
        <v>8689</v>
      </c>
      <c r="E185" s="1" t="s">
        <v>9881</v>
      </c>
      <c r="F185" s="61">
        <f>VLOOKUP(ARTICULOS_GOLOMAX[[#This Row],[CodigoProveedor]],'PRECIOS GOLOMAX'!$A$1:$C$10000,3,FALSE)</f>
        <v>3033.28</v>
      </c>
      <c r="G185" s="3">
        <v>0</v>
      </c>
      <c r="H185" s="3">
        <v>0</v>
      </c>
      <c r="I185">
        <v>24</v>
      </c>
      <c r="J185">
        <v>24</v>
      </c>
      <c r="K185" s="4"/>
      <c r="L185" s="65">
        <f>((ARTICULOS_GOLOMAX[[#This Row],[P. Compra]]*(1+ARTICULOS_GOLOMAX[[#This Row],[IVA]]%))/ARTICULOS_GOLOMAX[[#This Row],[UnidFact]])+ARTICULOS_GOLOMAX[[#This Row],[CostoFlete]]</f>
        <v>126.38666666666667</v>
      </c>
      <c r="M185">
        <v>30</v>
      </c>
      <c r="N185" s="63">
        <f t="shared" si="13"/>
        <v>200</v>
      </c>
      <c r="O185" s="3">
        <f>MROUND((ARTICULOS_GOLOMAX[[#This Row],[Precio]]/0.6),50)</f>
        <v>350</v>
      </c>
      <c r="P185" t="s">
        <v>8693</v>
      </c>
      <c r="Q185">
        <v>6</v>
      </c>
      <c r="R185" s="42">
        <f>ARTICULOS_GOLOMAX[[#This Row],[Bulto]]+ARTICULOS_GOLOMAX[[#This Row],[Minimo]]</f>
        <v>30</v>
      </c>
      <c r="S185" t="s">
        <v>17</v>
      </c>
      <c r="T185" t="s">
        <v>27</v>
      </c>
      <c r="U185" t="s">
        <v>28</v>
      </c>
      <c r="V185" t="s">
        <v>9797</v>
      </c>
      <c r="W185" t="s">
        <v>8692</v>
      </c>
      <c r="X185">
        <v>1</v>
      </c>
      <c r="Y185">
        <v>7</v>
      </c>
      <c r="AB185" s="80" t="e">
        <f>ARTICULOS_OSLE[[#This Row],[Costo]]*ARTICULOS_OSLE[[#This Row],[Pedido]]</f>
        <v>#VALUE!</v>
      </c>
      <c r="AH185" s="2" t="e">
        <f>IF(AND(ARTICULOS_OSLE[[#This Row],[FechaVenc]]=0,ARTICULOS_OSLE[[#This Row],[DiasVenc]]=0),"",ARTICULOS_OSLE[[#This Row],[FechaVenc]]-ARTICULOS_OSLE[[#This Row],[DiasVenc]])</f>
        <v>#VALUE!</v>
      </c>
      <c r="AO185" s="30" t="s">
        <v>8689</v>
      </c>
    </row>
    <row r="186" spans="1:41" ht="15.75" hidden="1" x14ac:dyDescent="0.25">
      <c r="A186" s="1" t="s">
        <v>9882</v>
      </c>
      <c r="B186" s="30">
        <v>1269800</v>
      </c>
      <c r="C186" t="str">
        <f t="shared" si="12"/>
        <v>KIO77976109</v>
      </c>
      <c r="D186" t="s">
        <v>8689</v>
      </c>
      <c r="E186" s="24" t="s">
        <v>11798</v>
      </c>
      <c r="F186" s="61">
        <f>VLOOKUP(ARTICULOS_GOLOMAX[[#This Row],[CodigoProveedor]],'PRECIOS GOLOMAX'!$A$1:$C$10000,3,FALSE)</f>
        <v>274.33</v>
      </c>
      <c r="G186" s="3">
        <v>0</v>
      </c>
      <c r="H186" s="3">
        <v>0</v>
      </c>
      <c r="I186">
        <v>1</v>
      </c>
      <c r="J186">
        <v>1</v>
      </c>
      <c r="K186" s="4"/>
      <c r="L186" s="65">
        <f>((ARTICULOS_GOLOMAX[[#This Row],[P. Compra]]*(1+ARTICULOS_GOLOMAX[[#This Row],[IVA]]%))/ARTICULOS_GOLOMAX[[#This Row],[UnidFact]])+ARTICULOS_GOLOMAX[[#This Row],[CostoFlete]]</f>
        <v>274.33</v>
      </c>
      <c r="M186">
        <v>30</v>
      </c>
      <c r="N186" s="63">
        <f t="shared" si="13"/>
        <v>400</v>
      </c>
      <c r="O186" s="3">
        <f>MROUND((ARTICULOS_GOLOMAX[[#This Row],[Precio]]/0.6),50)</f>
        <v>650</v>
      </c>
      <c r="P186" t="s">
        <v>8693</v>
      </c>
      <c r="Q186">
        <v>2</v>
      </c>
      <c r="R186" s="42">
        <v>6</v>
      </c>
      <c r="S186" t="s">
        <v>17</v>
      </c>
      <c r="T186" t="s">
        <v>27</v>
      </c>
      <c r="U186" t="s">
        <v>28</v>
      </c>
      <c r="V186" t="s">
        <v>9883</v>
      </c>
      <c r="W186" t="s">
        <v>8692</v>
      </c>
      <c r="X186">
        <v>1</v>
      </c>
      <c r="Y186">
        <v>3</v>
      </c>
      <c r="AB186" s="80" t="e">
        <f>ARTICULOS_OSLE[[#This Row],[Costo]]*ARTICULOS_OSLE[[#This Row],[Pedido]]</f>
        <v>#VALUE!</v>
      </c>
      <c r="AH186" s="2" t="e">
        <f>IF(AND(ARTICULOS_OSLE[[#This Row],[FechaVenc]]=0,ARTICULOS_OSLE[[#This Row],[DiasVenc]]=0),"",ARTICULOS_OSLE[[#This Row],[FechaVenc]]-ARTICULOS_OSLE[[#This Row],[DiasVenc]])</f>
        <v>#VALUE!</v>
      </c>
      <c r="AO186" s="30" t="s">
        <v>8689</v>
      </c>
    </row>
    <row r="187" spans="1:41" ht="15.75" hidden="1" x14ac:dyDescent="0.25">
      <c r="A187" s="24" t="s">
        <v>11797</v>
      </c>
      <c r="B187" s="30">
        <v>1269800</v>
      </c>
      <c r="C187" t="str">
        <f t="shared" si="12"/>
        <v>KIO77927361</v>
      </c>
      <c r="D187" t="s">
        <v>8689</v>
      </c>
      <c r="E187" s="24" t="s">
        <v>11799</v>
      </c>
      <c r="F187" s="61">
        <f>VLOOKUP(ARTICULOS_GOLOMAX[[#This Row],[CodigoProveedor]],'PRECIOS GOLOMAX'!$A$1:$C$10000,3,FALSE)</f>
        <v>274.33</v>
      </c>
      <c r="G187" s="3">
        <v>0</v>
      </c>
      <c r="H187" s="3">
        <v>0</v>
      </c>
      <c r="I187">
        <v>1</v>
      </c>
      <c r="J187">
        <v>1</v>
      </c>
      <c r="K187" s="4"/>
      <c r="L187" s="65">
        <f>((ARTICULOS_GOLOMAX[[#This Row],[P. Compra]]*(1+ARTICULOS_GOLOMAX[[#This Row],[IVA]]%))/ARTICULOS_GOLOMAX[[#This Row],[UnidFact]])+ARTICULOS_GOLOMAX[[#This Row],[CostoFlete]]</f>
        <v>274.33</v>
      </c>
      <c r="M187">
        <v>30</v>
      </c>
      <c r="N187" s="63">
        <f t="shared" si="13"/>
        <v>400</v>
      </c>
      <c r="O187" s="3">
        <f>MROUND((ARTICULOS_GOLOMAX[[#This Row],[Precio]]/0.6),50)</f>
        <v>650</v>
      </c>
      <c r="P187" t="s">
        <v>8693</v>
      </c>
      <c r="Q187">
        <v>2</v>
      </c>
      <c r="R187" s="42">
        <v>6</v>
      </c>
      <c r="S187" t="s">
        <v>17</v>
      </c>
      <c r="T187" t="s">
        <v>27</v>
      </c>
      <c r="U187" t="s">
        <v>28</v>
      </c>
      <c r="V187" t="s">
        <v>9883</v>
      </c>
      <c r="W187" t="s">
        <v>8692</v>
      </c>
      <c r="X187">
        <v>1</v>
      </c>
      <c r="Y187">
        <v>3</v>
      </c>
      <c r="AB187" s="80" t="e">
        <f>ARTICULOS_OSLE[[#This Row],[Costo]]*ARTICULOS_OSLE[[#This Row],[Pedido]]</f>
        <v>#VALUE!</v>
      </c>
      <c r="AH187" s="2" t="e">
        <f>IF(AND(ARTICULOS_OSLE[[#This Row],[FechaVenc]]=0,ARTICULOS_OSLE[[#This Row],[DiasVenc]]=0),"",ARTICULOS_OSLE[[#This Row],[FechaVenc]]-ARTICULOS_OSLE[[#This Row],[DiasVenc]])</f>
        <v>#VALUE!</v>
      </c>
      <c r="AO187" s="30" t="s">
        <v>8689</v>
      </c>
    </row>
    <row r="188" spans="1:41" ht="15.75" hidden="1" x14ac:dyDescent="0.25">
      <c r="A188" s="1" t="s">
        <v>9884</v>
      </c>
      <c r="B188">
        <v>1222902</v>
      </c>
      <c r="C188" t="str">
        <f t="shared" si="12"/>
        <v>KIO60095286</v>
      </c>
      <c r="D188" t="s">
        <v>8689</v>
      </c>
      <c r="E188" s="1" t="s">
        <v>9885</v>
      </c>
      <c r="F188" s="61">
        <f>VLOOKUP(ARTICULOS_GOLOMAX[[#This Row],[CodigoProveedor]],'PRECIOS GOLOMAX'!$A$1:$C$10000,3,FALSE)</f>
        <v>434.38</v>
      </c>
      <c r="G188" s="3">
        <v>0</v>
      </c>
      <c r="H188" s="3">
        <v>0</v>
      </c>
      <c r="I188">
        <v>1</v>
      </c>
      <c r="J188">
        <v>1</v>
      </c>
      <c r="K188" s="4"/>
      <c r="L188" s="65">
        <f>((ARTICULOS_GOLOMAX[[#This Row],[P. Compra]]*(1+ARTICULOS_GOLOMAX[[#This Row],[IVA]]%))/ARTICULOS_GOLOMAX[[#This Row],[UnidFact]])+ARTICULOS_GOLOMAX[[#This Row],[CostoFlete]]</f>
        <v>434.38</v>
      </c>
      <c r="M188">
        <v>30</v>
      </c>
      <c r="N188" s="63">
        <f t="shared" si="13"/>
        <v>600</v>
      </c>
      <c r="O188" s="3">
        <f>MROUND((ARTICULOS_GOLOMAX[[#This Row],[Precio]]/0.6),50)</f>
        <v>1000</v>
      </c>
      <c r="P188" t="s">
        <v>8693</v>
      </c>
      <c r="Q188">
        <v>2</v>
      </c>
      <c r="R188" s="42">
        <v>6</v>
      </c>
      <c r="S188" t="s">
        <v>17</v>
      </c>
      <c r="T188" t="s">
        <v>27</v>
      </c>
      <c r="U188" t="s">
        <v>28</v>
      </c>
      <c r="V188" t="s">
        <v>9819</v>
      </c>
      <c r="W188" t="s">
        <v>8692</v>
      </c>
      <c r="X188">
        <v>1</v>
      </c>
      <c r="Y188">
        <v>0</v>
      </c>
      <c r="AB188" s="80" t="e">
        <f>ARTICULOS_OSLE[[#This Row],[Costo]]*ARTICULOS_OSLE[[#This Row],[Pedido]]</f>
        <v>#VALUE!</v>
      </c>
      <c r="AH188" s="2" t="e">
        <f>IF(AND(ARTICULOS_OSLE[[#This Row],[FechaVenc]]=0,ARTICULOS_OSLE[[#This Row],[DiasVenc]]=0),"",ARTICULOS_OSLE[[#This Row],[FechaVenc]]-ARTICULOS_OSLE[[#This Row],[DiasVenc]])</f>
        <v>#VALUE!</v>
      </c>
      <c r="AO188" s="30" t="s">
        <v>8689</v>
      </c>
    </row>
    <row r="189" spans="1:41" ht="15.75" hidden="1" x14ac:dyDescent="0.25">
      <c r="A189" s="1" t="s">
        <v>9886</v>
      </c>
      <c r="B189">
        <v>1222900</v>
      </c>
      <c r="C189" t="str">
        <f t="shared" si="12"/>
        <v>KIO60094562</v>
      </c>
      <c r="D189" t="s">
        <v>8689</v>
      </c>
      <c r="E189" s="1" t="s">
        <v>9887</v>
      </c>
      <c r="F189" s="61">
        <f>VLOOKUP(ARTICULOS_GOLOMAX[[#This Row],[CodigoProveedor]],'PRECIOS GOLOMAX'!$A$1:$C$10000,3,FALSE)</f>
        <v>1820.49</v>
      </c>
      <c r="G189" s="3">
        <v>0</v>
      </c>
      <c r="H189" s="3">
        <v>0</v>
      </c>
      <c r="I189">
        <v>1</v>
      </c>
      <c r="J189">
        <v>1</v>
      </c>
      <c r="K189" s="4"/>
      <c r="L189" s="65">
        <f>((ARTICULOS_GOLOMAX[[#This Row],[P. Compra]]*(1+ARTICULOS_GOLOMAX[[#This Row],[IVA]]%))/ARTICULOS_GOLOMAX[[#This Row],[UnidFact]])+ARTICULOS_GOLOMAX[[#This Row],[CostoFlete]]</f>
        <v>1820.49</v>
      </c>
      <c r="M189">
        <v>30</v>
      </c>
      <c r="N189" s="63">
        <f t="shared" si="13"/>
        <v>2600</v>
      </c>
      <c r="O189" s="3">
        <f>MROUND((ARTICULOS_GOLOMAX[[#This Row],[Precio]]/0.6),50)</f>
        <v>4350</v>
      </c>
      <c r="P189" t="s">
        <v>8693</v>
      </c>
      <c r="Q189">
        <v>2</v>
      </c>
      <c r="R189" s="42">
        <v>6</v>
      </c>
      <c r="S189" t="s">
        <v>17</v>
      </c>
      <c r="T189" t="s">
        <v>27</v>
      </c>
      <c r="U189" t="s">
        <v>28</v>
      </c>
      <c r="V189" t="s">
        <v>9819</v>
      </c>
      <c r="W189" t="s">
        <v>8692</v>
      </c>
      <c r="X189">
        <v>1</v>
      </c>
      <c r="Y189">
        <v>0</v>
      </c>
      <c r="AB189" s="80" t="e">
        <f>ARTICULOS_OSLE[[#This Row],[Costo]]*ARTICULOS_OSLE[[#This Row],[Pedido]]</f>
        <v>#VALUE!</v>
      </c>
      <c r="AH189" s="2" t="e">
        <f>IF(AND(ARTICULOS_OSLE[[#This Row],[FechaVenc]]=0,ARTICULOS_OSLE[[#This Row],[DiasVenc]]=0),"",ARTICULOS_OSLE[[#This Row],[FechaVenc]]-ARTICULOS_OSLE[[#This Row],[DiasVenc]])</f>
        <v>#VALUE!</v>
      </c>
      <c r="AO189" s="30" t="s">
        <v>8689</v>
      </c>
    </row>
    <row r="190" spans="1:41" ht="15.75" hidden="1" x14ac:dyDescent="0.25">
      <c r="A190" s="1" t="s">
        <v>9888</v>
      </c>
      <c r="B190">
        <v>1222935</v>
      </c>
      <c r="C190" t="str">
        <f t="shared" si="12"/>
        <v>KIO60094500</v>
      </c>
      <c r="D190" t="s">
        <v>8689</v>
      </c>
      <c r="E190" s="1" t="s">
        <v>9889</v>
      </c>
      <c r="F190" s="61">
        <f>VLOOKUP(ARTICULOS_GOLOMAX[[#This Row],[CodigoProveedor]],'PRECIOS GOLOMAX'!$A$1:$C$10000,3,FALSE)</f>
        <v>412.48</v>
      </c>
      <c r="G190" s="3">
        <v>0</v>
      </c>
      <c r="H190" s="3">
        <v>0</v>
      </c>
      <c r="I190">
        <v>1</v>
      </c>
      <c r="J190">
        <v>1</v>
      </c>
      <c r="K190" s="4"/>
      <c r="L190" s="65">
        <f>((ARTICULOS_GOLOMAX[[#This Row],[P. Compra]]*(1+ARTICULOS_GOLOMAX[[#This Row],[IVA]]%))/ARTICULOS_GOLOMAX[[#This Row],[UnidFact]])+ARTICULOS_GOLOMAX[[#This Row],[CostoFlete]]</f>
        <v>412.48</v>
      </c>
      <c r="M190">
        <v>30</v>
      </c>
      <c r="N190" s="63">
        <f t="shared" si="13"/>
        <v>600</v>
      </c>
      <c r="O190" s="3">
        <f>MROUND((ARTICULOS_GOLOMAX[[#This Row],[Precio]]/0.6),50)</f>
        <v>1000</v>
      </c>
      <c r="P190" t="s">
        <v>8693</v>
      </c>
      <c r="Q190">
        <v>2</v>
      </c>
      <c r="R190" s="42">
        <v>6</v>
      </c>
      <c r="S190" t="s">
        <v>17</v>
      </c>
      <c r="T190" t="s">
        <v>27</v>
      </c>
      <c r="U190" t="s">
        <v>28</v>
      </c>
      <c r="V190" t="s">
        <v>9819</v>
      </c>
      <c r="W190" t="s">
        <v>8692</v>
      </c>
      <c r="X190">
        <v>1</v>
      </c>
      <c r="Y190">
        <v>0</v>
      </c>
      <c r="AB190" s="80" t="e">
        <f>ARTICULOS_OSLE[[#This Row],[Costo]]*ARTICULOS_OSLE[[#This Row],[Pedido]]</f>
        <v>#VALUE!</v>
      </c>
      <c r="AH190" s="2" t="e">
        <f>IF(AND(ARTICULOS_OSLE[[#This Row],[FechaVenc]]=0,ARTICULOS_OSLE[[#This Row],[DiasVenc]]=0),"",ARTICULOS_OSLE[[#This Row],[FechaVenc]]-ARTICULOS_OSLE[[#This Row],[DiasVenc]])</f>
        <v>#VALUE!</v>
      </c>
      <c r="AO190" s="30" t="s">
        <v>8689</v>
      </c>
    </row>
    <row r="191" spans="1:41" ht="15.75" hidden="1" x14ac:dyDescent="0.25">
      <c r="A191" s="1" t="s">
        <v>9890</v>
      </c>
      <c r="B191" s="30">
        <v>1210818</v>
      </c>
      <c r="C191" t="str">
        <f t="shared" si="12"/>
        <v>KIO60095705</v>
      </c>
      <c r="D191" t="s">
        <v>8689</v>
      </c>
      <c r="E191" s="1" t="s">
        <v>9891</v>
      </c>
      <c r="F191" s="61">
        <f>VLOOKUP(ARTICULOS_GOLOMAX[[#This Row],[CodigoProveedor]],'PRECIOS GOLOMAX'!$A$1:$C$10000,3,FALSE)</f>
        <v>795.67</v>
      </c>
      <c r="G191" s="3">
        <v>0</v>
      </c>
      <c r="H191" s="3">
        <v>0</v>
      </c>
      <c r="I191">
        <v>1</v>
      </c>
      <c r="J191">
        <v>1</v>
      </c>
      <c r="K191" s="4"/>
      <c r="L191" s="65">
        <f>((ARTICULOS_GOLOMAX[[#This Row],[P. Compra]]*(1+ARTICULOS_GOLOMAX[[#This Row],[IVA]]%))/ARTICULOS_GOLOMAX[[#This Row],[UnidFact]])+ARTICULOS_GOLOMAX[[#This Row],[CostoFlete]]</f>
        <v>795.67</v>
      </c>
      <c r="M191">
        <v>30</v>
      </c>
      <c r="N191" s="63">
        <f t="shared" si="13"/>
        <v>1150</v>
      </c>
      <c r="O191" s="3">
        <f>MROUND((ARTICULOS_GOLOMAX[[#This Row],[Precio]]/0.6),50)</f>
        <v>1900</v>
      </c>
      <c r="P191" t="s">
        <v>8693</v>
      </c>
      <c r="Q191">
        <v>2</v>
      </c>
      <c r="R191" s="42">
        <v>6</v>
      </c>
      <c r="S191" t="s">
        <v>17</v>
      </c>
      <c r="T191" t="s">
        <v>27</v>
      </c>
      <c r="U191" t="s">
        <v>28</v>
      </c>
      <c r="V191" t="s">
        <v>9819</v>
      </c>
      <c r="W191" t="s">
        <v>8692</v>
      </c>
      <c r="X191">
        <v>1</v>
      </c>
      <c r="Y191">
        <v>0</v>
      </c>
      <c r="AB191" s="80" t="e">
        <f>ARTICULOS_OSLE[[#This Row],[Costo]]*ARTICULOS_OSLE[[#This Row],[Pedido]]</f>
        <v>#VALUE!</v>
      </c>
      <c r="AH191" s="2" t="e">
        <f>IF(AND(ARTICULOS_OSLE[[#This Row],[FechaVenc]]=0,ARTICULOS_OSLE[[#This Row],[DiasVenc]]=0),"",ARTICULOS_OSLE[[#This Row],[FechaVenc]]-ARTICULOS_OSLE[[#This Row],[DiasVenc]])</f>
        <v>#VALUE!</v>
      </c>
      <c r="AO191" s="30" t="s">
        <v>8689</v>
      </c>
    </row>
    <row r="192" spans="1:41" ht="15.75" hidden="1" x14ac:dyDescent="0.25">
      <c r="A192" s="1" t="s">
        <v>9892</v>
      </c>
      <c r="B192">
        <v>1222910</v>
      </c>
      <c r="C192" t="str">
        <f t="shared" si="12"/>
        <v>KIO60094548</v>
      </c>
      <c r="D192" t="s">
        <v>8689</v>
      </c>
      <c r="E192" s="1" t="s">
        <v>9893</v>
      </c>
      <c r="F192" s="61">
        <f>VLOOKUP(ARTICULOS_GOLOMAX[[#This Row],[CodigoProveedor]],'PRECIOS GOLOMAX'!$A$1:$C$10000,3,FALSE)</f>
        <v>916.61</v>
      </c>
      <c r="G192" s="3">
        <v>0</v>
      </c>
      <c r="H192" s="3">
        <v>0</v>
      </c>
      <c r="I192">
        <v>1</v>
      </c>
      <c r="J192">
        <v>1</v>
      </c>
      <c r="K192" s="4"/>
      <c r="L192" s="65">
        <f>((ARTICULOS_GOLOMAX[[#This Row],[P. Compra]]*(1+ARTICULOS_GOLOMAX[[#This Row],[IVA]]%))/ARTICULOS_GOLOMAX[[#This Row],[UnidFact]])+ARTICULOS_GOLOMAX[[#This Row],[CostoFlete]]</f>
        <v>916.61</v>
      </c>
      <c r="M192">
        <v>30</v>
      </c>
      <c r="N192" s="63">
        <f t="shared" si="13"/>
        <v>1300</v>
      </c>
      <c r="O192" s="3">
        <f>MROUND((ARTICULOS_GOLOMAX[[#This Row],[Precio]]/0.6),50)</f>
        <v>2150</v>
      </c>
      <c r="P192" t="s">
        <v>8693</v>
      </c>
      <c r="Q192">
        <v>2</v>
      </c>
      <c r="R192" s="42">
        <v>6</v>
      </c>
      <c r="S192" t="s">
        <v>17</v>
      </c>
      <c r="T192" t="s">
        <v>27</v>
      </c>
      <c r="U192" t="s">
        <v>28</v>
      </c>
      <c r="V192" t="s">
        <v>9819</v>
      </c>
      <c r="W192" t="s">
        <v>8692</v>
      </c>
      <c r="X192">
        <v>1</v>
      </c>
      <c r="Y192">
        <v>0</v>
      </c>
      <c r="AB192" s="80" t="e">
        <f>ARTICULOS_OSLE[[#This Row],[Costo]]*ARTICULOS_OSLE[[#This Row],[Pedido]]</f>
        <v>#VALUE!</v>
      </c>
      <c r="AH192" s="2" t="e">
        <f>IF(AND(ARTICULOS_OSLE[[#This Row],[FechaVenc]]=0,ARTICULOS_OSLE[[#This Row],[DiasVenc]]=0),"",ARTICULOS_OSLE[[#This Row],[FechaVenc]]-ARTICULOS_OSLE[[#This Row],[DiasVenc]])</f>
        <v>#VALUE!</v>
      </c>
      <c r="AO192" s="30" t="s">
        <v>8689</v>
      </c>
    </row>
    <row r="193" spans="1:41" ht="15.75" hidden="1" x14ac:dyDescent="0.25">
      <c r="A193" s="1" t="s">
        <v>9894</v>
      </c>
      <c r="B193">
        <v>1225022</v>
      </c>
      <c r="C193" t="str">
        <f t="shared" si="12"/>
        <v>KIO60095040</v>
      </c>
      <c r="D193" t="s">
        <v>8689</v>
      </c>
      <c r="E193" s="1" t="s">
        <v>9895</v>
      </c>
      <c r="F193" s="61">
        <f>VLOOKUP(ARTICULOS_GOLOMAX[[#This Row],[CodigoProveedor]],'PRECIOS GOLOMAX'!$A$1:$C$10000,3,FALSE)</f>
        <v>1626.9</v>
      </c>
      <c r="G193" s="3">
        <v>0</v>
      </c>
      <c r="H193" s="3">
        <v>0</v>
      </c>
      <c r="I193">
        <v>1</v>
      </c>
      <c r="J193">
        <v>1</v>
      </c>
      <c r="K193" s="4"/>
      <c r="L193" s="65">
        <f>((ARTICULOS_GOLOMAX[[#This Row],[P. Compra]]*(1+ARTICULOS_GOLOMAX[[#This Row],[IVA]]%))/ARTICULOS_GOLOMAX[[#This Row],[UnidFact]])+ARTICULOS_GOLOMAX[[#This Row],[CostoFlete]]</f>
        <v>1626.9</v>
      </c>
      <c r="M193">
        <v>30</v>
      </c>
      <c r="N193" s="63">
        <f t="shared" si="13"/>
        <v>2300</v>
      </c>
      <c r="O193" s="3">
        <f>MROUND((ARTICULOS_GOLOMAX[[#This Row],[Precio]]/0.6),50)</f>
        <v>3850</v>
      </c>
      <c r="P193" t="s">
        <v>8693</v>
      </c>
      <c r="Q193">
        <v>2</v>
      </c>
      <c r="R193" s="42">
        <v>6</v>
      </c>
      <c r="S193" t="s">
        <v>17</v>
      </c>
      <c r="T193" t="s">
        <v>27</v>
      </c>
      <c r="U193" t="s">
        <v>28</v>
      </c>
      <c r="V193" t="s">
        <v>9819</v>
      </c>
      <c r="W193" t="s">
        <v>8692</v>
      </c>
      <c r="X193">
        <v>1</v>
      </c>
      <c r="Y193">
        <v>2</v>
      </c>
      <c r="AB193" s="80" t="e">
        <f>ARTICULOS_OSLE[[#This Row],[Costo]]*ARTICULOS_OSLE[[#This Row],[Pedido]]</f>
        <v>#VALUE!</v>
      </c>
      <c r="AH193" s="2" t="e">
        <f>IF(AND(ARTICULOS_OSLE[[#This Row],[FechaVenc]]=0,ARTICULOS_OSLE[[#This Row],[DiasVenc]]=0),"",ARTICULOS_OSLE[[#This Row],[FechaVenc]]-ARTICULOS_OSLE[[#This Row],[DiasVenc]])</f>
        <v>#VALUE!</v>
      </c>
      <c r="AO193" s="30" t="s">
        <v>8689</v>
      </c>
    </row>
    <row r="194" spans="1:41" ht="15.75" hidden="1" x14ac:dyDescent="0.25">
      <c r="A194" s="1" t="s">
        <v>9896</v>
      </c>
      <c r="B194">
        <v>1222901</v>
      </c>
      <c r="C194" t="str">
        <f t="shared" si="12"/>
        <v>KIO60094586</v>
      </c>
      <c r="D194" t="s">
        <v>8689</v>
      </c>
      <c r="E194" s="1" t="s">
        <v>9897</v>
      </c>
      <c r="F194" s="61">
        <f>VLOOKUP(ARTICULOS_GOLOMAX[[#This Row],[CodigoProveedor]],'PRECIOS GOLOMAX'!$A$1:$C$10000,3,FALSE)</f>
        <v>1549.12</v>
      </c>
      <c r="G194" s="3">
        <v>0</v>
      </c>
      <c r="H194" s="3">
        <v>0</v>
      </c>
      <c r="I194">
        <v>1</v>
      </c>
      <c r="J194">
        <v>1</v>
      </c>
      <c r="K194" s="4"/>
      <c r="L194" s="65">
        <f>((ARTICULOS_GOLOMAX[[#This Row],[P. Compra]]*(1+ARTICULOS_GOLOMAX[[#This Row],[IVA]]%))/ARTICULOS_GOLOMAX[[#This Row],[UnidFact]])+ARTICULOS_GOLOMAX[[#This Row],[CostoFlete]]</f>
        <v>1549.12</v>
      </c>
      <c r="M194">
        <v>30</v>
      </c>
      <c r="N194" s="63">
        <f t="shared" si="13"/>
        <v>2200</v>
      </c>
      <c r="O194" s="3">
        <f>MROUND((ARTICULOS_GOLOMAX[[#This Row],[Precio]]/0.6),50)</f>
        <v>3650</v>
      </c>
      <c r="P194" t="s">
        <v>8693</v>
      </c>
      <c r="Q194">
        <v>2</v>
      </c>
      <c r="R194" s="42">
        <v>6</v>
      </c>
      <c r="S194" t="s">
        <v>17</v>
      </c>
      <c r="T194" t="s">
        <v>27</v>
      </c>
      <c r="U194" t="s">
        <v>28</v>
      </c>
      <c r="V194" t="s">
        <v>9819</v>
      </c>
      <c r="W194" t="s">
        <v>8692</v>
      </c>
      <c r="X194">
        <v>1</v>
      </c>
      <c r="Y194">
        <v>0</v>
      </c>
      <c r="AB194" s="80" t="e">
        <f>ARTICULOS_OSLE[[#This Row],[Costo]]*ARTICULOS_OSLE[[#This Row],[Pedido]]</f>
        <v>#VALUE!</v>
      </c>
      <c r="AH194" s="2" t="e">
        <f>IF(AND(ARTICULOS_OSLE[[#This Row],[FechaVenc]]=0,ARTICULOS_OSLE[[#This Row],[DiasVenc]]=0),"",ARTICULOS_OSLE[[#This Row],[FechaVenc]]-ARTICULOS_OSLE[[#This Row],[DiasVenc]])</f>
        <v>#VALUE!</v>
      </c>
      <c r="AO194" s="30" t="s">
        <v>8689</v>
      </c>
    </row>
    <row r="195" spans="1:41" ht="15.75" hidden="1" x14ac:dyDescent="0.25">
      <c r="A195" s="1" t="s">
        <v>9898</v>
      </c>
      <c r="B195" s="30">
        <v>1225025</v>
      </c>
      <c r="C195" t="str">
        <f t="shared" si="12"/>
        <v>KIO60095071</v>
      </c>
      <c r="D195" t="s">
        <v>8689</v>
      </c>
      <c r="E195" s="1" t="s">
        <v>9899</v>
      </c>
      <c r="F195" s="61">
        <f>VLOOKUP(ARTICULOS_GOLOMAX[[#This Row],[CodigoProveedor]],'PRECIOS GOLOMAX'!$A$1:$C$10000,3,FALSE)</f>
        <v>1319.97</v>
      </c>
      <c r="G195" s="3">
        <v>0</v>
      </c>
      <c r="H195" s="3">
        <v>0</v>
      </c>
      <c r="I195">
        <v>1</v>
      </c>
      <c r="J195">
        <v>1</v>
      </c>
      <c r="K195" s="4"/>
      <c r="L195" s="65">
        <f>((ARTICULOS_GOLOMAX[[#This Row],[P. Compra]]*(1+ARTICULOS_GOLOMAX[[#This Row],[IVA]]%))/ARTICULOS_GOLOMAX[[#This Row],[UnidFact]])+ARTICULOS_GOLOMAX[[#This Row],[CostoFlete]]</f>
        <v>1319.97</v>
      </c>
      <c r="M195">
        <v>30</v>
      </c>
      <c r="N195" s="63">
        <f t="shared" si="13"/>
        <v>1900</v>
      </c>
      <c r="O195" s="3">
        <f>MROUND((ARTICULOS_GOLOMAX[[#This Row],[Precio]]/0.6),50)</f>
        <v>3150</v>
      </c>
      <c r="P195" t="s">
        <v>8693</v>
      </c>
      <c r="Q195">
        <v>2</v>
      </c>
      <c r="R195" s="42">
        <v>6</v>
      </c>
      <c r="S195" t="s">
        <v>17</v>
      </c>
      <c r="T195" t="s">
        <v>27</v>
      </c>
      <c r="U195" t="s">
        <v>28</v>
      </c>
      <c r="V195" t="s">
        <v>9819</v>
      </c>
      <c r="W195" t="s">
        <v>8692</v>
      </c>
      <c r="X195">
        <v>1</v>
      </c>
      <c r="Y195">
        <v>0</v>
      </c>
      <c r="AB195" s="80" t="e">
        <f>ARTICULOS_OSLE[[#This Row],[Costo]]*ARTICULOS_OSLE[[#This Row],[Pedido]]</f>
        <v>#VALUE!</v>
      </c>
      <c r="AH195" s="2" t="e">
        <f>IF(AND(ARTICULOS_OSLE[[#This Row],[FechaVenc]]=0,ARTICULOS_OSLE[[#This Row],[DiasVenc]]=0),"",ARTICULOS_OSLE[[#This Row],[FechaVenc]]-ARTICULOS_OSLE[[#This Row],[DiasVenc]])</f>
        <v>#VALUE!</v>
      </c>
      <c r="AO195" s="30" t="s">
        <v>8689</v>
      </c>
    </row>
    <row r="196" spans="1:41" ht="15.75" hidden="1" x14ac:dyDescent="0.25">
      <c r="A196" s="1" t="s">
        <v>9900</v>
      </c>
      <c r="B196" s="30">
        <v>1225025</v>
      </c>
      <c r="C196" t="str">
        <f t="shared" si="12"/>
        <v>KIO60095019</v>
      </c>
      <c r="D196" t="s">
        <v>8689</v>
      </c>
      <c r="E196" s="1" t="s">
        <v>9901</v>
      </c>
      <c r="F196" s="61">
        <f>VLOOKUP(ARTICULOS_GOLOMAX[[#This Row],[CodigoProveedor]],'PRECIOS GOLOMAX'!$A$1:$C$10000,3,FALSE)</f>
        <v>1319.97</v>
      </c>
      <c r="G196" s="3">
        <v>0</v>
      </c>
      <c r="H196" s="3">
        <v>0</v>
      </c>
      <c r="I196">
        <v>1</v>
      </c>
      <c r="J196">
        <v>1</v>
      </c>
      <c r="K196" s="4"/>
      <c r="L196" s="65">
        <f>((ARTICULOS_GOLOMAX[[#This Row],[P. Compra]]*(1+ARTICULOS_GOLOMAX[[#This Row],[IVA]]%))/ARTICULOS_GOLOMAX[[#This Row],[UnidFact]])+ARTICULOS_GOLOMAX[[#This Row],[CostoFlete]]</f>
        <v>1319.97</v>
      </c>
      <c r="M196">
        <v>30</v>
      </c>
      <c r="N196" s="63">
        <f t="shared" si="13"/>
        <v>1900</v>
      </c>
      <c r="O196" s="3">
        <f>MROUND((ARTICULOS_GOLOMAX[[#This Row],[Precio]]/0.6),50)</f>
        <v>3150</v>
      </c>
      <c r="P196" t="s">
        <v>8693</v>
      </c>
      <c r="Q196">
        <v>2</v>
      </c>
      <c r="R196" s="42">
        <v>6</v>
      </c>
      <c r="S196" t="s">
        <v>17</v>
      </c>
      <c r="T196" t="s">
        <v>27</v>
      </c>
      <c r="U196" t="s">
        <v>28</v>
      </c>
      <c r="V196" t="s">
        <v>9819</v>
      </c>
      <c r="W196" t="s">
        <v>8692</v>
      </c>
      <c r="X196">
        <v>1</v>
      </c>
      <c r="Y196">
        <v>0</v>
      </c>
      <c r="AB196" s="80" t="e">
        <f>ARTICULOS_OSLE[[#This Row],[Costo]]*ARTICULOS_OSLE[[#This Row],[Pedido]]</f>
        <v>#VALUE!</v>
      </c>
      <c r="AH196" s="2" t="e">
        <f>IF(AND(ARTICULOS_OSLE[[#This Row],[FechaVenc]]=0,ARTICULOS_OSLE[[#This Row],[DiasVenc]]=0),"",ARTICULOS_OSLE[[#This Row],[FechaVenc]]-ARTICULOS_OSLE[[#This Row],[DiasVenc]])</f>
        <v>#VALUE!</v>
      </c>
      <c r="AO196" s="30" t="s">
        <v>8689</v>
      </c>
    </row>
    <row r="197" spans="1:41" ht="15.75" hidden="1" x14ac:dyDescent="0.25">
      <c r="A197" s="1" t="s">
        <v>9902</v>
      </c>
      <c r="B197" s="30">
        <v>1244451</v>
      </c>
      <c r="C197" t="str">
        <f t="shared" si="12"/>
        <v>KIO60002777</v>
      </c>
      <c r="D197" t="s">
        <v>8689</v>
      </c>
      <c r="E197" s="1" t="s">
        <v>9903</v>
      </c>
      <c r="F197" s="61">
        <f>VLOOKUP(ARTICULOS_GOLOMAX[[#This Row],[CodigoProveedor]],'PRECIOS GOLOMAX'!$A$1:$C$10000,3,FALSE)</f>
        <v>2407.1799999999998</v>
      </c>
      <c r="G197" s="3">
        <v>0</v>
      </c>
      <c r="H197" s="3">
        <v>0</v>
      </c>
      <c r="I197">
        <v>40</v>
      </c>
      <c r="J197">
        <v>40</v>
      </c>
      <c r="K197" s="4"/>
      <c r="L197" s="65">
        <f>((ARTICULOS_GOLOMAX[[#This Row],[P. Compra]]*(1+ARTICULOS_GOLOMAX[[#This Row],[IVA]]%))/ARTICULOS_GOLOMAX[[#This Row],[UnidFact]])+ARTICULOS_GOLOMAX[[#This Row],[CostoFlete]]</f>
        <v>60.179499999999997</v>
      </c>
      <c r="M197">
        <v>73</v>
      </c>
      <c r="N197" s="63">
        <f t="shared" si="13"/>
        <v>200</v>
      </c>
      <c r="O197" s="3">
        <f>MROUND((ARTICULOS_GOLOMAX[[#This Row],[Precio]]/0.6),50)</f>
        <v>350</v>
      </c>
      <c r="P197" t="s">
        <v>8693</v>
      </c>
      <c r="Q197">
        <v>10</v>
      </c>
      <c r="R197" s="42">
        <f>ARTICULOS_GOLOMAX[[#This Row],[Bulto]]+ARTICULOS_GOLOMAX[[#This Row],[Minimo]]</f>
        <v>50</v>
      </c>
      <c r="S197" t="s">
        <v>17</v>
      </c>
      <c r="T197" t="s">
        <v>27</v>
      </c>
      <c r="U197" t="s">
        <v>31</v>
      </c>
      <c r="V197" t="s">
        <v>9904</v>
      </c>
      <c r="W197" t="s">
        <v>8692</v>
      </c>
      <c r="X197">
        <v>1</v>
      </c>
      <c r="Y197">
        <v>20</v>
      </c>
      <c r="AB197" s="80" t="e">
        <f>ARTICULOS_OSLE[[#This Row],[Costo]]*ARTICULOS_OSLE[[#This Row],[Pedido]]</f>
        <v>#VALUE!</v>
      </c>
      <c r="AH197" s="2" t="e">
        <f>IF(AND(ARTICULOS_OSLE[[#This Row],[FechaVenc]]=0,ARTICULOS_OSLE[[#This Row],[DiasVenc]]=0),"",ARTICULOS_OSLE[[#This Row],[FechaVenc]]-ARTICULOS_OSLE[[#This Row],[DiasVenc]])</f>
        <v>#VALUE!</v>
      </c>
      <c r="AO197" s="30" t="s">
        <v>8689</v>
      </c>
    </row>
    <row r="198" spans="1:41" ht="15.75" hidden="1" x14ac:dyDescent="0.25">
      <c r="A198" s="1" t="s">
        <v>9905</v>
      </c>
      <c r="B198" s="30">
        <v>1243404</v>
      </c>
      <c r="C198" t="str">
        <f t="shared" si="12"/>
        <v>KIO60002463</v>
      </c>
      <c r="D198" t="s">
        <v>8689</v>
      </c>
      <c r="E198" s="1" t="s">
        <v>9906</v>
      </c>
      <c r="F198" s="61">
        <f>VLOOKUP(ARTICULOS_GOLOMAX[[#This Row],[CodigoProveedor]],'PRECIOS GOLOMAX'!$A$1:$C$10000,3,FALSE)</f>
        <v>1744.56</v>
      </c>
      <c r="G198" s="3">
        <v>0</v>
      </c>
      <c r="H198" s="3">
        <v>0</v>
      </c>
      <c r="I198">
        <v>10</v>
      </c>
      <c r="J198">
        <v>10</v>
      </c>
      <c r="K198" s="4"/>
      <c r="L198" s="65">
        <f>((ARTICULOS_GOLOMAX[[#This Row],[P. Compra]]*(1+ARTICULOS_GOLOMAX[[#This Row],[IVA]]%))/ARTICULOS_GOLOMAX[[#This Row],[UnidFact]])+ARTICULOS_GOLOMAX[[#This Row],[CostoFlete]]</f>
        <v>174.45599999999999</v>
      </c>
      <c r="M198">
        <v>30</v>
      </c>
      <c r="N198" s="63">
        <f t="shared" si="13"/>
        <v>250</v>
      </c>
      <c r="O198" s="3">
        <f>MROUND((ARTICULOS_GOLOMAX[[#This Row],[Precio]]/0.6),50)</f>
        <v>400</v>
      </c>
      <c r="P198" t="s">
        <v>8693</v>
      </c>
      <c r="Q198">
        <v>2</v>
      </c>
      <c r="R198" s="42">
        <f>ARTICULOS_GOLOMAX[[#This Row],[Bulto]]+ARTICULOS_GOLOMAX[[#This Row],[Minimo]]</f>
        <v>12</v>
      </c>
      <c r="S198" t="s">
        <v>17</v>
      </c>
      <c r="T198" t="s">
        <v>27</v>
      </c>
      <c r="U198" t="s">
        <v>31</v>
      </c>
      <c r="V198" t="s">
        <v>9904</v>
      </c>
      <c r="W198" t="s">
        <v>8692</v>
      </c>
      <c r="X198">
        <v>1</v>
      </c>
      <c r="Y198">
        <v>0</v>
      </c>
      <c r="AB198" s="80" t="e">
        <f>ARTICULOS_OSLE[[#This Row],[Costo]]*ARTICULOS_OSLE[[#This Row],[Pedido]]</f>
        <v>#VALUE!</v>
      </c>
      <c r="AH198" s="2" t="e">
        <f>IF(AND(ARTICULOS_OSLE[[#This Row],[FechaVenc]]=0,ARTICULOS_OSLE[[#This Row],[DiasVenc]]=0),"",ARTICULOS_OSLE[[#This Row],[FechaVenc]]-ARTICULOS_OSLE[[#This Row],[DiasVenc]])</f>
        <v>#VALUE!</v>
      </c>
      <c r="AO198" s="30" t="s">
        <v>8689</v>
      </c>
    </row>
    <row r="199" spans="1:41" ht="15.75" hidden="1" x14ac:dyDescent="0.25">
      <c r="A199" s="1" t="s">
        <v>9907</v>
      </c>
      <c r="B199" s="30">
        <v>1243400</v>
      </c>
      <c r="C199" t="str">
        <f t="shared" si="12"/>
        <v>KIO60016217</v>
      </c>
      <c r="D199" t="s">
        <v>8689</v>
      </c>
      <c r="E199" s="1" t="s">
        <v>9908</v>
      </c>
      <c r="F199" s="61">
        <f>VLOOKUP(ARTICULOS_GOLOMAX[[#This Row],[CodigoProveedor]],'PRECIOS GOLOMAX'!$A$1:$C$10000,3,FALSE)</f>
        <v>6941.77</v>
      </c>
      <c r="G199" s="3">
        <v>0</v>
      </c>
      <c r="H199" s="3">
        <v>0</v>
      </c>
      <c r="I199">
        <v>18</v>
      </c>
      <c r="J199">
        <v>18</v>
      </c>
      <c r="K199" s="4"/>
      <c r="L199" s="65">
        <f>((ARTICULOS_GOLOMAX[[#This Row],[P. Compra]]*(1+ARTICULOS_GOLOMAX[[#This Row],[IVA]]%))/ARTICULOS_GOLOMAX[[#This Row],[UnidFact]])+ARTICULOS_GOLOMAX[[#This Row],[CostoFlete]]</f>
        <v>385.6538888888889</v>
      </c>
      <c r="M199">
        <v>30</v>
      </c>
      <c r="N199" s="63">
        <f t="shared" si="13"/>
        <v>550</v>
      </c>
      <c r="O199" s="3">
        <f>MROUND((ARTICULOS_GOLOMAX[[#This Row],[Precio]]/0.6),50)</f>
        <v>900</v>
      </c>
      <c r="P199" t="s">
        <v>8693</v>
      </c>
      <c r="Q199">
        <v>2</v>
      </c>
      <c r="R199" s="42">
        <f>ARTICULOS_GOLOMAX[[#This Row],[Bulto]]+ARTICULOS_GOLOMAX[[#This Row],[Minimo]]</f>
        <v>20</v>
      </c>
      <c r="S199" t="s">
        <v>17</v>
      </c>
      <c r="T199" t="s">
        <v>27</v>
      </c>
      <c r="U199" t="s">
        <v>31</v>
      </c>
      <c r="V199" t="s">
        <v>9904</v>
      </c>
      <c r="W199" t="s">
        <v>8692</v>
      </c>
      <c r="X199">
        <v>1</v>
      </c>
      <c r="Y199">
        <v>13</v>
      </c>
      <c r="AB199" s="80" t="e">
        <f>ARTICULOS_OSLE[[#This Row],[Costo]]*ARTICULOS_OSLE[[#This Row],[Pedido]]</f>
        <v>#VALUE!</v>
      </c>
      <c r="AH199" s="2" t="e">
        <f>IF(AND(ARTICULOS_OSLE[[#This Row],[FechaVenc]]=0,ARTICULOS_OSLE[[#This Row],[DiasVenc]]=0),"",ARTICULOS_OSLE[[#This Row],[FechaVenc]]-ARTICULOS_OSLE[[#This Row],[DiasVenc]])</f>
        <v>#VALUE!</v>
      </c>
      <c r="AO199" s="30" t="s">
        <v>8689</v>
      </c>
    </row>
    <row r="200" spans="1:41" ht="15.75" hidden="1" x14ac:dyDescent="0.25">
      <c r="A200" s="1" t="s">
        <v>9909</v>
      </c>
      <c r="B200" s="30">
        <v>1246402</v>
      </c>
      <c r="C200" t="str">
        <f t="shared" si="12"/>
        <v>KIO60008366</v>
      </c>
      <c r="D200" t="s">
        <v>8689</v>
      </c>
      <c r="E200" s="1" t="s">
        <v>9910</v>
      </c>
      <c r="F200" s="61">
        <f>VLOOKUP(ARTICULOS_GOLOMAX[[#This Row],[CodigoProveedor]],'PRECIOS GOLOMAX'!$A$1:$C$10000,3,FALSE)</f>
        <v>95.55</v>
      </c>
      <c r="G200" s="3">
        <v>0</v>
      </c>
      <c r="H200" s="3">
        <v>0</v>
      </c>
      <c r="I200">
        <v>1</v>
      </c>
      <c r="J200">
        <v>1</v>
      </c>
      <c r="K200" s="4"/>
      <c r="L200" s="65">
        <f>((ARTICULOS_GOLOMAX[[#This Row],[P. Compra]]*(1+ARTICULOS_GOLOMAX[[#This Row],[IVA]]%))/ARTICULOS_GOLOMAX[[#This Row],[UnidFact]])+ARTICULOS_GOLOMAX[[#This Row],[CostoFlete]]</f>
        <v>95.55</v>
      </c>
      <c r="M200">
        <v>40</v>
      </c>
      <c r="N200" s="63">
        <f t="shared" ref="N200:N263" si="15">IF(L200&gt;=10,MROUND(L200/(1-M200/100),50),20)</f>
        <v>150</v>
      </c>
      <c r="O200" s="3">
        <f>MROUND((ARTICULOS_GOLOMAX[[#This Row],[Precio]]/0.6),50)</f>
        <v>250</v>
      </c>
      <c r="P200" t="s">
        <v>8693</v>
      </c>
      <c r="Q200">
        <v>10</v>
      </c>
      <c r="R200" s="42">
        <v>60</v>
      </c>
      <c r="S200" t="s">
        <v>17</v>
      </c>
      <c r="T200" t="s">
        <v>27</v>
      </c>
      <c r="U200" t="s">
        <v>31</v>
      </c>
      <c r="V200" t="s">
        <v>9904</v>
      </c>
      <c r="W200" t="s">
        <v>8692</v>
      </c>
      <c r="X200">
        <v>1</v>
      </c>
      <c r="Y200">
        <v>0</v>
      </c>
      <c r="AB200" s="80" t="e">
        <f>ARTICULOS_OSLE[[#This Row],[Costo]]*ARTICULOS_OSLE[[#This Row],[Pedido]]</f>
        <v>#VALUE!</v>
      </c>
      <c r="AH200" s="2" t="e">
        <f>IF(AND(ARTICULOS_OSLE[[#This Row],[FechaVenc]]=0,ARTICULOS_OSLE[[#This Row],[DiasVenc]]=0),"",ARTICULOS_OSLE[[#This Row],[FechaVenc]]-ARTICULOS_OSLE[[#This Row],[DiasVenc]])</f>
        <v>#VALUE!</v>
      </c>
      <c r="AO200" s="30" t="s">
        <v>8689</v>
      </c>
    </row>
    <row r="201" spans="1:41" ht="15.75" hidden="1" x14ac:dyDescent="0.25">
      <c r="A201" s="1" t="s">
        <v>9911</v>
      </c>
      <c r="B201"/>
      <c r="C201" t="str">
        <f t="shared" ref="C201:C233" si="16">CONCATENATE(LEFT(T201,3),RIGHT(A201,8))</f>
        <v>KIO77909701</v>
      </c>
      <c r="D201" t="s">
        <v>8689</v>
      </c>
      <c r="E201" s="1" t="s">
        <v>9912</v>
      </c>
      <c r="F201" s="61" t="e">
        <f>VLOOKUP(ARTICULOS_GOLOMAX[[#This Row],[CodigoProveedor]],'PRECIOS GOLOMAX'!$A$1:$C$10000,3,FALSE)</f>
        <v>#N/A</v>
      </c>
      <c r="G201" s="3">
        <v>0</v>
      </c>
      <c r="H201" s="3">
        <v>0</v>
      </c>
      <c r="I201">
        <v>24</v>
      </c>
      <c r="J201">
        <v>24</v>
      </c>
      <c r="K201" s="4"/>
      <c r="L201" s="65" t="e">
        <f>((ARTICULOS_GOLOMAX[[#This Row],[P. Compra]]*(1+ARTICULOS_GOLOMAX[[#This Row],[IVA]]%))/ARTICULOS_GOLOMAX[[#This Row],[UnidFact]])+ARTICULOS_GOLOMAX[[#This Row],[CostoFlete]]</f>
        <v>#N/A</v>
      </c>
      <c r="M201">
        <v>30</v>
      </c>
      <c r="N201" s="63" t="e">
        <f t="shared" si="15"/>
        <v>#N/A</v>
      </c>
      <c r="O201" s="3" t="e">
        <f>MROUND((ARTICULOS_GOLOMAX[[#This Row],[Precio]]/0.6),50)</f>
        <v>#N/A</v>
      </c>
      <c r="P201" t="s">
        <v>8693</v>
      </c>
      <c r="Q201">
        <v>10</v>
      </c>
      <c r="R201" s="42">
        <v>40</v>
      </c>
      <c r="S201" t="s">
        <v>17</v>
      </c>
      <c r="T201" t="s">
        <v>27</v>
      </c>
      <c r="U201" t="s">
        <v>31</v>
      </c>
      <c r="V201" t="s">
        <v>9822</v>
      </c>
      <c r="W201" t="s">
        <v>8692</v>
      </c>
      <c r="X201">
        <v>1</v>
      </c>
      <c r="Y201">
        <v>0</v>
      </c>
      <c r="AB201" s="80" t="e">
        <f>ARTICULOS_OSLE[[#This Row],[Costo]]*ARTICULOS_OSLE[[#This Row],[Pedido]]</f>
        <v>#VALUE!</v>
      </c>
      <c r="AH201" s="2" t="e">
        <f>IF(AND(ARTICULOS_OSLE[[#This Row],[FechaVenc]]=0,ARTICULOS_OSLE[[#This Row],[DiasVenc]]=0),"",ARTICULOS_OSLE[[#This Row],[FechaVenc]]-ARTICULOS_OSLE[[#This Row],[DiasVenc]])</f>
        <v>#VALUE!</v>
      </c>
      <c r="AO201" s="30" t="s">
        <v>8689</v>
      </c>
    </row>
    <row r="202" spans="1:41" ht="15.75" hidden="1" x14ac:dyDescent="0.25">
      <c r="A202" s="1" t="s">
        <v>9913</v>
      </c>
      <c r="B202" s="30">
        <v>1242900</v>
      </c>
      <c r="C202" t="str">
        <f t="shared" si="16"/>
        <v>KIO60011212</v>
      </c>
      <c r="D202" t="s">
        <v>8689</v>
      </c>
      <c r="E202" s="1" t="s">
        <v>9914</v>
      </c>
      <c r="F202" s="61">
        <f>VLOOKUP(ARTICULOS_GOLOMAX[[#This Row],[CodigoProveedor]],'PRECIOS GOLOMAX'!$A$1:$C$10000,3,FALSE)</f>
        <v>432.82</v>
      </c>
      <c r="G202" s="3">
        <v>0</v>
      </c>
      <c r="H202" s="3">
        <v>0</v>
      </c>
      <c r="I202">
        <v>1</v>
      </c>
      <c r="J202">
        <v>1</v>
      </c>
      <c r="K202" s="4"/>
      <c r="L202" s="65">
        <f>((ARTICULOS_GOLOMAX[[#This Row],[P. Compra]]*(1+ARTICULOS_GOLOMAX[[#This Row],[IVA]]%))/ARTICULOS_GOLOMAX[[#This Row],[UnidFact]])+ARTICULOS_GOLOMAX[[#This Row],[CostoFlete]]</f>
        <v>432.82</v>
      </c>
      <c r="M202">
        <v>30</v>
      </c>
      <c r="N202" s="63">
        <f t="shared" si="15"/>
        <v>600</v>
      </c>
      <c r="O202" s="3">
        <f>MROUND((ARTICULOS_GOLOMAX[[#This Row],[Precio]]/0.6),50)</f>
        <v>1000</v>
      </c>
      <c r="P202" t="s">
        <v>8693</v>
      </c>
      <c r="Q202">
        <v>3</v>
      </c>
      <c r="R202" s="42">
        <v>15</v>
      </c>
      <c r="S202" t="s">
        <v>17</v>
      </c>
      <c r="T202" t="s">
        <v>27</v>
      </c>
      <c r="U202" t="s">
        <v>31</v>
      </c>
      <c r="V202" t="s">
        <v>9904</v>
      </c>
      <c r="W202" t="s">
        <v>8692</v>
      </c>
      <c r="X202">
        <v>1</v>
      </c>
      <c r="Y202">
        <v>10</v>
      </c>
      <c r="AB202" s="80" t="e">
        <f>ARTICULOS_OSLE[[#This Row],[Costo]]*ARTICULOS_OSLE[[#This Row],[Pedido]]</f>
        <v>#VALUE!</v>
      </c>
      <c r="AH202" s="2" t="e">
        <f>IF(AND(ARTICULOS_OSLE[[#This Row],[FechaVenc]]=0,ARTICULOS_OSLE[[#This Row],[DiasVenc]]=0),"",ARTICULOS_OSLE[[#This Row],[FechaVenc]]-ARTICULOS_OSLE[[#This Row],[DiasVenc]])</f>
        <v>#VALUE!</v>
      </c>
      <c r="AO202" s="30" t="s">
        <v>8689</v>
      </c>
    </row>
    <row r="203" spans="1:41" ht="15.75" hidden="1" x14ac:dyDescent="0.25">
      <c r="A203" s="1" t="s">
        <v>9915</v>
      </c>
      <c r="B203">
        <v>1244562</v>
      </c>
      <c r="C203" t="str">
        <f t="shared" si="16"/>
        <v>KIO30951783</v>
      </c>
      <c r="D203" t="s">
        <v>8689</v>
      </c>
      <c r="E203" s="1" t="s">
        <v>9916</v>
      </c>
      <c r="F203" s="61">
        <f>VLOOKUP(ARTICULOS_GOLOMAX[[#This Row],[CodigoProveedor]],'PRECIOS GOLOMAX'!$A$1:$C$10000,3,FALSE)</f>
        <v>332.92</v>
      </c>
      <c r="G203" s="3">
        <v>0</v>
      </c>
      <c r="H203" s="3">
        <v>0</v>
      </c>
      <c r="I203">
        <v>1</v>
      </c>
      <c r="J203">
        <v>1</v>
      </c>
      <c r="K203" s="4"/>
      <c r="L203" s="65">
        <f>((ARTICULOS_GOLOMAX[[#This Row],[P. Compra]]*(1+ARTICULOS_GOLOMAX[[#This Row],[IVA]]%))/ARTICULOS_GOLOMAX[[#This Row],[UnidFact]])+ARTICULOS_GOLOMAX[[#This Row],[CostoFlete]]</f>
        <v>332.92</v>
      </c>
      <c r="M203">
        <v>30</v>
      </c>
      <c r="N203" s="63">
        <f t="shared" si="15"/>
        <v>500</v>
      </c>
      <c r="O203" s="3">
        <f>MROUND((ARTICULOS_GOLOMAX[[#This Row],[Precio]]/0.6),50)</f>
        <v>850</v>
      </c>
      <c r="P203" t="s">
        <v>8693</v>
      </c>
      <c r="Q203">
        <v>3</v>
      </c>
      <c r="R203" s="42">
        <v>9</v>
      </c>
      <c r="S203" t="s">
        <v>17</v>
      </c>
      <c r="T203" t="s">
        <v>27</v>
      </c>
      <c r="U203" t="s">
        <v>31</v>
      </c>
      <c r="V203" t="s">
        <v>9792</v>
      </c>
      <c r="W203" t="s">
        <v>8692</v>
      </c>
      <c r="X203">
        <v>1</v>
      </c>
      <c r="Y203">
        <v>0</v>
      </c>
      <c r="AB203" s="80" t="e">
        <f>ARTICULOS_OSLE[[#This Row],[Costo]]*ARTICULOS_OSLE[[#This Row],[Pedido]]</f>
        <v>#VALUE!</v>
      </c>
      <c r="AH203" s="2" t="e">
        <f>IF(AND(ARTICULOS_OSLE[[#This Row],[FechaVenc]]=0,ARTICULOS_OSLE[[#This Row],[DiasVenc]]=0),"",ARTICULOS_OSLE[[#This Row],[FechaVenc]]-ARTICULOS_OSLE[[#This Row],[DiasVenc]])</f>
        <v>#VALUE!</v>
      </c>
      <c r="AO203" s="30" t="s">
        <v>8689</v>
      </c>
    </row>
    <row r="204" spans="1:41" ht="15.75" hidden="1" x14ac:dyDescent="0.25">
      <c r="A204" s="1" t="s">
        <v>9917</v>
      </c>
      <c r="B204">
        <v>1246601</v>
      </c>
      <c r="C204" t="str">
        <f t="shared" si="16"/>
        <v>KIO47082959</v>
      </c>
      <c r="D204" t="s">
        <v>8689</v>
      </c>
      <c r="E204" s="1" t="s">
        <v>9918</v>
      </c>
      <c r="F204" s="61">
        <f>VLOOKUP(ARTICULOS_GOLOMAX[[#This Row],[CodigoProveedor]],'PRECIOS GOLOMAX'!$A$1:$C$10000,3,FALSE)</f>
        <v>6515.83</v>
      </c>
      <c r="G204" s="3">
        <v>0</v>
      </c>
      <c r="H204" s="3">
        <v>0</v>
      </c>
      <c r="I204">
        <v>8</v>
      </c>
      <c r="J204">
        <v>8</v>
      </c>
      <c r="K204" s="4"/>
      <c r="L204" s="65">
        <f>((ARTICULOS_GOLOMAX[[#This Row],[P. Compra]]*(1+ARTICULOS_GOLOMAX[[#This Row],[IVA]]%))/ARTICULOS_GOLOMAX[[#This Row],[UnidFact]])+ARTICULOS_GOLOMAX[[#This Row],[CostoFlete]]</f>
        <v>814.47874999999999</v>
      </c>
      <c r="M204">
        <v>30</v>
      </c>
      <c r="N204" s="63">
        <f t="shared" si="15"/>
        <v>1150</v>
      </c>
      <c r="O204" s="3">
        <f>MROUND((ARTICULOS_GOLOMAX[[#This Row],[Precio]]/0.6),50)</f>
        <v>1900</v>
      </c>
      <c r="P204" t="s">
        <v>8693</v>
      </c>
      <c r="Q204">
        <v>2</v>
      </c>
      <c r="R204" s="42">
        <f>ARTICULOS_GOLOMAX[[#This Row],[Bulto]]+ARTICULOS_GOLOMAX[[#This Row],[Minimo]]</f>
        <v>10</v>
      </c>
      <c r="S204" t="s">
        <v>17</v>
      </c>
      <c r="T204" t="s">
        <v>27</v>
      </c>
      <c r="U204" t="s">
        <v>31</v>
      </c>
      <c r="V204" t="s">
        <v>9792</v>
      </c>
      <c r="W204" t="s">
        <v>8692</v>
      </c>
      <c r="X204">
        <v>1</v>
      </c>
      <c r="Y204">
        <v>6</v>
      </c>
      <c r="AB204" s="80" t="e">
        <f>ARTICULOS_OSLE[[#This Row],[Costo]]*ARTICULOS_OSLE[[#This Row],[Pedido]]</f>
        <v>#VALUE!</v>
      </c>
      <c r="AH204" s="2" t="e">
        <f>IF(AND(ARTICULOS_OSLE[[#This Row],[FechaVenc]]=0,ARTICULOS_OSLE[[#This Row],[DiasVenc]]=0),"",ARTICULOS_OSLE[[#This Row],[FechaVenc]]-ARTICULOS_OSLE[[#This Row],[DiasVenc]])</f>
        <v>#VALUE!</v>
      </c>
      <c r="AO204" s="30" t="s">
        <v>8689</v>
      </c>
    </row>
    <row r="205" spans="1:41" ht="15.75" hidden="1" x14ac:dyDescent="0.25">
      <c r="A205" s="1" t="s">
        <v>9919</v>
      </c>
      <c r="B205">
        <v>1242810</v>
      </c>
      <c r="C205" t="str">
        <f t="shared" si="16"/>
        <v>KIO22400846</v>
      </c>
      <c r="D205" t="s">
        <v>8689</v>
      </c>
      <c r="E205" s="1" t="s">
        <v>9920</v>
      </c>
      <c r="F205" s="61">
        <f>VLOOKUP(ARTICULOS_GOLOMAX[[#This Row],[CodigoProveedor]],'PRECIOS GOLOMAX'!$A$1:$C$10000,3,FALSE)</f>
        <v>10043.99</v>
      </c>
      <c r="G205" s="3">
        <v>0</v>
      </c>
      <c r="H205" s="3">
        <v>0</v>
      </c>
      <c r="I205">
        <v>6</v>
      </c>
      <c r="J205">
        <v>6</v>
      </c>
      <c r="K205" s="4"/>
      <c r="L205" s="65">
        <f>((ARTICULOS_GOLOMAX[[#This Row],[P. Compra]]*(1+ARTICULOS_GOLOMAX[[#This Row],[IVA]]%))/ARTICULOS_GOLOMAX[[#This Row],[UnidFact]])+ARTICULOS_GOLOMAX[[#This Row],[CostoFlete]]</f>
        <v>1673.9983333333332</v>
      </c>
      <c r="M205">
        <v>30</v>
      </c>
      <c r="N205" s="63">
        <f t="shared" si="15"/>
        <v>2400</v>
      </c>
      <c r="O205" s="3">
        <f>MROUND((ARTICULOS_GOLOMAX[[#This Row],[Precio]]/0.6),50)</f>
        <v>4000</v>
      </c>
      <c r="P205" t="s">
        <v>8693</v>
      </c>
      <c r="Q205">
        <v>2</v>
      </c>
      <c r="R205" s="42">
        <f>ARTICULOS_GOLOMAX[[#This Row],[Bulto]]+ARTICULOS_GOLOMAX[[#This Row],[Minimo]]</f>
        <v>8</v>
      </c>
      <c r="S205" t="s">
        <v>17</v>
      </c>
      <c r="T205" t="s">
        <v>27</v>
      </c>
      <c r="U205" t="s">
        <v>31</v>
      </c>
      <c r="V205" t="s">
        <v>9792</v>
      </c>
      <c r="W205" t="s">
        <v>8692</v>
      </c>
      <c r="X205">
        <v>1</v>
      </c>
      <c r="Y205">
        <v>1</v>
      </c>
      <c r="AB205" s="80" t="e">
        <f>ARTICULOS_OSLE[[#This Row],[Costo]]*ARTICULOS_OSLE[[#This Row],[Pedido]]</f>
        <v>#VALUE!</v>
      </c>
      <c r="AH205" s="2" t="e">
        <f>IF(AND(ARTICULOS_OSLE[[#This Row],[FechaVenc]]=0,ARTICULOS_OSLE[[#This Row],[DiasVenc]]=0),"",ARTICULOS_OSLE[[#This Row],[FechaVenc]]-ARTICULOS_OSLE[[#This Row],[DiasVenc]])</f>
        <v>#VALUE!</v>
      </c>
      <c r="AO205" s="30" t="s">
        <v>8689</v>
      </c>
    </row>
    <row r="206" spans="1:41" ht="15.75" hidden="1" x14ac:dyDescent="0.25">
      <c r="A206" s="1" t="s">
        <v>9921</v>
      </c>
      <c r="B206">
        <v>1246000</v>
      </c>
      <c r="C206" t="str">
        <f t="shared" si="16"/>
        <v>KIO30954760</v>
      </c>
      <c r="D206" t="s">
        <v>8689</v>
      </c>
      <c r="E206" s="1" t="s">
        <v>9922</v>
      </c>
      <c r="F206" s="61">
        <f>VLOOKUP(ARTICULOS_GOLOMAX[[#This Row],[CodigoProveedor]],'PRECIOS GOLOMAX'!$A$1:$C$10000,3,FALSE)</f>
        <v>1344.02</v>
      </c>
      <c r="G206" s="3">
        <v>0</v>
      </c>
      <c r="H206" s="3">
        <v>0</v>
      </c>
      <c r="I206">
        <v>9</v>
      </c>
      <c r="J206">
        <v>1</v>
      </c>
      <c r="K206" s="4"/>
      <c r="L206" s="65">
        <f>((ARTICULOS_GOLOMAX[[#This Row],[P. Compra]]*(1+ARTICULOS_GOLOMAX[[#This Row],[IVA]]%))/ARTICULOS_GOLOMAX[[#This Row],[UnidFact]])+ARTICULOS_GOLOMAX[[#This Row],[CostoFlete]]</f>
        <v>1344.02</v>
      </c>
      <c r="M206">
        <v>30</v>
      </c>
      <c r="N206" s="63">
        <f t="shared" si="15"/>
        <v>1900</v>
      </c>
      <c r="O206" s="3">
        <f>MROUND((ARTICULOS_GOLOMAX[[#This Row],[Precio]]/0.6),50)</f>
        <v>3150</v>
      </c>
      <c r="P206" t="s">
        <v>8693</v>
      </c>
      <c r="Q206">
        <v>2</v>
      </c>
      <c r="R206" s="42">
        <f>ARTICULOS_GOLOMAX[[#This Row],[Bulto]]+ARTICULOS_GOLOMAX[[#This Row],[Minimo]]</f>
        <v>11</v>
      </c>
      <c r="S206" t="s">
        <v>17</v>
      </c>
      <c r="T206" t="s">
        <v>27</v>
      </c>
      <c r="U206" t="s">
        <v>31</v>
      </c>
      <c r="V206" t="s">
        <v>9792</v>
      </c>
      <c r="W206" t="s">
        <v>8692</v>
      </c>
      <c r="X206">
        <v>1</v>
      </c>
      <c r="Y206">
        <v>1</v>
      </c>
      <c r="AB206" s="80" t="e">
        <f>ARTICULOS_OSLE[[#This Row],[Costo]]*ARTICULOS_OSLE[[#This Row],[Pedido]]</f>
        <v>#VALUE!</v>
      </c>
      <c r="AH206" s="2" t="e">
        <f>IF(AND(ARTICULOS_OSLE[[#This Row],[FechaVenc]]=0,ARTICULOS_OSLE[[#This Row],[DiasVenc]]=0),"",ARTICULOS_OSLE[[#This Row],[FechaVenc]]-ARTICULOS_OSLE[[#This Row],[DiasVenc]])</f>
        <v>#VALUE!</v>
      </c>
      <c r="AO206" s="30" t="s">
        <v>8689</v>
      </c>
    </row>
    <row r="207" spans="1:41" ht="15.75" hidden="1" x14ac:dyDescent="0.25">
      <c r="A207" s="1" t="s">
        <v>9923</v>
      </c>
      <c r="B207">
        <v>1243200</v>
      </c>
      <c r="C207" t="str">
        <f t="shared" si="16"/>
        <v>KIO30950779</v>
      </c>
      <c r="D207" t="s">
        <v>8689</v>
      </c>
      <c r="E207" s="1" t="s">
        <v>9924</v>
      </c>
      <c r="F207" s="61">
        <f>VLOOKUP(ARTICULOS_GOLOMAX[[#This Row],[CodigoProveedor]],'PRECIOS GOLOMAX'!$A$1:$C$10000,3,FALSE)</f>
        <v>1269.96</v>
      </c>
      <c r="G207" s="3">
        <v>0</v>
      </c>
      <c r="H207" s="3">
        <v>0</v>
      </c>
      <c r="I207">
        <v>1</v>
      </c>
      <c r="J207">
        <v>1</v>
      </c>
      <c r="K207" s="4"/>
      <c r="L207" s="65">
        <f>((ARTICULOS_GOLOMAX[[#This Row],[P. Compra]]*(1+ARTICULOS_GOLOMAX[[#This Row],[IVA]]%))/ARTICULOS_GOLOMAX[[#This Row],[UnidFact]])+ARTICULOS_GOLOMAX[[#This Row],[CostoFlete]]</f>
        <v>1269.96</v>
      </c>
      <c r="M207">
        <v>30</v>
      </c>
      <c r="N207" s="63">
        <f t="shared" si="15"/>
        <v>1800</v>
      </c>
      <c r="O207" s="3">
        <f>MROUND((ARTICULOS_GOLOMAX[[#This Row],[Precio]]/0.6),50)</f>
        <v>3000</v>
      </c>
      <c r="P207" t="s">
        <v>8693</v>
      </c>
      <c r="Q207">
        <v>2</v>
      </c>
      <c r="R207" s="42">
        <v>8</v>
      </c>
      <c r="S207" t="s">
        <v>17</v>
      </c>
      <c r="T207" t="s">
        <v>27</v>
      </c>
      <c r="U207" t="s">
        <v>31</v>
      </c>
      <c r="V207" t="s">
        <v>9792</v>
      </c>
      <c r="W207" t="s">
        <v>8692</v>
      </c>
      <c r="X207">
        <v>1</v>
      </c>
      <c r="Y207">
        <v>3</v>
      </c>
      <c r="AB207" s="80" t="e">
        <f>ARTICULOS_OSLE[[#This Row],[Costo]]*ARTICULOS_OSLE[[#This Row],[Pedido]]</f>
        <v>#VALUE!</v>
      </c>
      <c r="AH207" s="2" t="e">
        <f>IF(AND(ARTICULOS_OSLE[[#This Row],[FechaVenc]]=0,ARTICULOS_OSLE[[#This Row],[DiasVenc]]=0),"",ARTICULOS_OSLE[[#This Row],[FechaVenc]]-ARTICULOS_OSLE[[#This Row],[DiasVenc]])</f>
        <v>#VALUE!</v>
      </c>
      <c r="AO207" s="30" t="s">
        <v>8689</v>
      </c>
    </row>
    <row r="208" spans="1:41" ht="15.75" hidden="1" x14ac:dyDescent="0.25">
      <c r="A208" s="1" t="s">
        <v>9925</v>
      </c>
      <c r="B208">
        <v>1243300</v>
      </c>
      <c r="C208" t="str">
        <f t="shared" si="16"/>
        <v>KIO47080542</v>
      </c>
      <c r="D208" t="s">
        <v>8689</v>
      </c>
      <c r="E208" s="1" t="s">
        <v>9926</v>
      </c>
      <c r="F208" s="61">
        <f>VLOOKUP(ARTICULOS_GOLOMAX[[#This Row],[CodigoProveedor]],'PRECIOS GOLOMAX'!$A$1:$C$10000,3,FALSE)</f>
        <v>1164.22</v>
      </c>
      <c r="G208" s="3">
        <v>0</v>
      </c>
      <c r="H208" s="3">
        <v>0</v>
      </c>
      <c r="I208">
        <v>1</v>
      </c>
      <c r="J208">
        <v>1</v>
      </c>
      <c r="K208" s="4"/>
      <c r="L208" s="65">
        <f>((ARTICULOS_GOLOMAX[[#This Row],[P. Compra]]*(1+ARTICULOS_GOLOMAX[[#This Row],[IVA]]%))/ARTICULOS_GOLOMAX[[#This Row],[UnidFact]])+ARTICULOS_GOLOMAX[[#This Row],[CostoFlete]]</f>
        <v>1164.22</v>
      </c>
      <c r="M208">
        <v>30</v>
      </c>
      <c r="N208" s="63">
        <f t="shared" si="15"/>
        <v>1650</v>
      </c>
      <c r="O208" s="3">
        <f>MROUND((ARTICULOS_GOLOMAX[[#This Row],[Precio]]/0.6),50)</f>
        <v>2750</v>
      </c>
      <c r="P208" t="s">
        <v>8693</v>
      </c>
      <c r="Q208">
        <v>2</v>
      </c>
      <c r="R208" s="42">
        <v>8</v>
      </c>
      <c r="S208" t="s">
        <v>17</v>
      </c>
      <c r="T208" t="s">
        <v>27</v>
      </c>
      <c r="U208" t="s">
        <v>31</v>
      </c>
      <c r="V208" t="s">
        <v>9792</v>
      </c>
      <c r="W208" t="s">
        <v>8692</v>
      </c>
      <c r="X208">
        <v>1</v>
      </c>
      <c r="Y208">
        <v>1</v>
      </c>
      <c r="AB208" s="80" t="e">
        <f>ARTICULOS_OSLE[[#This Row],[Costo]]*ARTICULOS_OSLE[[#This Row],[Pedido]]</f>
        <v>#VALUE!</v>
      </c>
      <c r="AH208" s="2" t="e">
        <f>IF(AND(ARTICULOS_OSLE[[#This Row],[FechaVenc]]=0,ARTICULOS_OSLE[[#This Row],[DiasVenc]]=0),"",ARTICULOS_OSLE[[#This Row],[FechaVenc]]-ARTICULOS_OSLE[[#This Row],[DiasVenc]])</f>
        <v>#VALUE!</v>
      </c>
      <c r="AO208" s="30" t="s">
        <v>8689</v>
      </c>
    </row>
    <row r="209" spans="1:41" ht="15.75" hidden="1" x14ac:dyDescent="0.25">
      <c r="A209" s="1" t="s">
        <v>9927</v>
      </c>
      <c r="B209" s="30">
        <v>1246710</v>
      </c>
      <c r="C209" t="str">
        <f t="shared" si="16"/>
        <v>KIO60008373</v>
      </c>
      <c r="D209" t="s">
        <v>8689</v>
      </c>
      <c r="E209" s="1" t="s">
        <v>9928</v>
      </c>
      <c r="F209" s="61">
        <f>VLOOKUP(ARTICULOS_GOLOMAX[[#This Row],[CodigoProveedor]],'PRECIOS GOLOMAX'!$A$1:$C$10000,3,FALSE)</f>
        <v>30.43</v>
      </c>
      <c r="G209" s="3">
        <v>0</v>
      </c>
      <c r="H209" s="3">
        <v>0</v>
      </c>
      <c r="I209">
        <v>1</v>
      </c>
      <c r="J209">
        <v>1</v>
      </c>
      <c r="K209" s="4"/>
      <c r="L209" s="65">
        <f>((ARTICULOS_GOLOMAX[[#This Row],[P. Compra]]*(1+ARTICULOS_GOLOMAX[[#This Row],[IVA]]%))/ARTICULOS_GOLOMAX[[#This Row],[UnidFact]])+ARTICULOS_GOLOMAX[[#This Row],[CostoFlete]]</f>
        <v>30.43</v>
      </c>
      <c r="M209">
        <v>60</v>
      </c>
      <c r="N209" s="63">
        <f t="shared" si="15"/>
        <v>100</v>
      </c>
      <c r="O209" s="3">
        <f>MROUND((ARTICULOS_GOLOMAX[[#This Row],[Precio]]/0.6),50)</f>
        <v>150</v>
      </c>
      <c r="P209" t="s">
        <v>8693</v>
      </c>
      <c r="Q209">
        <v>10</v>
      </c>
      <c r="R209" s="42">
        <v>50</v>
      </c>
      <c r="S209" t="s">
        <v>17</v>
      </c>
      <c r="T209" t="s">
        <v>27</v>
      </c>
      <c r="U209" t="s">
        <v>31</v>
      </c>
      <c r="V209" t="s">
        <v>9904</v>
      </c>
      <c r="W209" t="s">
        <v>8692</v>
      </c>
      <c r="X209">
        <v>1</v>
      </c>
      <c r="Y209">
        <v>0</v>
      </c>
      <c r="AB209" s="80" t="e">
        <f>ARTICULOS_OSLE[[#This Row],[Costo]]*ARTICULOS_OSLE[[#This Row],[Pedido]]</f>
        <v>#VALUE!</v>
      </c>
      <c r="AH209" s="2" t="e">
        <f>IF(AND(ARTICULOS_OSLE[[#This Row],[FechaVenc]]=0,ARTICULOS_OSLE[[#This Row],[DiasVenc]]=0),"",ARTICULOS_OSLE[[#This Row],[FechaVenc]]-ARTICULOS_OSLE[[#This Row],[DiasVenc]])</f>
        <v>#VALUE!</v>
      </c>
      <c r="AO209" s="30" t="s">
        <v>8689</v>
      </c>
    </row>
    <row r="210" spans="1:41" ht="15.75" hidden="1" x14ac:dyDescent="0.25">
      <c r="A210" s="1" t="s">
        <v>9929</v>
      </c>
      <c r="B210" s="30">
        <v>1242500</v>
      </c>
      <c r="C210" t="str">
        <f t="shared" si="16"/>
        <v>KIO11111</v>
      </c>
      <c r="D210" t="s">
        <v>8689</v>
      </c>
      <c r="E210" s="1" t="s">
        <v>9930</v>
      </c>
      <c r="F210" s="61">
        <f>VLOOKUP(ARTICULOS_GOLOMAX[[#This Row],[CodigoProveedor]],'PRECIOS GOLOMAX'!$A$1:$C$10000,3,FALSE)</f>
        <v>118.32</v>
      </c>
      <c r="G210" s="3">
        <v>0</v>
      </c>
      <c r="H210" s="3">
        <v>0</v>
      </c>
      <c r="I210">
        <v>1</v>
      </c>
      <c r="J210">
        <v>1</v>
      </c>
      <c r="K210" s="4"/>
      <c r="L210" s="65">
        <f>((ARTICULOS_GOLOMAX[[#This Row],[P. Compra]]*(1+ARTICULOS_GOLOMAX[[#This Row],[IVA]]%))/ARTICULOS_GOLOMAX[[#This Row],[UnidFact]])+ARTICULOS_GOLOMAX[[#This Row],[CostoFlete]]</f>
        <v>118.32</v>
      </c>
      <c r="M210">
        <v>50</v>
      </c>
      <c r="N210" s="63">
        <f t="shared" si="15"/>
        <v>250</v>
      </c>
      <c r="O210" s="3">
        <f>MROUND((ARTICULOS_GOLOMAX[[#This Row],[Precio]]/0.6),50)</f>
        <v>400</v>
      </c>
      <c r="P210" t="s">
        <v>8693</v>
      </c>
      <c r="Q210">
        <v>10</v>
      </c>
      <c r="R210" s="42">
        <v>60</v>
      </c>
      <c r="S210" t="s">
        <v>17</v>
      </c>
      <c r="T210" t="s">
        <v>27</v>
      </c>
      <c r="U210" t="s">
        <v>31</v>
      </c>
      <c r="V210" t="s">
        <v>9904</v>
      </c>
      <c r="W210" t="s">
        <v>8692</v>
      </c>
      <c r="X210">
        <v>1</v>
      </c>
      <c r="Y210">
        <v>55</v>
      </c>
      <c r="AB210" s="80" t="e">
        <f>ARTICULOS_OSLE[[#This Row],[Costo]]*ARTICULOS_OSLE[[#This Row],[Pedido]]</f>
        <v>#VALUE!</v>
      </c>
      <c r="AH210" s="2" t="e">
        <f>IF(AND(ARTICULOS_OSLE[[#This Row],[FechaVenc]]=0,ARTICULOS_OSLE[[#This Row],[DiasVenc]]=0),"",ARTICULOS_OSLE[[#This Row],[FechaVenc]]-ARTICULOS_OSLE[[#This Row],[DiasVenc]])</f>
        <v>#VALUE!</v>
      </c>
      <c r="AO210" s="30" t="s">
        <v>8689</v>
      </c>
    </row>
    <row r="211" spans="1:41" ht="15.75" hidden="1" x14ac:dyDescent="0.25">
      <c r="A211" s="1" t="s">
        <v>9931</v>
      </c>
      <c r="B211" s="30">
        <v>1242511</v>
      </c>
      <c r="C211" t="str">
        <f t="shared" si="16"/>
        <v>KIO60002234</v>
      </c>
      <c r="D211" t="s">
        <v>8689</v>
      </c>
      <c r="E211" s="1" t="s">
        <v>9932</v>
      </c>
      <c r="F211" s="61">
        <f>VLOOKUP(ARTICULOS_GOLOMAX[[#This Row],[CodigoProveedor]],'PRECIOS GOLOMAX'!$A$1:$C$10000,3,FALSE)</f>
        <v>1990.81</v>
      </c>
      <c r="G211" s="3">
        <v>0</v>
      </c>
      <c r="H211" s="3">
        <v>0</v>
      </c>
      <c r="I211">
        <v>1</v>
      </c>
      <c r="J211">
        <v>1</v>
      </c>
      <c r="K211" s="4"/>
      <c r="L211" s="65">
        <f>((ARTICULOS_GOLOMAX[[#This Row],[P. Compra]]*(1+ARTICULOS_GOLOMAX[[#This Row],[IVA]]%))/ARTICULOS_GOLOMAX[[#This Row],[UnidFact]])+ARTICULOS_GOLOMAX[[#This Row],[CostoFlete]]</f>
        <v>1990.81</v>
      </c>
      <c r="M211">
        <v>30</v>
      </c>
      <c r="N211" s="63">
        <f t="shared" si="15"/>
        <v>2850</v>
      </c>
      <c r="O211" s="3">
        <f>MROUND((ARTICULOS_GOLOMAX[[#This Row],[Precio]]/0.6),50)</f>
        <v>4750</v>
      </c>
      <c r="P211" t="s">
        <v>8693</v>
      </c>
      <c r="Q211">
        <v>2</v>
      </c>
      <c r="R211" s="42">
        <v>6</v>
      </c>
      <c r="S211" t="s">
        <v>17</v>
      </c>
      <c r="T211" t="s">
        <v>27</v>
      </c>
      <c r="U211" t="s">
        <v>31</v>
      </c>
      <c r="V211" t="s">
        <v>9904</v>
      </c>
      <c r="W211" t="s">
        <v>8692</v>
      </c>
      <c r="X211">
        <v>1</v>
      </c>
      <c r="Y211">
        <v>1</v>
      </c>
      <c r="AB211" s="80" t="e">
        <f>ARTICULOS_OSLE[[#This Row],[Costo]]*ARTICULOS_OSLE[[#This Row],[Pedido]]</f>
        <v>#VALUE!</v>
      </c>
      <c r="AH211" s="2" t="e">
        <f>IF(AND(ARTICULOS_OSLE[[#This Row],[FechaVenc]]=0,ARTICULOS_OSLE[[#This Row],[DiasVenc]]=0),"",ARTICULOS_OSLE[[#This Row],[FechaVenc]]-ARTICULOS_OSLE[[#This Row],[DiasVenc]])</f>
        <v>#VALUE!</v>
      </c>
      <c r="AO211" s="30" t="s">
        <v>8689</v>
      </c>
    </row>
    <row r="212" spans="1:41" ht="15.75" hidden="1" x14ac:dyDescent="0.25">
      <c r="A212" s="1" t="s">
        <v>9933</v>
      </c>
      <c r="B212" s="30">
        <v>1245600</v>
      </c>
      <c r="C212" t="str">
        <f t="shared" si="16"/>
        <v>KIO53003325</v>
      </c>
      <c r="D212" t="s">
        <v>8689</v>
      </c>
      <c r="E212" s="1" t="s">
        <v>9934</v>
      </c>
      <c r="F212" s="61">
        <f>VLOOKUP(ARTICULOS_GOLOMAX[[#This Row],[CodigoProveedor]],'PRECIOS GOLOMAX'!$A$1:$C$10000,3,FALSE)</f>
        <v>298.51</v>
      </c>
      <c r="G212" s="3">
        <v>0</v>
      </c>
      <c r="H212" s="3">
        <v>0</v>
      </c>
      <c r="I212">
        <v>1</v>
      </c>
      <c r="J212">
        <v>1</v>
      </c>
      <c r="K212" s="4"/>
      <c r="L212" s="65">
        <f>((ARTICULOS_GOLOMAX[[#This Row],[P. Compra]]*(1+ARTICULOS_GOLOMAX[[#This Row],[IVA]]%))/ARTICULOS_GOLOMAX[[#This Row],[UnidFact]])+ARTICULOS_GOLOMAX[[#This Row],[CostoFlete]]</f>
        <v>298.51</v>
      </c>
      <c r="M212">
        <v>30</v>
      </c>
      <c r="N212" s="63">
        <f t="shared" si="15"/>
        <v>450</v>
      </c>
      <c r="O212" s="3">
        <f>MROUND((ARTICULOS_GOLOMAX[[#This Row],[Precio]]/0.6),50)</f>
        <v>750</v>
      </c>
      <c r="P212" t="s">
        <v>8693</v>
      </c>
      <c r="Q212">
        <v>3</v>
      </c>
      <c r="R212" s="42">
        <v>15</v>
      </c>
      <c r="S212" t="s">
        <v>17</v>
      </c>
      <c r="T212" t="s">
        <v>27</v>
      </c>
      <c r="U212" t="s">
        <v>31</v>
      </c>
      <c r="V212" t="s">
        <v>9935</v>
      </c>
      <c r="W212" t="s">
        <v>8692</v>
      </c>
      <c r="X212">
        <v>1</v>
      </c>
      <c r="Y212">
        <v>8</v>
      </c>
      <c r="AB212" s="80" t="e">
        <f>ARTICULOS_OSLE[[#This Row],[Costo]]*ARTICULOS_OSLE[[#This Row],[Pedido]]</f>
        <v>#VALUE!</v>
      </c>
      <c r="AH212" s="2" t="e">
        <f>IF(AND(ARTICULOS_OSLE[[#This Row],[FechaVenc]]=0,ARTICULOS_OSLE[[#This Row],[DiasVenc]]=0),"",ARTICULOS_OSLE[[#This Row],[FechaVenc]]-ARTICULOS_OSLE[[#This Row],[DiasVenc]])</f>
        <v>#VALUE!</v>
      </c>
      <c r="AO212" s="30" t="s">
        <v>8689</v>
      </c>
    </row>
    <row r="213" spans="1:41" ht="15.75" hidden="1" x14ac:dyDescent="0.25">
      <c r="A213" s="1" t="s">
        <v>9936</v>
      </c>
      <c r="B213" s="30">
        <v>1245636</v>
      </c>
      <c r="C213" t="str">
        <f t="shared" si="16"/>
        <v>KIO40461617</v>
      </c>
      <c r="D213" t="s">
        <v>8689</v>
      </c>
      <c r="E213" s="1" t="s">
        <v>9937</v>
      </c>
      <c r="F213" s="61">
        <f>VLOOKUP(ARTICULOS_GOLOMAX[[#This Row],[CodigoProveedor]],'PRECIOS GOLOMAX'!$A$1:$C$10000,3,FALSE)</f>
        <v>1940.6</v>
      </c>
      <c r="G213" s="3">
        <v>0</v>
      </c>
      <c r="H213" s="3">
        <v>0</v>
      </c>
      <c r="I213">
        <v>12</v>
      </c>
      <c r="J213">
        <v>12</v>
      </c>
      <c r="K213" s="4"/>
      <c r="L213" s="65">
        <f>((ARTICULOS_GOLOMAX[[#This Row],[P. Compra]]*(1+ARTICULOS_GOLOMAX[[#This Row],[IVA]]%))/ARTICULOS_GOLOMAX[[#This Row],[UnidFact]])+ARTICULOS_GOLOMAX[[#This Row],[CostoFlete]]</f>
        <v>161.71666666666667</v>
      </c>
      <c r="M213">
        <v>30</v>
      </c>
      <c r="N213" s="63">
        <f t="shared" si="15"/>
        <v>250</v>
      </c>
      <c r="O213" s="3">
        <f>MROUND((ARTICULOS_GOLOMAX[[#This Row],[Precio]]/0.6),50)</f>
        <v>400</v>
      </c>
      <c r="P213" t="s">
        <v>8693</v>
      </c>
      <c r="Q213">
        <v>3</v>
      </c>
      <c r="R213" s="42">
        <f>ARTICULOS_GOLOMAX[[#This Row],[Bulto]]+ARTICULOS_GOLOMAX[[#This Row],[Minimo]]</f>
        <v>15</v>
      </c>
      <c r="S213" t="s">
        <v>17</v>
      </c>
      <c r="T213" t="s">
        <v>27</v>
      </c>
      <c r="U213" t="s">
        <v>31</v>
      </c>
      <c r="V213" t="s">
        <v>9935</v>
      </c>
      <c r="W213" t="s">
        <v>8692</v>
      </c>
      <c r="X213">
        <v>1</v>
      </c>
      <c r="Y213">
        <v>6</v>
      </c>
      <c r="AB213" s="80" t="e">
        <f>ARTICULOS_OSLE[[#This Row],[Costo]]*ARTICULOS_OSLE[[#This Row],[Pedido]]</f>
        <v>#VALUE!</v>
      </c>
      <c r="AH213" s="2" t="e">
        <f>IF(AND(ARTICULOS_OSLE[[#This Row],[FechaVenc]]=0,ARTICULOS_OSLE[[#This Row],[DiasVenc]]=0),"",ARTICULOS_OSLE[[#This Row],[FechaVenc]]-ARTICULOS_OSLE[[#This Row],[DiasVenc]])</f>
        <v>#VALUE!</v>
      </c>
      <c r="AO213" s="30" t="s">
        <v>8689</v>
      </c>
    </row>
    <row r="214" spans="1:41" ht="15.75" hidden="1" x14ac:dyDescent="0.25">
      <c r="A214" s="1" t="s">
        <v>9938</v>
      </c>
      <c r="B214" s="30">
        <v>1247418</v>
      </c>
      <c r="C214" t="str">
        <f t="shared" si="16"/>
        <v>KIO16011320</v>
      </c>
      <c r="D214" t="s">
        <v>8689</v>
      </c>
      <c r="E214" s="1" t="s">
        <v>9939</v>
      </c>
      <c r="F214" s="61">
        <f>VLOOKUP(ARTICULOS_GOLOMAX[[#This Row],[CodigoProveedor]],'PRECIOS GOLOMAX'!$A$1:$C$10000,3,FALSE)</f>
        <v>4953.99</v>
      </c>
      <c r="G214" s="3">
        <v>0</v>
      </c>
      <c r="H214" s="3">
        <v>0</v>
      </c>
      <c r="I214">
        <v>12</v>
      </c>
      <c r="J214">
        <v>12</v>
      </c>
      <c r="K214" s="4"/>
      <c r="L214" s="65">
        <f>((ARTICULOS_GOLOMAX[[#This Row],[P. Compra]]*(1+ARTICULOS_GOLOMAX[[#This Row],[IVA]]%))/ARTICULOS_GOLOMAX[[#This Row],[UnidFact]])+ARTICULOS_GOLOMAX[[#This Row],[CostoFlete]]</f>
        <v>412.83249999999998</v>
      </c>
      <c r="M214">
        <v>30</v>
      </c>
      <c r="N214" s="63">
        <f t="shared" si="15"/>
        <v>600</v>
      </c>
      <c r="O214" s="3">
        <f>MROUND((ARTICULOS_GOLOMAX[[#This Row],[Precio]]/0.6),50)</f>
        <v>1000</v>
      </c>
      <c r="P214" t="s">
        <v>8693</v>
      </c>
      <c r="Q214">
        <v>3</v>
      </c>
      <c r="R214" s="42">
        <f>ARTICULOS_GOLOMAX[[#This Row],[Bulto]]+ARTICULOS_GOLOMAX[[#This Row],[Minimo]]</f>
        <v>15</v>
      </c>
      <c r="S214" t="s">
        <v>17</v>
      </c>
      <c r="T214" t="s">
        <v>27</v>
      </c>
      <c r="U214" t="s">
        <v>31</v>
      </c>
      <c r="V214" t="s">
        <v>9940</v>
      </c>
      <c r="W214" t="s">
        <v>8692</v>
      </c>
      <c r="X214">
        <v>1</v>
      </c>
      <c r="Y214">
        <v>1</v>
      </c>
      <c r="AB214" s="80" t="e">
        <f>ARTICULOS_OSLE[[#This Row],[Costo]]*ARTICULOS_OSLE[[#This Row],[Pedido]]</f>
        <v>#VALUE!</v>
      </c>
      <c r="AH214" s="2" t="e">
        <f>IF(AND(ARTICULOS_OSLE[[#This Row],[FechaVenc]]=0,ARTICULOS_OSLE[[#This Row],[DiasVenc]]=0),"",ARTICULOS_OSLE[[#This Row],[FechaVenc]]-ARTICULOS_OSLE[[#This Row],[DiasVenc]])</f>
        <v>#VALUE!</v>
      </c>
      <c r="AO214" s="30" t="s">
        <v>8689</v>
      </c>
    </row>
    <row r="215" spans="1:41" ht="15.75" hidden="1" x14ac:dyDescent="0.25">
      <c r="A215" s="1" t="s">
        <v>9941</v>
      </c>
      <c r="B215" s="30">
        <v>1247404</v>
      </c>
      <c r="C215" t="str">
        <f t="shared" si="16"/>
        <v>KIO40468753</v>
      </c>
      <c r="D215" t="s">
        <v>8689</v>
      </c>
      <c r="E215" s="1" t="s">
        <v>9942</v>
      </c>
      <c r="F215" s="61">
        <f>VLOOKUP(ARTICULOS_GOLOMAX[[#This Row],[CodigoProveedor]],'PRECIOS GOLOMAX'!$A$1:$C$10000,3,FALSE)</f>
        <v>4953.99</v>
      </c>
      <c r="G215" s="3">
        <v>0</v>
      </c>
      <c r="H215" s="3">
        <v>0</v>
      </c>
      <c r="I215">
        <v>12</v>
      </c>
      <c r="J215">
        <v>12</v>
      </c>
      <c r="K215" s="4"/>
      <c r="L215" s="65">
        <f>((ARTICULOS_GOLOMAX[[#This Row],[P. Compra]]*(1+ARTICULOS_GOLOMAX[[#This Row],[IVA]]%))/ARTICULOS_GOLOMAX[[#This Row],[UnidFact]])+ARTICULOS_GOLOMAX[[#This Row],[CostoFlete]]</f>
        <v>412.83249999999998</v>
      </c>
      <c r="M215">
        <v>30</v>
      </c>
      <c r="N215" s="63">
        <f t="shared" si="15"/>
        <v>600</v>
      </c>
      <c r="O215" s="3">
        <f>MROUND((ARTICULOS_GOLOMAX[[#This Row],[Precio]]/0.6),50)</f>
        <v>1000</v>
      </c>
      <c r="P215" t="s">
        <v>8693</v>
      </c>
      <c r="Q215">
        <v>3</v>
      </c>
      <c r="R215" s="42">
        <f>ARTICULOS_GOLOMAX[[#This Row],[Bulto]]+ARTICULOS_GOLOMAX[[#This Row],[Minimo]]</f>
        <v>15</v>
      </c>
      <c r="S215" t="s">
        <v>17</v>
      </c>
      <c r="T215" t="s">
        <v>27</v>
      </c>
      <c r="U215" t="s">
        <v>31</v>
      </c>
      <c r="V215" t="s">
        <v>9940</v>
      </c>
      <c r="W215" t="s">
        <v>8692</v>
      </c>
      <c r="X215">
        <v>1</v>
      </c>
      <c r="Y215">
        <v>15</v>
      </c>
      <c r="AB215" s="80" t="e">
        <f>ARTICULOS_OSLE[[#This Row],[Costo]]*ARTICULOS_OSLE[[#This Row],[Pedido]]</f>
        <v>#VALUE!</v>
      </c>
      <c r="AH215" s="2" t="e">
        <f>IF(AND(ARTICULOS_OSLE[[#This Row],[FechaVenc]]=0,ARTICULOS_OSLE[[#This Row],[DiasVenc]]=0),"",ARTICULOS_OSLE[[#This Row],[FechaVenc]]-ARTICULOS_OSLE[[#This Row],[DiasVenc]])</f>
        <v>#VALUE!</v>
      </c>
      <c r="AO215" s="30" t="s">
        <v>8689</v>
      </c>
    </row>
    <row r="216" spans="1:41" ht="15.75" hidden="1" x14ac:dyDescent="0.25">
      <c r="A216" s="1" t="s">
        <v>9943</v>
      </c>
      <c r="B216" s="30">
        <v>1249978</v>
      </c>
      <c r="C216" t="str">
        <f t="shared" si="16"/>
        <v>KIO40463383</v>
      </c>
      <c r="D216" t="s">
        <v>8689</v>
      </c>
      <c r="E216" s="1" t="s">
        <v>9944</v>
      </c>
      <c r="F216" s="61">
        <f>VLOOKUP(ARTICULOS_GOLOMAX[[#This Row],[CodigoProveedor]],'PRECIOS GOLOMAX'!$A$1:$C$10000,3,FALSE)</f>
        <v>8765.34</v>
      </c>
      <c r="G216" s="3">
        <v>0</v>
      </c>
      <c r="H216" s="3">
        <v>0</v>
      </c>
      <c r="I216">
        <v>25</v>
      </c>
      <c r="J216">
        <v>25</v>
      </c>
      <c r="K216" s="4"/>
      <c r="L216" s="65">
        <f>((ARTICULOS_GOLOMAX[[#This Row],[P. Compra]]*(1+ARTICULOS_GOLOMAX[[#This Row],[IVA]]%))/ARTICULOS_GOLOMAX[[#This Row],[UnidFact]])+ARTICULOS_GOLOMAX[[#This Row],[CostoFlete]]</f>
        <v>350.61360000000002</v>
      </c>
      <c r="M216">
        <v>30</v>
      </c>
      <c r="N216" s="63">
        <f t="shared" si="15"/>
        <v>500</v>
      </c>
      <c r="O216" s="3">
        <f>MROUND((ARTICULOS_GOLOMAX[[#This Row],[Precio]]/0.6),50)</f>
        <v>850</v>
      </c>
      <c r="P216" t="s">
        <v>8693</v>
      </c>
      <c r="Q216">
        <v>5</v>
      </c>
      <c r="R216" s="42">
        <f>ARTICULOS_GOLOMAX[[#This Row],[Bulto]]+ARTICULOS_GOLOMAX[[#This Row],[Minimo]]</f>
        <v>30</v>
      </c>
      <c r="S216" t="s">
        <v>17</v>
      </c>
      <c r="T216" t="s">
        <v>27</v>
      </c>
      <c r="U216" t="s">
        <v>31</v>
      </c>
      <c r="V216" t="s">
        <v>9940</v>
      </c>
      <c r="W216" t="s">
        <v>8692</v>
      </c>
      <c r="X216">
        <v>1</v>
      </c>
      <c r="Y216">
        <v>16</v>
      </c>
      <c r="AB216" s="80" t="e">
        <f>ARTICULOS_OSLE[[#This Row],[Costo]]*ARTICULOS_OSLE[[#This Row],[Pedido]]</f>
        <v>#VALUE!</v>
      </c>
      <c r="AH216" s="2" t="e">
        <f>IF(AND(ARTICULOS_OSLE[[#This Row],[FechaVenc]]=0,ARTICULOS_OSLE[[#This Row],[DiasVenc]]=0),"",ARTICULOS_OSLE[[#This Row],[FechaVenc]]-ARTICULOS_OSLE[[#This Row],[DiasVenc]])</f>
        <v>#VALUE!</v>
      </c>
      <c r="AO216" s="30" t="s">
        <v>8689</v>
      </c>
    </row>
    <row r="217" spans="1:41" ht="15.75" hidden="1" x14ac:dyDescent="0.25">
      <c r="A217" s="1" t="s">
        <v>9945</v>
      </c>
      <c r="B217">
        <v>1249800</v>
      </c>
      <c r="C217" t="str">
        <f t="shared" si="16"/>
        <v>KIO30952353</v>
      </c>
      <c r="D217" t="s">
        <v>8689</v>
      </c>
      <c r="E217" s="1" t="s">
        <v>9946</v>
      </c>
      <c r="F217" s="61">
        <f>VLOOKUP(ARTICULOS_GOLOMAX[[#This Row],[CodigoProveedor]],'PRECIOS GOLOMAX'!$A$1:$C$10000,3,FALSE)</f>
        <v>1329.38</v>
      </c>
      <c r="G217" s="3">
        <v>0</v>
      </c>
      <c r="H217" s="3">
        <v>0</v>
      </c>
      <c r="I217">
        <v>8</v>
      </c>
      <c r="J217">
        <v>1</v>
      </c>
      <c r="K217" s="4"/>
      <c r="L217" s="65">
        <f>((ARTICULOS_GOLOMAX[[#This Row],[P. Compra]]*(1+ARTICULOS_GOLOMAX[[#This Row],[IVA]]%))/ARTICULOS_GOLOMAX[[#This Row],[UnidFact]])+ARTICULOS_GOLOMAX[[#This Row],[CostoFlete]]</f>
        <v>1329.38</v>
      </c>
      <c r="M217">
        <v>30</v>
      </c>
      <c r="N217" s="63">
        <f t="shared" si="15"/>
        <v>1900</v>
      </c>
      <c r="O217" s="3">
        <f>MROUND((ARTICULOS_GOLOMAX[[#This Row],[Precio]]/0.6),50)</f>
        <v>3150</v>
      </c>
      <c r="P217" t="s">
        <v>8693</v>
      </c>
      <c r="Q217">
        <v>2</v>
      </c>
      <c r="R217" s="42">
        <f>ARTICULOS_GOLOMAX[[#This Row],[Bulto]]+ARTICULOS_GOLOMAX[[#This Row],[Minimo]]</f>
        <v>10</v>
      </c>
      <c r="S217" t="s">
        <v>17</v>
      </c>
      <c r="T217" t="s">
        <v>27</v>
      </c>
      <c r="U217" t="s">
        <v>31</v>
      </c>
      <c r="V217" t="s">
        <v>9792</v>
      </c>
      <c r="W217" t="s">
        <v>8692</v>
      </c>
      <c r="X217">
        <v>1</v>
      </c>
      <c r="Y217">
        <v>1</v>
      </c>
      <c r="AB217" s="80" t="e">
        <f>ARTICULOS_OSLE[[#This Row],[Costo]]*ARTICULOS_OSLE[[#This Row],[Pedido]]</f>
        <v>#VALUE!</v>
      </c>
      <c r="AH217" s="2" t="e">
        <f>IF(AND(ARTICULOS_OSLE[[#This Row],[FechaVenc]]=0,ARTICULOS_OSLE[[#This Row],[DiasVenc]]=0),"",ARTICULOS_OSLE[[#This Row],[FechaVenc]]-ARTICULOS_OSLE[[#This Row],[DiasVenc]])</f>
        <v>#VALUE!</v>
      </c>
      <c r="AO217" s="30" t="s">
        <v>8689</v>
      </c>
    </row>
    <row r="218" spans="1:41" ht="15.75" hidden="1" x14ac:dyDescent="0.25">
      <c r="A218" s="1" t="s">
        <v>10051</v>
      </c>
      <c r="B218">
        <v>1172507</v>
      </c>
      <c r="C218" t="str">
        <f t="shared" si="16"/>
        <v>KIO78801873</v>
      </c>
      <c r="D218" t="s">
        <v>8689</v>
      </c>
      <c r="E218" s="1" t="s">
        <v>10052</v>
      </c>
      <c r="F218" s="61">
        <f>VLOOKUP(ARTICULOS_GOLOMAX[[#This Row],[CodigoProveedor]],'PRECIOS GOLOMAX'!$A$1:$C$10000,3,FALSE)</f>
        <v>7021.86</v>
      </c>
      <c r="G218" s="3">
        <v>0</v>
      </c>
      <c r="H218" s="3">
        <v>0</v>
      </c>
      <c r="I218">
        <v>36</v>
      </c>
      <c r="J218">
        <v>36</v>
      </c>
      <c r="K218" s="4"/>
      <c r="L218" s="65">
        <f>((ARTICULOS_GOLOMAX[[#This Row],[P. Compra]]*(1+ARTICULOS_GOLOMAX[[#This Row],[IVA]]%))/ARTICULOS_GOLOMAX[[#This Row],[UnidFact]])+ARTICULOS_GOLOMAX[[#This Row],[CostoFlete]]</f>
        <v>195.05166666666665</v>
      </c>
      <c r="M218">
        <v>30</v>
      </c>
      <c r="N218" s="63">
        <f t="shared" si="15"/>
        <v>300</v>
      </c>
      <c r="O218" s="3">
        <f>MROUND((ARTICULOS_GOLOMAX[[#This Row],[Precio]]/0.6),50)</f>
        <v>500</v>
      </c>
      <c r="P218" t="s">
        <v>8693</v>
      </c>
      <c r="Q218">
        <v>6</v>
      </c>
      <c r="R218" s="42">
        <f>ARTICULOS_GOLOMAX[[#This Row],[Bulto]]+ARTICULOS_GOLOMAX[[#This Row],[Minimo]]</f>
        <v>42</v>
      </c>
      <c r="S218" t="s">
        <v>17</v>
      </c>
      <c r="T218" t="s">
        <v>27</v>
      </c>
      <c r="U218" t="s">
        <v>64</v>
      </c>
      <c r="V218" t="s">
        <v>10053</v>
      </c>
      <c r="W218" t="s">
        <v>8692</v>
      </c>
      <c r="X218">
        <v>1</v>
      </c>
      <c r="Y218">
        <v>0</v>
      </c>
      <c r="AB218" s="80" t="e">
        <f>ARTICULOS_OSLE[[#This Row],[Costo]]*ARTICULOS_OSLE[[#This Row],[Pedido]]</f>
        <v>#VALUE!</v>
      </c>
      <c r="AH218" s="2" t="e">
        <f>IF(AND(ARTICULOS_OSLE[[#This Row],[FechaVenc]]=0,ARTICULOS_OSLE[[#This Row],[DiasVenc]]=0),"",ARTICULOS_OSLE[[#This Row],[FechaVenc]]-ARTICULOS_OSLE[[#This Row],[DiasVenc]])</f>
        <v>#VALUE!</v>
      </c>
      <c r="AO218" s="30" t="s">
        <v>8689</v>
      </c>
    </row>
    <row r="219" spans="1:41" ht="15.75" hidden="1" x14ac:dyDescent="0.25">
      <c r="A219" s="1" t="s">
        <v>10054</v>
      </c>
      <c r="B219">
        <v>1171312</v>
      </c>
      <c r="C219" t="str">
        <f t="shared" si="16"/>
        <v>KIO78801651</v>
      </c>
      <c r="D219" t="s">
        <v>8689</v>
      </c>
      <c r="E219" s="1" t="s">
        <v>10055</v>
      </c>
      <c r="F219" s="61">
        <f>VLOOKUP(ARTICULOS_GOLOMAX[[#This Row],[CodigoProveedor]],'PRECIOS GOLOMAX'!$A$1:$C$10000,3,FALSE)</f>
        <v>6414.45</v>
      </c>
      <c r="G219" s="3">
        <v>0</v>
      </c>
      <c r="H219" s="3">
        <v>0</v>
      </c>
      <c r="I219">
        <v>32</v>
      </c>
      <c r="J219">
        <v>32</v>
      </c>
      <c r="K219" s="4"/>
      <c r="L219" s="65">
        <f>((ARTICULOS_GOLOMAX[[#This Row],[P. Compra]]*(1+ARTICULOS_GOLOMAX[[#This Row],[IVA]]%))/ARTICULOS_GOLOMAX[[#This Row],[UnidFact]])+ARTICULOS_GOLOMAX[[#This Row],[CostoFlete]]</f>
        <v>200.45156249999999</v>
      </c>
      <c r="M219">
        <v>30</v>
      </c>
      <c r="N219" s="63">
        <f t="shared" si="15"/>
        <v>300</v>
      </c>
      <c r="O219" s="3">
        <f>MROUND((ARTICULOS_GOLOMAX[[#This Row],[Precio]]/0.6),50)</f>
        <v>500</v>
      </c>
      <c r="P219" t="s">
        <v>8693</v>
      </c>
      <c r="Q219">
        <v>6</v>
      </c>
      <c r="R219" s="42">
        <f>ARTICULOS_GOLOMAX[[#This Row],[Bulto]]+ARTICULOS_GOLOMAX[[#This Row],[Minimo]]</f>
        <v>38</v>
      </c>
      <c r="S219" t="s">
        <v>17</v>
      </c>
      <c r="T219" t="s">
        <v>27</v>
      </c>
      <c r="U219" t="s">
        <v>64</v>
      </c>
      <c r="V219" t="s">
        <v>10053</v>
      </c>
      <c r="W219" t="s">
        <v>8692</v>
      </c>
      <c r="X219">
        <v>1</v>
      </c>
      <c r="Y219">
        <v>100</v>
      </c>
      <c r="AB219" s="80" t="e">
        <f>ARTICULOS_OSLE[[#This Row],[Costo]]*ARTICULOS_OSLE[[#This Row],[Pedido]]</f>
        <v>#VALUE!</v>
      </c>
      <c r="AH219" s="2" t="e">
        <f>IF(AND(ARTICULOS_OSLE[[#This Row],[FechaVenc]]=0,ARTICULOS_OSLE[[#This Row],[DiasVenc]]=0),"",ARTICULOS_OSLE[[#This Row],[FechaVenc]]-ARTICULOS_OSLE[[#This Row],[DiasVenc]])</f>
        <v>#VALUE!</v>
      </c>
      <c r="AO219" s="30" t="s">
        <v>8689</v>
      </c>
    </row>
    <row r="220" spans="1:41" ht="15.75" hidden="1" x14ac:dyDescent="0.25">
      <c r="A220" s="1" t="s">
        <v>10056</v>
      </c>
      <c r="B220">
        <v>1171305</v>
      </c>
      <c r="C220" t="str">
        <f t="shared" si="16"/>
        <v>KIO78801637</v>
      </c>
      <c r="D220" t="s">
        <v>8689</v>
      </c>
      <c r="E220" s="1" t="s">
        <v>10057</v>
      </c>
      <c r="F220" s="61">
        <f>VLOOKUP(ARTICULOS_GOLOMAX[[#This Row],[CodigoProveedor]],'PRECIOS GOLOMAX'!$A$1:$C$10000,3,FALSE)</f>
        <v>6414.45</v>
      </c>
      <c r="G220" s="3">
        <v>0</v>
      </c>
      <c r="H220" s="3">
        <v>0</v>
      </c>
      <c r="I220">
        <v>32</v>
      </c>
      <c r="J220">
        <v>32</v>
      </c>
      <c r="K220" s="4"/>
      <c r="L220" s="65">
        <f>((ARTICULOS_GOLOMAX[[#This Row],[P. Compra]]*(1+ARTICULOS_GOLOMAX[[#This Row],[IVA]]%))/ARTICULOS_GOLOMAX[[#This Row],[UnidFact]])+ARTICULOS_GOLOMAX[[#This Row],[CostoFlete]]</f>
        <v>200.45156249999999</v>
      </c>
      <c r="M220">
        <v>30</v>
      </c>
      <c r="N220" s="63">
        <f t="shared" si="15"/>
        <v>300</v>
      </c>
      <c r="O220" s="3">
        <f>MROUND((ARTICULOS_GOLOMAX[[#This Row],[Precio]]/0.6),50)</f>
        <v>500</v>
      </c>
      <c r="P220" t="s">
        <v>8693</v>
      </c>
      <c r="Q220">
        <v>6</v>
      </c>
      <c r="R220" s="42">
        <f>ARTICULOS_GOLOMAX[[#This Row],[Bulto]]+ARTICULOS_GOLOMAX[[#This Row],[Minimo]]</f>
        <v>38</v>
      </c>
      <c r="S220" t="s">
        <v>17</v>
      </c>
      <c r="T220" t="s">
        <v>27</v>
      </c>
      <c r="U220" t="s">
        <v>64</v>
      </c>
      <c r="V220" t="s">
        <v>10053</v>
      </c>
      <c r="W220" t="s">
        <v>8692</v>
      </c>
      <c r="X220">
        <v>1</v>
      </c>
      <c r="Y220">
        <v>100</v>
      </c>
      <c r="AB220" s="80" t="e">
        <f>ARTICULOS_OSLE[[#This Row],[Costo]]*ARTICULOS_OSLE[[#This Row],[Pedido]]</f>
        <v>#VALUE!</v>
      </c>
      <c r="AH220" s="2" t="e">
        <f>IF(AND(ARTICULOS_OSLE[[#This Row],[FechaVenc]]=0,ARTICULOS_OSLE[[#This Row],[DiasVenc]]=0),"",ARTICULOS_OSLE[[#This Row],[FechaVenc]]-ARTICULOS_OSLE[[#This Row],[DiasVenc]])</f>
        <v>#VALUE!</v>
      </c>
      <c r="AO220" s="30" t="s">
        <v>8689</v>
      </c>
    </row>
    <row r="221" spans="1:41" ht="15.75" hidden="1" x14ac:dyDescent="0.25">
      <c r="A221" s="1" t="s">
        <v>10058</v>
      </c>
      <c r="B221" s="30">
        <v>1329900</v>
      </c>
      <c r="C221" t="str">
        <f t="shared" si="16"/>
        <v>KIO59040061</v>
      </c>
      <c r="D221" t="s">
        <v>8689</v>
      </c>
      <c r="E221" s="1" t="s">
        <v>10059</v>
      </c>
      <c r="F221" s="61">
        <f>VLOOKUP(ARTICULOS_GOLOMAX[[#This Row],[CodigoProveedor]],'PRECIOS GOLOMAX'!$A$1:$C$10000,3,FALSE)</f>
        <v>486.22</v>
      </c>
      <c r="G221" s="3">
        <v>0</v>
      </c>
      <c r="H221" s="3">
        <v>0</v>
      </c>
      <c r="I221">
        <v>1</v>
      </c>
      <c r="J221">
        <v>1</v>
      </c>
      <c r="K221" s="4"/>
      <c r="L221" s="65">
        <f>((ARTICULOS_GOLOMAX[[#This Row],[P. Compra]]*(1+ARTICULOS_GOLOMAX[[#This Row],[IVA]]%))/ARTICULOS_GOLOMAX[[#This Row],[UnidFact]])+ARTICULOS_GOLOMAX[[#This Row],[CostoFlete]]</f>
        <v>486.22</v>
      </c>
      <c r="M221">
        <v>30</v>
      </c>
      <c r="N221" s="63">
        <f t="shared" si="15"/>
        <v>700</v>
      </c>
      <c r="O221" s="3">
        <f>MROUND((ARTICULOS_GOLOMAX[[#This Row],[Precio]]/0.6),50)</f>
        <v>1150</v>
      </c>
      <c r="P221" t="s">
        <v>8693</v>
      </c>
      <c r="Q221">
        <v>3</v>
      </c>
      <c r="R221" s="42">
        <v>6</v>
      </c>
      <c r="S221" t="s">
        <v>17</v>
      </c>
      <c r="T221" t="s">
        <v>27</v>
      </c>
      <c r="U221" t="s">
        <v>64</v>
      </c>
      <c r="V221" t="s">
        <v>10060</v>
      </c>
      <c r="W221" t="s">
        <v>8692</v>
      </c>
      <c r="X221">
        <v>1</v>
      </c>
      <c r="Y221">
        <v>3</v>
      </c>
      <c r="AB221" s="80" t="e">
        <f>ARTICULOS_OSLE[[#This Row],[Costo]]*ARTICULOS_OSLE[[#This Row],[Pedido]]</f>
        <v>#VALUE!</v>
      </c>
      <c r="AH221" s="2" t="e">
        <f>IF(AND(ARTICULOS_OSLE[[#This Row],[FechaVenc]]=0,ARTICULOS_OSLE[[#This Row],[DiasVenc]]=0),"",ARTICULOS_OSLE[[#This Row],[FechaVenc]]-ARTICULOS_OSLE[[#This Row],[DiasVenc]])</f>
        <v>#VALUE!</v>
      </c>
      <c r="AO221" s="30" t="s">
        <v>8689</v>
      </c>
    </row>
    <row r="222" spans="1:41" ht="15.75" hidden="1" x14ac:dyDescent="0.25">
      <c r="A222" s="1" t="s">
        <v>10061</v>
      </c>
      <c r="B222" s="30">
        <v>1327735</v>
      </c>
      <c r="C222" t="str">
        <f t="shared" si="16"/>
        <v>KIO59040085</v>
      </c>
      <c r="D222" t="s">
        <v>8689</v>
      </c>
      <c r="E222" s="1" t="s">
        <v>10062</v>
      </c>
      <c r="F222" s="61">
        <f>VLOOKUP(ARTICULOS_GOLOMAX[[#This Row],[CodigoProveedor]],'PRECIOS GOLOMAX'!$A$1:$C$10000,3,FALSE)</f>
        <v>486.22</v>
      </c>
      <c r="G222" s="3">
        <v>0</v>
      </c>
      <c r="H222" s="3">
        <v>0</v>
      </c>
      <c r="I222">
        <v>1</v>
      </c>
      <c r="J222">
        <v>1</v>
      </c>
      <c r="K222" s="4"/>
      <c r="L222" s="65">
        <f>((ARTICULOS_GOLOMAX[[#This Row],[P. Compra]]*(1+ARTICULOS_GOLOMAX[[#This Row],[IVA]]%))/ARTICULOS_GOLOMAX[[#This Row],[UnidFact]])+ARTICULOS_GOLOMAX[[#This Row],[CostoFlete]]</f>
        <v>486.22</v>
      </c>
      <c r="M222">
        <v>30</v>
      </c>
      <c r="N222" s="63">
        <f t="shared" si="15"/>
        <v>700</v>
      </c>
      <c r="O222" s="3">
        <f>MROUND((ARTICULOS_GOLOMAX[[#This Row],[Precio]]/0.6),50)</f>
        <v>1150</v>
      </c>
      <c r="P222" t="s">
        <v>8693</v>
      </c>
      <c r="Q222">
        <v>3</v>
      </c>
      <c r="R222" s="42">
        <v>6</v>
      </c>
      <c r="S222" t="s">
        <v>17</v>
      </c>
      <c r="T222" t="s">
        <v>27</v>
      </c>
      <c r="U222" t="s">
        <v>64</v>
      </c>
      <c r="V222" s="30" t="s">
        <v>10060</v>
      </c>
      <c r="W222" t="s">
        <v>8692</v>
      </c>
      <c r="X222">
        <v>1</v>
      </c>
      <c r="Y222">
        <v>8</v>
      </c>
      <c r="AB222" s="80" t="e">
        <f>ARTICULOS_OSLE[[#This Row],[Costo]]*ARTICULOS_OSLE[[#This Row],[Pedido]]</f>
        <v>#VALUE!</v>
      </c>
      <c r="AH222" s="2" t="e">
        <f>IF(AND(ARTICULOS_OSLE[[#This Row],[FechaVenc]]=0,ARTICULOS_OSLE[[#This Row],[DiasVenc]]=0),"",ARTICULOS_OSLE[[#This Row],[FechaVenc]]-ARTICULOS_OSLE[[#This Row],[DiasVenc]])</f>
        <v>#VALUE!</v>
      </c>
      <c r="AO222" s="30" t="s">
        <v>8689</v>
      </c>
    </row>
    <row r="223" spans="1:41" ht="15.75" hidden="1" x14ac:dyDescent="0.25">
      <c r="A223" s="1" t="s">
        <v>10063</v>
      </c>
      <c r="B223" s="30">
        <v>1327120</v>
      </c>
      <c r="C223" t="str">
        <f t="shared" si="16"/>
        <v>KIO59120121</v>
      </c>
      <c r="D223" t="s">
        <v>8689</v>
      </c>
      <c r="E223" s="1" t="s">
        <v>10064</v>
      </c>
      <c r="F223" s="61">
        <f>VLOOKUP(ARTICULOS_GOLOMAX[[#This Row],[CodigoProveedor]],'PRECIOS GOLOMAX'!$A$1:$C$10000,3,FALSE)</f>
        <v>219.93</v>
      </c>
      <c r="G223" s="3">
        <v>0</v>
      </c>
      <c r="H223" s="3">
        <v>0</v>
      </c>
      <c r="I223">
        <v>1</v>
      </c>
      <c r="J223">
        <v>1</v>
      </c>
      <c r="K223" s="4"/>
      <c r="L223" s="65">
        <f>((ARTICULOS_GOLOMAX[[#This Row],[P. Compra]]*(1+ARTICULOS_GOLOMAX[[#This Row],[IVA]]%))/ARTICULOS_GOLOMAX[[#This Row],[UnidFact]])+ARTICULOS_GOLOMAX[[#This Row],[CostoFlete]]</f>
        <v>219.93</v>
      </c>
      <c r="M223">
        <v>30</v>
      </c>
      <c r="N223" s="63">
        <f t="shared" si="15"/>
        <v>300</v>
      </c>
      <c r="O223" s="3">
        <f>MROUND((ARTICULOS_GOLOMAX[[#This Row],[Precio]]/0.6),50)</f>
        <v>500</v>
      </c>
      <c r="P223" t="s">
        <v>8693</v>
      </c>
      <c r="Q223">
        <v>3</v>
      </c>
      <c r="R223" s="42">
        <v>6</v>
      </c>
      <c r="S223" t="s">
        <v>17</v>
      </c>
      <c r="T223" t="s">
        <v>27</v>
      </c>
      <c r="U223" t="s">
        <v>64</v>
      </c>
      <c r="V223" t="s">
        <v>10060</v>
      </c>
      <c r="W223" t="s">
        <v>8692</v>
      </c>
      <c r="X223">
        <v>1</v>
      </c>
      <c r="Y223">
        <v>11</v>
      </c>
      <c r="AB223" s="80" t="e">
        <f>ARTICULOS_OSLE[[#This Row],[Costo]]*ARTICULOS_OSLE[[#This Row],[Pedido]]</f>
        <v>#VALUE!</v>
      </c>
      <c r="AH223" s="2" t="e">
        <f>IF(AND(ARTICULOS_OSLE[[#This Row],[FechaVenc]]=0,ARTICULOS_OSLE[[#This Row],[DiasVenc]]=0),"",ARTICULOS_OSLE[[#This Row],[FechaVenc]]-ARTICULOS_OSLE[[#This Row],[DiasVenc]])</f>
        <v>#VALUE!</v>
      </c>
      <c r="AO223" s="30" t="s">
        <v>8689</v>
      </c>
    </row>
    <row r="224" spans="1:41" ht="15.75" hidden="1" x14ac:dyDescent="0.25">
      <c r="A224" s="1" t="s">
        <v>10065</v>
      </c>
      <c r="B224" s="30">
        <v>1328500</v>
      </c>
      <c r="C224" t="str">
        <f t="shared" si="16"/>
        <v>KIO59140310</v>
      </c>
      <c r="D224" t="s">
        <v>8689</v>
      </c>
      <c r="E224" s="1" t="s">
        <v>10066</v>
      </c>
      <c r="F224" s="61">
        <f>VLOOKUP(ARTICULOS_GOLOMAX[[#This Row],[CodigoProveedor]],'PRECIOS GOLOMAX'!$A$1:$C$10000,3,FALSE)</f>
        <v>370.55</v>
      </c>
      <c r="G224" s="3">
        <v>0</v>
      </c>
      <c r="H224" s="3">
        <v>0</v>
      </c>
      <c r="I224">
        <v>1</v>
      </c>
      <c r="J224">
        <v>1</v>
      </c>
      <c r="K224" s="4"/>
      <c r="L224" s="65">
        <f>((ARTICULOS_GOLOMAX[[#This Row],[P. Compra]]*(1+ARTICULOS_GOLOMAX[[#This Row],[IVA]]%))/ARTICULOS_GOLOMAX[[#This Row],[UnidFact]])+ARTICULOS_GOLOMAX[[#This Row],[CostoFlete]]</f>
        <v>370.55</v>
      </c>
      <c r="M224">
        <v>30</v>
      </c>
      <c r="N224" s="63">
        <f t="shared" si="15"/>
        <v>550</v>
      </c>
      <c r="O224" s="3">
        <f>MROUND((ARTICULOS_GOLOMAX[[#This Row],[Precio]]/0.6),50)</f>
        <v>900</v>
      </c>
      <c r="P224" t="s">
        <v>8693</v>
      </c>
      <c r="Q224">
        <v>3</v>
      </c>
      <c r="R224" s="42">
        <v>6</v>
      </c>
      <c r="S224" t="s">
        <v>17</v>
      </c>
      <c r="T224" t="s">
        <v>27</v>
      </c>
      <c r="U224" t="s">
        <v>64</v>
      </c>
      <c r="V224" s="30" t="s">
        <v>10060</v>
      </c>
      <c r="W224" t="s">
        <v>8692</v>
      </c>
      <c r="X224">
        <v>1</v>
      </c>
      <c r="Y224">
        <v>0</v>
      </c>
      <c r="AB224" s="80" t="e">
        <f>ARTICULOS_OSLE[[#This Row],[Costo]]*ARTICULOS_OSLE[[#This Row],[Pedido]]</f>
        <v>#VALUE!</v>
      </c>
      <c r="AH224" s="2" t="e">
        <f>IF(AND(ARTICULOS_OSLE[[#This Row],[FechaVenc]]=0,ARTICULOS_OSLE[[#This Row],[DiasVenc]]=0),"",ARTICULOS_OSLE[[#This Row],[FechaVenc]]-ARTICULOS_OSLE[[#This Row],[DiasVenc]])</f>
        <v>#VALUE!</v>
      </c>
      <c r="AO224" s="30" t="s">
        <v>8689</v>
      </c>
    </row>
    <row r="225" spans="1:41" ht="15.75" hidden="1" x14ac:dyDescent="0.25">
      <c r="A225" s="1" t="s">
        <v>10067</v>
      </c>
      <c r="B225" s="30">
        <v>1328800</v>
      </c>
      <c r="C225" t="str">
        <f t="shared" si="16"/>
        <v>KIO59140303</v>
      </c>
      <c r="D225" t="s">
        <v>8689</v>
      </c>
      <c r="E225" s="1" t="s">
        <v>10068</v>
      </c>
      <c r="F225" s="61">
        <f>VLOOKUP(ARTICULOS_GOLOMAX[[#This Row],[CodigoProveedor]],'PRECIOS GOLOMAX'!$A$1:$C$10000,3,FALSE)</f>
        <v>347.3</v>
      </c>
      <c r="G225" s="3">
        <v>0</v>
      </c>
      <c r="H225" s="3">
        <v>0</v>
      </c>
      <c r="I225">
        <v>1</v>
      </c>
      <c r="J225">
        <v>1</v>
      </c>
      <c r="K225" s="4"/>
      <c r="L225" s="65">
        <f>((ARTICULOS_GOLOMAX[[#This Row],[P. Compra]]*(1+ARTICULOS_GOLOMAX[[#This Row],[IVA]]%))/ARTICULOS_GOLOMAX[[#This Row],[UnidFact]])+ARTICULOS_GOLOMAX[[#This Row],[CostoFlete]]</f>
        <v>347.3</v>
      </c>
      <c r="M225">
        <v>30</v>
      </c>
      <c r="N225" s="63">
        <f t="shared" si="15"/>
        <v>500</v>
      </c>
      <c r="O225" s="3">
        <f>MROUND((ARTICULOS_GOLOMAX[[#This Row],[Precio]]/0.6),50)</f>
        <v>850</v>
      </c>
      <c r="P225" t="s">
        <v>8693</v>
      </c>
      <c r="Q225">
        <v>3</v>
      </c>
      <c r="R225" s="42">
        <v>6</v>
      </c>
      <c r="S225" t="s">
        <v>17</v>
      </c>
      <c r="T225" t="s">
        <v>27</v>
      </c>
      <c r="U225" t="s">
        <v>64</v>
      </c>
      <c r="V225" t="s">
        <v>10060</v>
      </c>
      <c r="W225" t="s">
        <v>8692</v>
      </c>
      <c r="X225">
        <v>1</v>
      </c>
      <c r="Y225">
        <v>3</v>
      </c>
      <c r="AB225" s="80" t="e">
        <f>ARTICULOS_OSLE[[#This Row],[Costo]]*ARTICULOS_OSLE[[#This Row],[Pedido]]</f>
        <v>#VALUE!</v>
      </c>
      <c r="AH225" s="2" t="e">
        <f>IF(AND(ARTICULOS_OSLE[[#This Row],[FechaVenc]]=0,ARTICULOS_OSLE[[#This Row],[DiasVenc]]=0),"",ARTICULOS_OSLE[[#This Row],[FechaVenc]]-ARTICULOS_OSLE[[#This Row],[DiasVenc]])</f>
        <v>#VALUE!</v>
      </c>
      <c r="AO225" s="30" t="s">
        <v>8689</v>
      </c>
    </row>
    <row r="226" spans="1:41" ht="15.75" hidden="1" x14ac:dyDescent="0.25">
      <c r="A226" s="1" t="s">
        <v>10069</v>
      </c>
      <c r="B226" s="30">
        <v>1329910</v>
      </c>
      <c r="C226" t="str">
        <f t="shared" si="16"/>
        <v>KIO59130069</v>
      </c>
      <c r="D226" t="s">
        <v>8689</v>
      </c>
      <c r="E226" s="1" t="s">
        <v>10070</v>
      </c>
      <c r="F226" s="61">
        <f>VLOOKUP(ARTICULOS_GOLOMAX[[#This Row],[CodigoProveedor]],'PRECIOS GOLOMAX'!$A$1:$C$10000,3,FALSE)</f>
        <v>5580.09</v>
      </c>
      <c r="G226" s="3">
        <v>0</v>
      </c>
      <c r="H226" s="3">
        <v>0</v>
      </c>
      <c r="I226">
        <v>12</v>
      </c>
      <c r="J226">
        <v>12</v>
      </c>
      <c r="K226" s="4"/>
      <c r="L226" s="65">
        <f>((ARTICULOS_GOLOMAX[[#This Row],[P. Compra]]*(1+ARTICULOS_GOLOMAX[[#This Row],[IVA]]%))/ARTICULOS_GOLOMAX[[#This Row],[UnidFact]])+ARTICULOS_GOLOMAX[[#This Row],[CostoFlete]]</f>
        <v>465.00749999999999</v>
      </c>
      <c r="M226">
        <v>30</v>
      </c>
      <c r="N226" s="63">
        <f t="shared" si="15"/>
        <v>650</v>
      </c>
      <c r="O226" s="3">
        <f>MROUND((ARTICULOS_GOLOMAX[[#This Row],[Precio]]/0.6),50)</f>
        <v>1100</v>
      </c>
      <c r="P226" t="s">
        <v>8693</v>
      </c>
      <c r="Q226">
        <v>3</v>
      </c>
      <c r="R226" s="42">
        <f>ARTICULOS_GOLOMAX[[#This Row],[Bulto]]+ARTICULOS_GOLOMAX[[#This Row],[Minimo]]</f>
        <v>15</v>
      </c>
      <c r="S226" t="s">
        <v>17</v>
      </c>
      <c r="T226" t="s">
        <v>27</v>
      </c>
      <c r="U226" t="s">
        <v>64</v>
      </c>
      <c r="V226" t="s">
        <v>10060</v>
      </c>
      <c r="W226" t="s">
        <v>8692</v>
      </c>
      <c r="X226">
        <v>1</v>
      </c>
      <c r="Y226">
        <v>0</v>
      </c>
      <c r="AB226" s="80" t="e">
        <f>ARTICULOS_OSLE[[#This Row],[Costo]]*ARTICULOS_OSLE[[#This Row],[Pedido]]</f>
        <v>#VALUE!</v>
      </c>
      <c r="AH226" s="2" t="e">
        <f>IF(AND(ARTICULOS_OSLE[[#This Row],[FechaVenc]]=0,ARTICULOS_OSLE[[#This Row],[DiasVenc]]=0),"",ARTICULOS_OSLE[[#This Row],[FechaVenc]]-ARTICULOS_OSLE[[#This Row],[DiasVenc]])</f>
        <v>#VALUE!</v>
      </c>
      <c r="AO226" s="30" t="s">
        <v>8689</v>
      </c>
    </row>
    <row r="227" spans="1:41" ht="15.75" hidden="1" x14ac:dyDescent="0.25">
      <c r="A227" s="1" t="s">
        <v>10071</v>
      </c>
      <c r="B227" s="30">
        <v>1327726</v>
      </c>
      <c r="C227" t="str">
        <f t="shared" si="16"/>
        <v>KIO59130014</v>
      </c>
      <c r="D227" t="s">
        <v>8689</v>
      </c>
      <c r="E227" s="1" t="s">
        <v>10072</v>
      </c>
      <c r="F227" s="61">
        <f>VLOOKUP(ARTICULOS_GOLOMAX[[#This Row],[CodigoProveedor]],'PRECIOS GOLOMAX'!$A$1:$C$10000,3,FALSE)</f>
        <v>465.01</v>
      </c>
      <c r="G227" s="3">
        <v>0</v>
      </c>
      <c r="H227" s="3">
        <v>0</v>
      </c>
      <c r="I227">
        <v>1</v>
      </c>
      <c r="J227">
        <v>1</v>
      </c>
      <c r="K227" s="4"/>
      <c r="L227" s="65">
        <f>((ARTICULOS_GOLOMAX[[#This Row],[P. Compra]]*(1+ARTICULOS_GOLOMAX[[#This Row],[IVA]]%))/ARTICULOS_GOLOMAX[[#This Row],[UnidFact]])+ARTICULOS_GOLOMAX[[#This Row],[CostoFlete]]</f>
        <v>465.01</v>
      </c>
      <c r="M227">
        <v>30</v>
      </c>
      <c r="N227" s="63">
        <f t="shared" si="15"/>
        <v>650</v>
      </c>
      <c r="O227" s="3">
        <f>MROUND((ARTICULOS_GOLOMAX[[#This Row],[Precio]]/0.6),50)</f>
        <v>1100</v>
      </c>
      <c r="P227" t="s">
        <v>8693</v>
      </c>
      <c r="Q227">
        <v>3</v>
      </c>
      <c r="R227" s="42">
        <v>6</v>
      </c>
      <c r="S227" t="s">
        <v>17</v>
      </c>
      <c r="T227" t="s">
        <v>27</v>
      </c>
      <c r="U227" t="s">
        <v>64</v>
      </c>
      <c r="V227" t="s">
        <v>10060</v>
      </c>
      <c r="W227" t="s">
        <v>8692</v>
      </c>
      <c r="X227">
        <v>1</v>
      </c>
      <c r="Y227">
        <v>2</v>
      </c>
      <c r="AB227" s="80" t="e">
        <f>ARTICULOS_OSLE[[#This Row],[Costo]]*ARTICULOS_OSLE[[#This Row],[Pedido]]</f>
        <v>#VALUE!</v>
      </c>
      <c r="AH227" s="2" t="e">
        <f>IF(AND(ARTICULOS_OSLE[[#This Row],[FechaVenc]]=0,ARTICULOS_OSLE[[#This Row],[DiasVenc]]=0),"",ARTICULOS_OSLE[[#This Row],[FechaVenc]]-ARTICULOS_OSLE[[#This Row],[DiasVenc]])</f>
        <v>#VALUE!</v>
      </c>
      <c r="AO227" s="30" t="s">
        <v>8689</v>
      </c>
    </row>
    <row r="228" spans="1:41" ht="15.75" hidden="1" x14ac:dyDescent="0.25">
      <c r="A228" s="1" t="s">
        <v>10073</v>
      </c>
      <c r="B228" s="30">
        <v>1327600</v>
      </c>
      <c r="C228" t="str">
        <f t="shared" si="16"/>
        <v>KIO59120275</v>
      </c>
      <c r="D228" t="s">
        <v>8689</v>
      </c>
      <c r="E228" s="1" t="s">
        <v>10074</v>
      </c>
      <c r="F228" s="61">
        <f>VLOOKUP(ARTICULOS_GOLOMAX[[#This Row],[CodigoProveedor]],'PRECIOS GOLOMAX'!$A$1:$C$10000,3,FALSE)</f>
        <v>670.41</v>
      </c>
      <c r="G228" s="3">
        <v>0</v>
      </c>
      <c r="H228" s="3">
        <v>0</v>
      </c>
      <c r="I228">
        <v>1</v>
      </c>
      <c r="J228">
        <v>1</v>
      </c>
      <c r="K228" s="4"/>
      <c r="L228" s="65">
        <f>((ARTICULOS_GOLOMAX[[#This Row],[P. Compra]]*(1+ARTICULOS_GOLOMAX[[#This Row],[IVA]]%))/ARTICULOS_GOLOMAX[[#This Row],[UnidFact]])+ARTICULOS_GOLOMAX[[#This Row],[CostoFlete]]</f>
        <v>670.41</v>
      </c>
      <c r="M228">
        <v>30</v>
      </c>
      <c r="N228" s="63">
        <f t="shared" si="15"/>
        <v>950</v>
      </c>
      <c r="O228" s="3">
        <f>MROUND((ARTICULOS_GOLOMAX[[#This Row],[Precio]]/0.6),50)</f>
        <v>1600</v>
      </c>
      <c r="P228" t="s">
        <v>8693</v>
      </c>
      <c r="Q228">
        <v>3</v>
      </c>
      <c r="R228" s="42">
        <v>6</v>
      </c>
      <c r="S228" t="s">
        <v>17</v>
      </c>
      <c r="T228" t="s">
        <v>27</v>
      </c>
      <c r="U228" t="s">
        <v>64</v>
      </c>
      <c r="V228" t="s">
        <v>10060</v>
      </c>
      <c r="W228" t="s">
        <v>8692</v>
      </c>
      <c r="X228">
        <v>1</v>
      </c>
      <c r="Y228">
        <v>0</v>
      </c>
      <c r="AB228" s="80" t="e">
        <f>ARTICULOS_OSLE[[#This Row],[Costo]]*ARTICULOS_OSLE[[#This Row],[Pedido]]</f>
        <v>#VALUE!</v>
      </c>
      <c r="AH228" s="2" t="e">
        <f>IF(AND(ARTICULOS_OSLE[[#This Row],[FechaVenc]]=0,ARTICULOS_OSLE[[#This Row],[DiasVenc]]=0),"",ARTICULOS_OSLE[[#This Row],[FechaVenc]]-ARTICULOS_OSLE[[#This Row],[DiasVenc]])</f>
        <v>#VALUE!</v>
      </c>
      <c r="AO228" s="30" t="s">
        <v>8689</v>
      </c>
    </row>
    <row r="229" spans="1:41" ht="15.75" hidden="1" x14ac:dyDescent="0.25">
      <c r="A229" s="1" t="s">
        <v>10075</v>
      </c>
      <c r="B229" s="30">
        <v>1327160</v>
      </c>
      <c r="C229" t="str">
        <f t="shared" si="16"/>
        <v>KIO59120176</v>
      </c>
      <c r="D229" t="s">
        <v>8689</v>
      </c>
      <c r="E229" s="1" t="s">
        <v>10076</v>
      </c>
      <c r="F229" s="61">
        <f>VLOOKUP(ARTICULOS_GOLOMAX[[#This Row],[CodigoProveedor]],'PRECIOS GOLOMAX'!$A$1:$C$10000,3,FALSE)</f>
        <v>601.26</v>
      </c>
      <c r="G229" s="3">
        <v>0</v>
      </c>
      <c r="H229" s="3">
        <v>0</v>
      </c>
      <c r="I229">
        <v>1</v>
      </c>
      <c r="J229">
        <v>1</v>
      </c>
      <c r="K229" s="4"/>
      <c r="L229" s="65">
        <f>((ARTICULOS_GOLOMAX[[#This Row],[P. Compra]]*(1+ARTICULOS_GOLOMAX[[#This Row],[IVA]]%))/ARTICULOS_GOLOMAX[[#This Row],[UnidFact]])+ARTICULOS_GOLOMAX[[#This Row],[CostoFlete]]</f>
        <v>601.26</v>
      </c>
      <c r="M229">
        <v>30</v>
      </c>
      <c r="N229" s="63">
        <f t="shared" si="15"/>
        <v>850</v>
      </c>
      <c r="O229" s="3">
        <f>MROUND((ARTICULOS_GOLOMAX[[#This Row],[Precio]]/0.6),50)</f>
        <v>1400</v>
      </c>
      <c r="P229" t="s">
        <v>8693</v>
      </c>
      <c r="Q229">
        <v>3</v>
      </c>
      <c r="R229" s="42">
        <v>6</v>
      </c>
      <c r="S229" t="s">
        <v>17</v>
      </c>
      <c r="T229" t="s">
        <v>27</v>
      </c>
      <c r="U229" t="s">
        <v>64</v>
      </c>
      <c r="V229" s="30" t="s">
        <v>10060</v>
      </c>
      <c r="W229" t="s">
        <v>8692</v>
      </c>
      <c r="X229">
        <v>1</v>
      </c>
      <c r="Y229">
        <v>0</v>
      </c>
      <c r="AB229" s="80" t="e">
        <f>ARTICULOS_OSLE[[#This Row],[Costo]]*ARTICULOS_OSLE[[#This Row],[Pedido]]</f>
        <v>#VALUE!</v>
      </c>
      <c r="AH229" s="2" t="e">
        <f>IF(AND(ARTICULOS_OSLE[[#This Row],[FechaVenc]]=0,ARTICULOS_OSLE[[#This Row],[DiasVenc]]=0),"",ARTICULOS_OSLE[[#This Row],[FechaVenc]]-ARTICULOS_OSLE[[#This Row],[DiasVenc]])</f>
        <v>#VALUE!</v>
      </c>
      <c r="AO229" s="30" t="s">
        <v>8689</v>
      </c>
    </row>
    <row r="230" spans="1:41" ht="15.75" hidden="1" x14ac:dyDescent="0.25">
      <c r="A230" s="1" t="s">
        <v>10077</v>
      </c>
      <c r="B230" s="30">
        <v>1327773</v>
      </c>
      <c r="C230" t="str">
        <f t="shared" si="16"/>
        <v>KIO59130045</v>
      </c>
      <c r="D230" t="s">
        <v>8689</v>
      </c>
      <c r="E230" s="1" t="s">
        <v>10078</v>
      </c>
      <c r="F230" s="61">
        <f>VLOOKUP(ARTICULOS_GOLOMAX[[#This Row],[CodigoProveedor]],'PRECIOS GOLOMAX'!$A$1:$C$10000,3,FALSE)</f>
        <v>465.01</v>
      </c>
      <c r="G230" s="3">
        <v>0</v>
      </c>
      <c r="H230" s="3">
        <v>0</v>
      </c>
      <c r="I230">
        <v>1</v>
      </c>
      <c r="J230">
        <v>1</v>
      </c>
      <c r="K230" s="4"/>
      <c r="L230" s="65">
        <f>((ARTICULOS_GOLOMAX[[#This Row],[P. Compra]]*(1+ARTICULOS_GOLOMAX[[#This Row],[IVA]]%))/ARTICULOS_GOLOMAX[[#This Row],[UnidFact]])+ARTICULOS_GOLOMAX[[#This Row],[CostoFlete]]</f>
        <v>465.01</v>
      </c>
      <c r="M230">
        <v>30</v>
      </c>
      <c r="N230" s="63">
        <f t="shared" si="15"/>
        <v>650</v>
      </c>
      <c r="O230" s="3">
        <f>MROUND((ARTICULOS_GOLOMAX[[#This Row],[Precio]]/0.6),50)</f>
        <v>1100</v>
      </c>
      <c r="P230" t="s">
        <v>8693</v>
      </c>
      <c r="Q230">
        <v>3</v>
      </c>
      <c r="R230" s="42">
        <v>6</v>
      </c>
      <c r="S230" t="s">
        <v>17</v>
      </c>
      <c r="T230" t="s">
        <v>27</v>
      </c>
      <c r="U230" t="s">
        <v>64</v>
      </c>
      <c r="V230" t="s">
        <v>10060</v>
      </c>
      <c r="W230" t="s">
        <v>8692</v>
      </c>
      <c r="X230">
        <v>1</v>
      </c>
      <c r="Y230">
        <v>7</v>
      </c>
      <c r="AB230" s="80" t="e">
        <f>ARTICULOS_OSLE[[#This Row],[Costo]]*ARTICULOS_OSLE[[#This Row],[Pedido]]</f>
        <v>#VALUE!</v>
      </c>
      <c r="AH230" s="2" t="e">
        <f>IF(AND(ARTICULOS_OSLE[[#This Row],[FechaVenc]]=0,ARTICULOS_OSLE[[#This Row],[DiasVenc]]=0),"",ARTICULOS_OSLE[[#This Row],[FechaVenc]]-ARTICULOS_OSLE[[#This Row],[DiasVenc]])</f>
        <v>#VALUE!</v>
      </c>
      <c r="AO230" s="30" t="s">
        <v>8689</v>
      </c>
    </row>
    <row r="231" spans="1:41" ht="15.75" hidden="1" x14ac:dyDescent="0.25">
      <c r="A231" s="1" t="s">
        <v>10092</v>
      </c>
      <c r="B231">
        <v>5421206</v>
      </c>
      <c r="C231" t="str">
        <f t="shared" si="16"/>
        <v>KIO30950014</v>
      </c>
      <c r="D231" t="s">
        <v>8689</v>
      </c>
      <c r="E231" s="1" t="s">
        <v>10093</v>
      </c>
      <c r="F231" s="61">
        <f>VLOOKUP(ARTICULOS_GOLOMAX[[#This Row],[CodigoProveedor]],'PRECIOS GOLOMAX'!$A$1:$C$10000,3,FALSE)</f>
        <v>184.37</v>
      </c>
      <c r="G231" s="3">
        <v>0</v>
      </c>
      <c r="H231" s="3">
        <v>0</v>
      </c>
      <c r="I231">
        <v>1</v>
      </c>
      <c r="J231">
        <v>1</v>
      </c>
      <c r="K231" s="31"/>
      <c r="L231" s="65">
        <f>((ARTICULOS_GOLOMAX[[#This Row],[P. Compra]]*(1+ARTICULOS_GOLOMAX[[#This Row],[IVA]]%))/ARTICULOS_GOLOMAX[[#This Row],[UnidFact]])+ARTICULOS_GOLOMAX[[#This Row],[CostoFlete]]</f>
        <v>184.37</v>
      </c>
      <c r="M231">
        <v>30</v>
      </c>
      <c r="N231" s="63">
        <f t="shared" si="15"/>
        <v>250</v>
      </c>
      <c r="O231" s="3">
        <f>MROUND((ARTICULOS_GOLOMAX[[#This Row],[Precio]]/0.6),50)</f>
        <v>400</v>
      </c>
      <c r="P231" t="s">
        <v>8693</v>
      </c>
      <c r="Q231">
        <v>6</v>
      </c>
      <c r="R231" s="42">
        <v>30</v>
      </c>
      <c r="S231" t="s">
        <v>35</v>
      </c>
      <c r="T231" t="s">
        <v>27</v>
      </c>
      <c r="U231" t="s">
        <v>72</v>
      </c>
      <c r="V231" t="s">
        <v>10094</v>
      </c>
      <c r="W231" t="s">
        <v>8692</v>
      </c>
      <c r="X231">
        <v>1</v>
      </c>
      <c r="Y231">
        <v>0</v>
      </c>
      <c r="AB231" s="80" t="e">
        <f>ARTICULOS_OSLE[[#This Row],[Costo]]*ARTICULOS_OSLE[[#This Row],[Pedido]]</f>
        <v>#VALUE!</v>
      </c>
      <c r="AH231" s="2" t="e">
        <f>IF(AND(ARTICULOS_OSLE[[#This Row],[FechaVenc]]=0,ARTICULOS_OSLE[[#This Row],[DiasVenc]]=0),"",ARTICULOS_OSLE[[#This Row],[FechaVenc]]-ARTICULOS_OSLE[[#This Row],[DiasVenc]])</f>
        <v>#VALUE!</v>
      </c>
      <c r="AO231" s="30" t="s">
        <v>8689</v>
      </c>
    </row>
    <row r="232" spans="1:41" ht="15.75" hidden="1" x14ac:dyDescent="0.25">
      <c r="A232" s="1" t="s">
        <v>10272</v>
      </c>
      <c r="B232" s="30">
        <v>1240610</v>
      </c>
      <c r="C232" t="str">
        <f t="shared" si="16"/>
        <v>KIO67847736</v>
      </c>
      <c r="D232" t="s">
        <v>8689</v>
      </c>
      <c r="E232" s="1" t="s">
        <v>10273</v>
      </c>
      <c r="F232" s="61">
        <f>VLOOKUP(ARTICULOS_GOLOMAX[[#This Row],[CodigoProveedor]],'PRECIOS GOLOMAX'!$A$1:$C$10000,3,FALSE)</f>
        <v>14729.95</v>
      </c>
      <c r="G232" s="3">
        <v>0</v>
      </c>
      <c r="H232" s="3">
        <v>0</v>
      </c>
      <c r="I232" s="36">
        <v>12</v>
      </c>
      <c r="J232" s="36">
        <v>12</v>
      </c>
      <c r="K232" s="4"/>
      <c r="L232" s="65">
        <f>((ARTICULOS_GOLOMAX[[#This Row],[P. Compra]]*(1+ARTICULOS_GOLOMAX[[#This Row],[IVA]]%))/ARTICULOS_GOLOMAX[[#This Row],[UnidFact]])+ARTICULOS_GOLOMAX[[#This Row],[CostoFlete]]</f>
        <v>1227.4958333333334</v>
      </c>
      <c r="M232">
        <v>30</v>
      </c>
      <c r="N232" s="63">
        <f t="shared" si="15"/>
        <v>1750</v>
      </c>
      <c r="O232" s="3">
        <f>MROUND((ARTICULOS_GOLOMAX[[#This Row],[Precio]]/0.6),50)</f>
        <v>2900</v>
      </c>
      <c r="P232" t="s">
        <v>8693</v>
      </c>
      <c r="Q232" s="35">
        <v>3</v>
      </c>
      <c r="R232" s="36">
        <f>ARTICULOS_GOLOMAX[[#This Row],[Bulto]]+ARTICULOS_GOLOMAX[[#This Row],[Minimo]]</f>
        <v>15</v>
      </c>
      <c r="S232" t="s">
        <v>17</v>
      </c>
      <c r="T232" t="s">
        <v>27</v>
      </c>
      <c r="U232" t="s">
        <v>78</v>
      </c>
      <c r="V232" s="30" t="s">
        <v>10274</v>
      </c>
      <c r="W232" t="s">
        <v>8692</v>
      </c>
      <c r="X232">
        <v>1</v>
      </c>
      <c r="Y232">
        <v>9</v>
      </c>
      <c r="AB232" s="80" t="e">
        <f>ARTICULOS_OSLE[[#This Row],[Costo]]*ARTICULOS_OSLE[[#This Row],[Pedido]]</f>
        <v>#VALUE!</v>
      </c>
      <c r="AH232" s="2" t="e">
        <f>IF(AND(ARTICULOS_OSLE[[#This Row],[FechaVenc]]=0,ARTICULOS_OSLE[[#This Row],[DiasVenc]]=0),"",ARTICULOS_OSLE[[#This Row],[FechaVenc]]-ARTICULOS_OSLE[[#This Row],[DiasVenc]])</f>
        <v>#VALUE!</v>
      </c>
      <c r="AO232" s="30" t="s">
        <v>8689</v>
      </c>
    </row>
    <row r="233" spans="1:41" ht="15.75" hidden="1" x14ac:dyDescent="0.25">
      <c r="A233" s="1" t="s">
        <v>10109</v>
      </c>
      <c r="B233">
        <v>3121029</v>
      </c>
      <c r="C233" t="str">
        <f t="shared" si="16"/>
        <v>KIO30125308</v>
      </c>
      <c r="D233" t="s">
        <v>8689</v>
      </c>
      <c r="E233" s="1" t="s">
        <v>10110</v>
      </c>
      <c r="F233" s="61">
        <f>VLOOKUP(ARTICULOS_GOLOMAX[[#This Row],[CodigoProveedor]],'PRECIOS GOLOMAX'!$A$1:$C$10000,3,FALSE)</f>
        <v>583.74</v>
      </c>
      <c r="G233" s="3">
        <v>0</v>
      </c>
      <c r="H233" s="3">
        <v>0</v>
      </c>
      <c r="I233">
        <v>1</v>
      </c>
      <c r="J233">
        <v>1</v>
      </c>
      <c r="K233" s="4"/>
      <c r="L233" s="65">
        <f>((ARTICULOS_GOLOMAX[[#This Row],[P. Compra]]*(1+ARTICULOS_GOLOMAX[[#This Row],[IVA]]%))/ARTICULOS_GOLOMAX[[#This Row],[UnidFact]])+ARTICULOS_GOLOMAX[[#This Row],[CostoFlete]]</f>
        <v>583.74</v>
      </c>
      <c r="M233">
        <v>30</v>
      </c>
      <c r="N233" s="63">
        <f t="shared" si="15"/>
        <v>850</v>
      </c>
      <c r="O233" s="3">
        <f>MROUND((ARTICULOS_GOLOMAX[[#This Row],[Precio]]/0.6),50)</f>
        <v>1400</v>
      </c>
      <c r="P233" t="s">
        <v>8693</v>
      </c>
      <c r="Q233">
        <v>10</v>
      </c>
      <c r="R233" s="42">
        <f>ARTICULOS_GOLOMAX[[#This Row],[Bulto]]+ARTICULOS_GOLOMAX[[#This Row],[Minimo]]</f>
        <v>11</v>
      </c>
      <c r="S233" t="s">
        <v>17</v>
      </c>
      <c r="T233" t="s">
        <v>27</v>
      </c>
      <c r="U233" t="s">
        <v>82</v>
      </c>
      <c r="V233" t="s">
        <v>10111</v>
      </c>
      <c r="W233" t="s">
        <v>8692</v>
      </c>
      <c r="X233">
        <v>1</v>
      </c>
      <c r="Y233">
        <v>9</v>
      </c>
      <c r="AB233" s="80" t="e">
        <f>ARTICULOS_OSLE[[#This Row],[Costo]]*ARTICULOS_OSLE[[#This Row],[Pedido]]</f>
        <v>#VALUE!</v>
      </c>
      <c r="AH233" s="2" t="e">
        <f>IF(AND(ARTICULOS_OSLE[[#This Row],[FechaVenc]]=0,ARTICULOS_OSLE[[#This Row],[DiasVenc]]=0),"",ARTICULOS_OSLE[[#This Row],[FechaVenc]]-ARTICULOS_OSLE[[#This Row],[DiasVenc]])</f>
        <v>#VALUE!</v>
      </c>
      <c r="AO233" s="30" t="s">
        <v>8689</v>
      </c>
    </row>
    <row r="234" spans="1:41" hidden="1" x14ac:dyDescent="0.2">
      <c r="N234" s="80">
        <f t="shared" si="15"/>
        <v>20</v>
      </c>
    </row>
    <row r="235" spans="1:41" hidden="1" x14ac:dyDescent="0.2">
      <c r="N235" s="80">
        <f t="shared" si="15"/>
        <v>20</v>
      </c>
    </row>
    <row r="236" spans="1:41" ht="15.75" hidden="1" x14ac:dyDescent="0.25">
      <c r="A236" s="1" t="s">
        <v>10115</v>
      </c>
      <c r="B236">
        <v>7181000</v>
      </c>
      <c r="C236" t="str">
        <f t="shared" ref="C236:C262" si="17">CONCATENATE(LEFT(T236,3),RIGHT(A236,8))</f>
        <v>KIO30631335</v>
      </c>
      <c r="D236" t="s">
        <v>8689</v>
      </c>
      <c r="E236" s="1" t="s">
        <v>10116</v>
      </c>
      <c r="F236" s="61">
        <f>VLOOKUP(ARTICULOS_GOLOMAX[[#This Row],[CodigoProveedor]],'PRECIOS GOLOMAX'!$A$1:$C$10000,3,FALSE)</f>
        <v>15627.86</v>
      </c>
      <c r="G236" s="3">
        <v>0</v>
      </c>
      <c r="H236" s="3">
        <v>0</v>
      </c>
      <c r="I236">
        <v>12</v>
      </c>
      <c r="J236">
        <v>12</v>
      </c>
      <c r="K236" s="4"/>
      <c r="L236" s="65">
        <f>((ARTICULOS_GOLOMAX[[#This Row],[P. Compra]]*(1+ARTICULOS_GOLOMAX[[#This Row],[IVA]]%))/ARTICULOS_GOLOMAX[[#This Row],[UnidFact]])+ARTICULOS_GOLOMAX[[#This Row],[CostoFlete]]</f>
        <v>1302.3216666666667</v>
      </c>
      <c r="M236">
        <v>30</v>
      </c>
      <c r="N236" s="63">
        <f t="shared" si="15"/>
        <v>1850</v>
      </c>
      <c r="O236" s="3">
        <f>MROUND((ARTICULOS_GOLOMAX[[#This Row],[Precio]]/0.6),50)</f>
        <v>3100</v>
      </c>
      <c r="P236" t="s">
        <v>8693</v>
      </c>
      <c r="Q236">
        <v>4</v>
      </c>
      <c r="R236" s="42">
        <f>ARTICULOS_GOLOMAX[[#This Row],[Bulto]]+ARTICULOS_GOLOMAX[[#This Row],[Minimo]]</f>
        <v>16</v>
      </c>
      <c r="S236" t="s">
        <v>17</v>
      </c>
      <c r="T236" t="s">
        <v>27</v>
      </c>
      <c r="U236" t="s">
        <v>85</v>
      </c>
      <c r="V236" t="s">
        <v>10111</v>
      </c>
      <c r="W236" t="s">
        <v>8692</v>
      </c>
      <c r="X236">
        <v>1</v>
      </c>
      <c r="Y236">
        <v>0</v>
      </c>
      <c r="AB236" s="80" t="e">
        <f>ARTICULOS_OSLE[[#This Row],[Costo]]*ARTICULOS_OSLE[[#This Row],[Pedido]]</f>
        <v>#VALUE!</v>
      </c>
      <c r="AH236" s="2" t="e">
        <f>IF(AND(ARTICULOS_OSLE[[#This Row],[FechaVenc]]=0,ARTICULOS_OSLE[[#This Row],[DiasVenc]]=0),"",ARTICULOS_OSLE[[#This Row],[FechaVenc]]-ARTICULOS_OSLE[[#This Row],[DiasVenc]])</f>
        <v>#VALUE!</v>
      </c>
      <c r="AO236" s="30" t="s">
        <v>8689</v>
      </c>
    </row>
    <row r="237" spans="1:41" ht="15.75" hidden="1" x14ac:dyDescent="0.25">
      <c r="A237" s="1" t="s">
        <v>10117</v>
      </c>
      <c r="B237">
        <v>7182000</v>
      </c>
      <c r="C237" t="str">
        <f t="shared" si="17"/>
        <v>KIO30913431</v>
      </c>
      <c r="D237" t="s">
        <v>8689</v>
      </c>
      <c r="E237" s="1" t="s">
        <v>10118</v>
      </c>
      <c r="F237" s="61">
        <f>VLOOKUP(ARTICULOS_GOLOMAX[[#This Row],[CodigoProveedor]],'PRECIOS GOLOMAX'!$A$1:$C$10000,3,FALSE)</f>
        <v>11880.35</v>
      </c>
      <c r="G237" s="3">
        <v>0</v>
      </c>
      <c r="H237" s="3">
        <v>0</v>
      </c>
      <c r="I237">
        <v>12</v>
      </c>
      <c r="J237">
        <v>12</v>
      </c>
      <c r="K237" s="4"/>
      <c r="L237" s="65">
        <f>((ARTICULOS_GOLOMAX[[#This Row],[P. Compra]]*(1+ARTICULOS_GOLOMAX[[#This Row],[IVA]]%))/ARTICULOS_GOLOMAX[[#This Row],[UnidFact]])+ARTICULOS_GOLOMAX[[#This Row],[CostoFlete]]</f>
        <v>990.0291666666667</v>
      </c>
      <c r="M237">
        <v>30</v>
      </c>
      <c r="N237" s="63">
        <f t="shared" si="15"/>
        <v>1400</v>
      </c>
      <c r="O237" s="3">
        <f>MROUND((ARTICULOS_GOLOMAX[[#This Row],[Precio]]/0.6),50)</f>
        <v>2350</v>
      </c>
      <c r="P237" t="s">
        <v>8693</v>
      </c>
      <c r="Q237">
        <v>4</v>
      </c>
      <c r="R237" s="42">
        <f>ARTICULOS_GOLOMAX[[#This Row],[Bulto]]+ARTICULOS_GOLOMAX[[#This Row],[Minimo]]</f>
        <v>16</v>
      </c>
      <c r="S237" t="s">
        <v>17</v>
      </c>
      <c r="T237" t="s">
        <v>27</v>
      </c>
      <c r="U237" t="s">
        <v>85</v>
      </c>
      <c r="V237" t="s">
        <v>10111</v>
      </c>
      <c r="W237" t="s">
        <v>8692</v>
      </c>
      <c r="X237">
        <v>1</v>
      </c>
      <c r="Y237">
        <v>17</v>
      </c>
      <c r="AB237" s="80" t="e">
        <f>ARTICULOS_OSLE[[#This Row],[Costo]]*ARTICULOS_OSLE[[#This Row],[Pedido]]</f>
        <v>#VALUE!</v>
      </c>
      <c r="AH237" s="2" t="e">
        <f>IF(AND(ARTICULOS_OSLE[[#This Row],[FechaVenc]]=0,ARTICULOS_OSLE[[#This Row],[DiasVenc]]=0),"",ARTICULOS_OSLE[[#This Row],[FechaVenc]]-ARTICULOS_OSLE[[#This Row],[DiasVenc]])</f>
        <v>#VALUE!</v>
      </c>
      <c r="AO237" s="30" t="s">
        <v>8689</v>
      </c>
    </row>
    <row r="238" spans="1:41" ht="15.75" hidden="1" x14ac:dyDescent="0.25">
      <c r="A238" s="1" t="s">
        <v>10119</v>
      </c>
      <c r="B238">
        <v>7186010</v>
      </c>
      <c r="C238" t="str">
        <f t="shared" si="17"/>
        <v>KIO77944498</v>
      </c>
      <c r="D238" t="s">
        <v>8689</v>
      </c>
      <c r="E238" s="1" t="s">
        <v>10120</v>
      </c>
      <c r="F238" s="61" t="e">
        <f>VLOOKUP(ARTICULOS_GOLOMAX[[#This Row],[CodigoProveedor]],'PRECIOS GOLOMAX'!$A$1:$C$10000,3,FALSE)</f>
        <v>#N/A</v>
      </c>
      <c r="G238" s="3">
        <v>0</v>
      </c>
      <c r="H238" s="3">
        <v>0</v>
      </c>
      <c r="I238">
        <v>20</v>
      </c>
      <c r="J238">
        <v>20</v>
      </c>
      <c r="K238" s="4"/>
      <c r="L238" s="65" t="e">
        <f>((ARTICULOS_GOLOMAX[[#This Row],[P. Compra]]*(1+ARTICULOS_GOLOMAX[[#This Row],[IVA]]%))/ARTICULOS_GOLOMAX[[#This Row],[UnidFact]])+ARTICULOS_GOLOMAX[[#This Row],[CostoFlete]]</f>
        <v>#N/A</v>
      </c>
      <c r="M238">
        <v>30</v>
      </c>
      <c r="N238" s="63" t="e">
        <f t="shared" si="15"/>
        <v>#N/A</v>
      </c>
      <c r="O238" s="3" t="e">
        <f>MROUND((ARTICULOS_GOLOMAX[[#This Row],[Precio]]/0.6),50)</f>
        <v>#N/A</v>
      </c>
      <c r="P238" t="s">
        <v>8693</v>
      </c>
      <c r="Q238">
        <v>5</v>
      </c>
      <c r="R238" s="42">
        <f>ARTICULOS_GOLOMAX[[#This Row],[Bulto]]+ARTICULOS_GOLOMAX[[#This Row],[Minimo]]</f>
        <v>25</v>
      </c>
      <c r="S238" t="s">
        <v>17</v>
      </c>
      <c r="T238" t="s">
        <v>27</v>
      </c>
      <c r="U238" t="s">
        <v>85</v>
      </c>
      <c r="V238" t="s">
        <v>10094</v>
      </c>
      <c r="W238" t="s">
        <v>8692</v>
      </c>
      <c r="X238">
        <v>1</v>
      </c>
      <c r="Y238">
        <v>0</v>
      </c>
      <c r="AB238" s="80" t="e">
        <f>ARTICULOS_OSLE[[#This Row],[Costo]]*ARTICULOS_OSLE[[#This Row],[Pedido]]</f>
        <v>#VALUE!</v>
      </c>
      <c r="AH238" s="2" t="e">
        <f>IF(AND(ARTICULOS_OSLE[[#This Row],[FechaVenc]]=0,ARTICULOS_OSLE[[#This Row],[DiasVenc]]=0),"",ARTICULOS_OSLE[[#This Row],[FechaVenc]]-ARTICULOS_OSLE[[#This Row],[DiasVenc]])</f>
        <v>#VALUE!</v>
      </c>
      <c r="AO238" s="30" t="s">
        <v>8689</v>
      </c>
    </row>
    <row r="239" spans="1:41" ht="15.75" hidden="1" x14ac:dyDescent="0.25">
      <c r="A239" s="1" t="s">
        <v>10121</v>
      </c>
      <c r="B239">
        <v>7185000</v>
      </c>
      <c r="C239" t="str">
        <f t="shared" si="17"/>
        <v>KIO04095218</v>
      </c>
      <c r="D239" t="s">
        <v>8689</v>
      </c>
      <c r="E239" s="1" t="s">
        <v>10122</v>
      </c>
      <c r="F239" s="61">
        <f>VLOOKUP(ARTICULOS_GOLOMAX[[#This Row],[CodigoProveedor]],'PRECIOS GOLOMAX'!$A$1:$C$10000,3,FALSE)</f>
        <v>6444.07</v>
      </c>
      <c r="G239" s="3">
        <v>0</v>
      </c>
      <c r="H239" s="3">
        <v>0</v>
      </c>
      <c r="I239">
        <v>25</v>
      </c>
      <c r="J239">
        <v>25</v>
      </c>
      <c r="K239" s="4"/>
      <c r="L239" s="65">
        <f>((ARTICULOS_GOLOMAX[[#This Row],[P. Compra]]*(1+ARTICULOS_GOLOMAX[[#This Row],[IVA]]%))/ARTICULOS_GOLOMAX[[#This Row],[UnidFact]])+ARTICULOS_GOLOMAX[[#This Row],[CostoFlete]]</f>
        <v>257.76279999999997</v>
      </c>
      <c r="M239">
        <v>48</v>
      </c>
      <c r="N239" s="63">
        <f t="shared" si="15"/>
        <v>500</v>
      </c>
      <c r="O239" s="3">
        <f>MROUND((ARTICULOS_GOLOMAX[[#This Row],[Precio]]/0.6),50)</f>
        <v>850</v>
      </c>
      <c r="P239" t="s">
        <v>8693</v>
      </c>
      <c r="Q239">
        <v>5</v>
      </c>
      <c r="R239" s="42">
        <f>ARTICULOS_GOLOMAX[[#This Row],[Bulto]]+ARTICULOS_GOLOMAX[[#This Row],[Minimo]]</f>
        <v>30</v>
      </c>
      <c r="S239" t="s">
        <v>17</v>
      </c>
      <c r="T239" t="s">
        <v>27</v>
      </c>
      <c r="U239" t="s">
        <v>85</v>
      </c>
      <c r="V239" t="s">
        <v>10094</v>
      </c>
      <c r="W239" t="s">
        <v>8692</v>
      </c>
      <c r="X239">
        <v>1</v>
      </c>
      <c r="Y239">
        <v>9</v>
      </c>
      <c r="AB239" s="80" t="e">
        <f>ARTICULOS_OSLE[[#This Row],[Costo]]*ARTICULOS_OSLE[[#This Row],[Pedido]]</f>
        <v>#VALUE!</v>
      </c>
      <c r="AH239" s="2" t="e">
        <f>IF(AND(ARTICULOS_OSLE[[#This Row],[FechaVenc]]=0,ARTICULOS_OSLE[[#This Row],[DiasVenc]]=0),"",ARTICULOS_OSLE[[#This Row],[FechaVenc]]-ARTICULOS_OSLE[[#This Row],[DiasVenc]])</f>
        <v>#VALUE!</v>
      </c>
      <c r="AO239" s="30" t="s">
        <v>8689</v>
      </c>
    </row>
    <row r="240" spans="1:41" ht="15.75" hidden="1" x14ac:dyDescent="0.25">
      <c r="A240" s="1" t="s">
        <v>10123</v>
      </c>
      <c r="B240" s="30">
        <v>3571200</v>
      </c>
      <c r="C240" t="str">
        <f t="shared" si="17"/>
        <v>KIO77906731</v>
      </c>
      <c r="D240" t="s">
        <v>8689</v>
      </c>
      <c r="E240" s="1" t="s">
        <v>10124</v>
      </c>
      <c r="F240" s="61">
        <f>VLOOKUP(ARTICULOS_GOLOMAX[[#This Row],[CodigoProveedor]],'PRECIOS GOLOMAX'!$A$1:$C$10000,3,FALSE)</f>
        <v>1726.74</v>
      </c>
      <c r="G240" s="3">
        <v>0</v>
      </c>
      <c r="H240" s="3">
        <v>0</v>
      </c>
      <c r="I240">
        <v>1</v>
      </c>
      <c r="J240">
        <v>1</v>
      </c>
      <c r="K240" s="4"/>
      <c r="L240" s="65">
        <f>((ARTICULOS_GOLOMAX[[#This Row],[P. Compra]]*(1+ARTICULOS_GOLOMAX[[#This Row],[IVA]]%))/ARTICULOS_GOLOMAX[[#This Row],[UnidFact]])+ARTICULOS_GOLOMAX[[#This Row],[CostoFlete]]</f>
        <v>1726.74</v>
      </c>
      <c r="M240">
        <v>30</v>
      </c>
      <c r="N240" s="63">
        <f t="shared" si="15"/>
        <v>2450</v>
      </c>
      <c r="O240" s="3">
        <f>MROUND((ARTICULOS_GOLOMAX[[#This Row],[Precio]]/0.6),50)</f>
        <v>4100</v>
      </c>
      <c r="P240" t="s">
        <v>8693</v>
      </c>
      <c r="Q240">
        <v>2</v>
      </c>
      <c r="R240" s="42">
        <v>5</v>
      </c>
      <c r="S240" t="s">
        <v>17</v>
      </c>
      <c r="T240" t="s">
        <v>27</v>
      </c>
      <c r="U240" t="s">
        <v>85</v>
      </c>
      <c r="V240" t="s">
        <v>10125</v>
      </c>
      <c r="W240" t="s">
        <v>8692</v>
      </c>
      <c r="X240">
        <v>1</v>
      </c>
      <c r="Y240">
        <v>6</v>
      </c>
      <c r="AB240" s="80" t="e">
        <f>ARTICULOS_OSLE[[#This Row],[Costo]]*ARTICULOS_OSLE[[#This Row],[Pedido]]</f>
        <v>#VALUE!</v>
      </c>
      <c r="AH240" s="2" t="e">
        <f>IF(AND(ARTICULOS_OSLE[[#This Row],[FechaVenc]]=0,ARTICULOS_OSLE[[#This Row],[DiasVenc]]=0),"",ARTICULOS_OSLE[[#This Row],[FechaVenc]]-ARTICULOS_OSLE[[#This Row],[DiasVenc]])</f>
        <v>#VALUE!</v>
      </c>
      <c r="AO240" s="30" t="s">
        <v>8689</v>
      </c>
    </row>
    <row r="241" spans="1:41" ht="15.75" hidden="1" x14ac:dyDescent="0.25">
      <c r="A241" s="1" t="s">
        <v>10126</v>
      </c>
      <c r="B241" s="30">
        <v>3571100</v>
      </c>
      <c r="C241" t="str">
        <f t="shared" si="17"/>
        <v>KIO77917188</v>
      </c>
      <c r="D241" t="s">
        <v>8689</v>
      </c>
      <c r="E241" s="1" t="s">
        <v>10127</v>
      </c>
      <c r="F241" s="61">
        <f>VLOOKUP(ARTICULOS_GOLOMAX[[#This Row],[CodigoProveedor]],'PRECIOS GOLOMAX'!$A$1:$C$10000,3,FALSE)</f>
        <v>1375.72</v>
      </c>
      <c r="G241" s="3">
        <v>0</v>
      </c>
      <c r="H241" s="3">
        <v>0</v>
      </c>
      <c r="I241">
        <v>1</v>
      </c>
      <c r="J241">
        <v>1</v>
      </c>
      <c r="K241" s="4"/>
      <c r="L241" s="65">
        <f>((ARTICULOS_GOLOMAX[[#This Row],[P. Compra]]*(1+ARTICULOS_GOLOMAX[[#This Row],[IVA]]%))/ARTICULOS_GOLOMAX[[#This Row],[UnidFact]])+ARTICULOS_GOLOMAX[[#This Row],[CostoFlete]]</f>
        <v>1375.72</v>
      </c>
      <c r="M241">
        <v>30</v>
      </c>
      <c r="N241" s="63">
        <f t="shared" si="15"/>
        <v>1950</v>
      </c>
      <c r="O241" s="3">
        <f>MROUND((ARTICULOS_GOLOMAX[[#This Row],[Precio]]/0.6),50)</f>
        <v>3250</v>
      </c>
      <c r="P241" t="s">
        <v>8693</v>
      </c>
      <c r="Q241">
        <v>2</v>
      </c>
      <c r="R241" s="42">
        <v>5</v>
      </c>
      <c r="S241" t="s">
        <v>17</v>
      </c>
      <c r="T241" t="s">
        <v>27</v>
      </c>
      <c r="U241" t="s">
        <v>85</v>
      </c>
      <c r="V241" t="s">
        <v>10125</v>
      </c>
      <c r="W241" t="s">
        <v>8692</v>
      </c>
      <c r="X241">
        <v>1</v>
      </c>
      <c r="Y241">
        <v>3</v>
      </c>
      <c r="AB241" s="80" t="e">
        <f>ARTICULOS_OSLE[[#This Row],[Costo]]*ARTICULOS_OSLE[[#This Row],[Pedido]]</f>
        <v>#VALUE!</v>
      </c>
      <c r="AH241" s="2" t="e">
        <f>IF(AND(ARTICULOS_OSLE[[#This Row],[FechaVenc]]=0,ARTICULOS_OSLE[[#This Row],[DiasVenc]]=0),"",ARTICULOS_OSLE[[#This Row],[FechaVenc]]-ARTICULOS_OSLE[[#This Row],[DiasVenc]])</f>
        <v>#VALUE!</v>
      </c>
      <c r="AO241" s="30" t="s">
        <v>8689</v>
      </c>
    </row>
    <row r="242" spans="1:41" ht="15.75" hidden="1" x14ac:dyDescent="0.25">
      <c r="A242" s="1" t="s">
        <v>10128</v>
      </c>
      <c r="B242" s="30">
        <v>6267000</v>
      </c>
      <c r="C242" t="str">
        <f t="shared" si="17"/>
        <v>KIO21300161</v>
      </c>
      <c r="D242" t="s">
        <v>8689</v>
      </c>
      <c r="E242" s="1" t="s">
        <v>10129</v>
      </c>
      <c r="F242" s="61">
        <f>VLOOKUP(ARTICULOS_GOLOMAX[[#This Row],[CodigoProveedor]],'PRECIOS GOLOMAX'!$A$1:$C$10000,3,FALSE)</f>
        <v>626.78</v>
      </c>
      <c r="G242" s="3">
        <v>0</v>
      </c>
      <c r="H242" s="3">
        <v>0</v>
      </c>
      <c r="I242">
        <v>1</v>
      </c>
      <c r="J242">
        <v>1</v>
      </c>
      <c r="K242" s="4"/>
      <c r="L242" s="65">
        <f>((ARTICULOS_GOLOMAX[[#This Row],[P. Compra]]*(1+ARTICULOS_GOLOMAX[[#This Row],[IVA]]%))/ARTICULOS_GOLOMAX[[#This Row],[UnidFact]])+ARTICULOS_GOLOMAX[[#This Row],[CostoFlete]]</f>
        <v>626.78</v>
      </c>
      <c r="M242">
        <v>30</v>
      </c>
      <c r="N242" s="63">
        <f t="shared" si="15"/>
        <v>900</v>
      </c>
      <c r="O242" s="3">
        <f>MROUND((ARTICULOS_GOLOMAX[[#This Row],[Precio]]/0.6),50)</f>
        <v>1500</v>
      </c>
      <c r="P242" t="s">
        <v>8693</v>
      </c>
      <c r="Q242">
        <v>2</v>
      </c>
      <c r="R242" s="42">
        <v>5</v>
      </c>
      <c r="S242" t="s">
        <v>17</v>
      </c>
      <c r="T242" t="s">
        <v>27</v>
      </c>
      <c r="U242" t="s">
        <v>85</v>
      </c>
      <c r="V242" t="s">
        <v>10130</v>
      </c>
      <c r="W242" t="s">
        <v>8692</v>
      </c>
      <c r="X242">
        <v>1</v>
      </c>
      <c r="Y242">
        <v>4</v>
      </c>
      <c r="AB242" s="80" t="e">
        <f>ARTICULOS_OSLE[[#This Row],[Costo]]*ARTICULOS_OSLE[[#This Row],[Pedido]]</f>
        <v>#VALUE!</v>
      </c>
      <c r="AH242" s="2" t="e">
        <f>IF(AND(ARTICULOS_OSLE[[#This Row],[FechaVenc]]=0,ARTICULOS_OSLE[[#This Row],[DiasVenc]]=0),"",ARTICULOS_OSLE[[#This Row],[FechaVenc]]-ARTICULOS_OSLE[[#This Row],[DiasVenc]])</f>
        <v>#VALUE!</v>
      </c>
      <c r="AO242" s="30" t="s">
        <v>8689</v>
      </c>
    </row>
    <row r="243" spans="1:41" ht="15.75" hidden="1" x14ac:dyDescent="0.25">
      <c r="A243" s="1" t="s">
        <v>10131</v>
      </c>
      <c r="B243" s="30">
        <v>6267800</v>
      </c>
      <c r="C243" t="str">
        <f t="shared" si="17"/>
        <v>KIO21300185</v>
      </c>
      <c r="D243" t="s">
        <v>8689</v>
      </c>
      <c r="E243" s="1" t="s">
        <v>10132</v>
      </c>
      <c r="F243" s="61">
        <f>VLOOKUP(ARTICULOS_GOLOMAX[[#This Row],[CodigoProveedor]],'PRECIOS GOLOMAX'!$A$1:$C$10000,3,FALSE)</f>
        <v>626.78</v>
      </c>
      <c r="G243" s="3">
        <v>0</v>
      </c>
      <c r="H243" s="3">
        <v>0</v>
      </c>
      <c r="I243">
        <v>1</v>
      </c>
      <c r="J243">
        <v>1</v>
      </c>
      <c r="K243" s="4"/>
      <c r="L243" s="65">
        <f>((ARTICULOS_GOLOMAX[[#This Row],[P. Compra]]*(1+ARTICULOS_GOLOMAX[[#This Row],[IVA]]%))/ARTICULOS_GOLOMAX[[#This Row],[UnidFact]])+ARTICULOS_GOLOMAX[[#This Row],[CostoFlete]]</f>
        <v>626.78</v>
      </c>
      <c r="M243">
        <v>30</v>
      </c>
      <c r="N243" s="63">
        <f t="shared" si="15"/>
        <v>900</v>
      </c>
      <c r="O243" s="3">
        <f>MROUND((ARTICULOS_GOLOMAX[[#This Row],[Precio]]/0.6),50)</f>
        <v>1500</v>
      </c>
      <c r="P243" t="s">
        <v>8693</v>
      </c>
      <c r="Q243">
        <v>2</v>
      </c>
      <c r="R243" s="42">
        <v>5</v>
      </c>
      <c r="S243" t="s">
        <v>17</v>
      </c>
      <c r="T243" t="s">
        <v>27</v>
      </c>
      <c r="U243" t="s">
        <v>85</v>
      </c>
      <c r="V243" t="s">
        <v>10130</v>
      </c>
      <c r="W243" t="s">
        <v>8692</v>
      </c>
      <c r="X243">
        <v>1</v>
      </c>
      <c r="Y243">
        <v>10</v>
      </c>
      <c r="AB243" s="80" t="e">
        <f>ARTICULOS_OSLE[[#This Row],[Costo]]*ARTICULOS_OSLE[[#This Row],[Pedido]]</f>
        <v>#VALUE!</v>
      </c>
      <c r="AH243" s="2" t="e">
        <f>IF(AND(ARTICULOS_OSLE[[#This Row],[FechaVenc]]=0,ARTICULOS_OSLE[[#This Row],[DiasVenc]]=0),"",ARTICULOS_OSLE[[#This Row],[FechaVenc]]-ARTICULOS_OSLE[[#This Row],[DiasVenc]])</f>
        <v>#VALUE!</v>
      </c>
      <c r="AO243" s="30" t="s">
        <v>8689</v>
      </c>
    </row>
    <row r="244" spans="1:41" ht="15.75" hidden="1" x14ac:dyDescent="0.25">
      <c r="A244" s="1" t="s">
        <v>10133</v>
      </c>
      <c r="B244">
        <v>6265000</v>
      </c>
      <c r="C244" t="str">
        <f t="shared" si="17"/>
        <v>KIO00013613</v>
      </c>
      <c r="D244" t="s">
        <v>8689</v>
      </c>
      <c r="E244" s="1" t="s">
        <v>10134</v>
      </c>
      <c r="F244" s="61">
        <f>VLOOKUP(ARTICULOS_GOLOMAX[[#This Row],[CodigoProveedor]],'PRECIOS GOLOMAX'!$A$1:$C$10000,3,FALSE)</f>
        <v>3129.32</v>
      </c>
      <c r="G244" s="3">
        <v>0</v>
      </c>
      <c r="H244" s="3">
        <v>0</v>
      </c>
      <c r="I244">
        <v>1</v>
      </c>
      <c r="J244">
        <v>1</v>
      </c>
      <c r="K244" s="4"/>
      <c r="L244" s="65">
        <f>((ARTICULOS_GOLOMAX[[#This Row],[P. Compra]]*(1+ARTICULOS_GOLOMAX[[#This Row],[IVA]]%))/ARTICULOS_GOLOMAX[[#This Row],[UnidFact]])+ARTICULOS_GOLOMAX[[#This Row],[CostoFlete]]</f>
        <v>3129.32</v>
      </c>
      <c r="M244">
        <v>30</v>
      </c>
      <c r="N244" s="63">
        <f t="shared" si="15"/>
        <v>4450</v>
      </c>
      <c r="O244" s="3">
        <f>MROUND((ARTICULOS_GOLOMAX[[#This Row],[Precio]]/0.6),50)</f>
        <v>7400</v>
      </c>
      <c r="P244" t="s">
        <v>8693</v>
      </c>
      <c r="Q244">
        <v>2</v>
      </c>
      <c r="R244" s="42">
        <v>5</v>
      </c>
      <c r="S244" t="s">
        <v>17</v>
      </c>
      <c r="T244" t="s">
        <v>27</v>
      </c>
      <c r="U244" t="s">
        <v>85</v>
      </c>
      <c r="V244" t="s">
        <v>10130</v>
      </c>
      <c r="W244" t="s">
        <v>8692</v>
      </c>
      <c r="X244">
        <v>1</v>
      </c>
      <c r="Y244">
        <v>5</v>
      </c>
      <c r="AB244" s="80" t="e">
        <f>ARTICULOS_OSLE[[#This Row],[Costo]]*ARTICULOS_OSLE[[#This Row],[Pedido]]</f>
        <v>#VALUE!</v>
      </c>
      <c r="AH244" s="2" t="e">
        <f>IF(AND(ARTICULOS_OSLE[[#This Row],[FechaVenc]]=0,ARTICULOS_OSLE[[#This Row],[DiasVenc]]=0),"",ARTICULOS_OSLE[[#This Row],[FechaVenc]]-ARTICULOS_OSLE[[#This Row],[DiasVenc]])</f>
        <v>#VALUE!</v>
      </c>
      <c r="AO244" s="30" t="s">
        <v>8689</v>
      </c>
    </row>
    <row r="245" spans="1:41" ht="15.75" hidden="1" x14ac:dyDescent="0.25">
      <c r="A245" s="1" t="s">
        <v>10135</v>
      </c>
      <c r="B245">
        <v>6265901</v>
      </c>
      <c r="C245" t="str">
        <f t="shared" si="17"/>
        <v>KIO02671962</v>
      </c>
      <c r="D245" t="s">
        <v>8689</v>
      </c>
      <c r="E245" s="1" t="s">
        <v>10136</v>
      </c>
      <c r="F245" s="61">
        <f>VLOOKUP(ARTICULOS_GOLOMAX[[#This Row],[CodigoProveedor]],'PRECIOS GOLOMAX'!$A$1:$C$10000,3,FALSE)</f>
        <v>672.41</v>
      </c>
      <c r="G245" s="3">
        <v>0</v>
      </c>
      <c r="H245" s="3">
        <v>0</v>
      </c>
      <c r="I245">
        <v>1</v>
      </c>
      <c r="J245">
        <v>1</v>
      </c>
      <c r="K245" s="4"/>
      <c r="L245" s="65">
        <f>((ARTICULOS_GOLOMAX[[#This Row],[P. Compra]]*(1+ARTICULOS_GOLOMAX[[#This Row],[IVA]]%))/ARTICULOS_GOLOMAX[[#This Row],[UnidFact]])+ARTICULOS_GOLOMAX[[#This Row],[CostoFlete]]</f>
        <v>672.41</v>
      </c>
      <c r="M245">
        <v>30</v>
      </c>
      <c r="N245" s="63">
        <f t="shared" si="15"/>
        <v>950</v>
      </c>
      <c r="O245" s="3">
        <f>MROUND((ARTICULOS_GOLOMAX[[#This Row],[Precio]]/0.6),50)</f>
        <v>1600</v>
      </c>
      <c r="P245" t="s">
        <v>8693</v>
      </c>
      <c r="Q245">
        <v>4</v>
      </c>
      <c r="R245" s="42">
        <v>14</v>
      </c>
      <c r="S245" t="s">
        <v>17</v>
      </c>
      <c r="T245" t="s">
        <v>27</v>
      </c>
      <c r="U245" t="s">
        <v>85</v>
      </c>
      <c r="V245" t="s">
        <v>10130</v>
      </c>
      <c r="W245" t="s">
        <v>8692</v>
      </c>
      <c r="X245">
        <v>1</v>
      </c>
      <c r="Y245">
        <v>2</v>
      </c>
      <c r="AB245" s="80" t="e">
        <f>ARTICULOS_OSLE[[#This Row],[Costo]]*ARTICULOS_OSLE[[#This Row],[Pedido]]</f>
        <v>#VALUE!</v>
      </c>
      <c r="AH245" s="2" t="e">
        <f>IF(AND(ARTICULOS_OSLE[[#This Row],[FechaVenc]]=0,ARTICULOS_OSLE[[#This Row],[DiasVenc]]=0),"",ARTICULOS_OSLE[[#This Row],[FechaVenc]]-ARTICULOS_OSLE[[#This Row],[DiasVenc]])</f>
        <v>#VALUE!</v>
      </c>
      <c r="AO245" s="30" t="s">
        <v>8689</v>
      </c>
    </row>
    <row r="246" spans="1:41" ht="15.75" hidden="1" x14ac:dyDescent="0.25">
      <c r="A246" s="1" t="s">
        <v>10137</v>
      </c>
      <c r="B246">
        <v>6266001</v>
      </c>
      <c r="C246" t="str">
        <f t="shared" si="17"/>
        <v>KIO02672068</v>
      </c>
      <c r="D246" t="s">
        <v>8689</v>
      </c>
      <c r="E246" s="1" t="s">
        <v>10138</v>
      </c>
      <c r="F246" s="61">
        <f>VLOOKUP(ARTICULOS_GOLOMAX[[#This Row],[CodigoProveedor]],'PRECIOS GOLOMAX'!$A$1:$C$10000,3,FALSE)</f>
        <v>672.41</v>
      </c>
      <c r="G246" s="3">
        <v>0</v>
      </c>
      <c r="H246" s="3">
        <v>0</v>
      </c>
      <c r="I246">
        <v>1</v>
      </c>
      <c r="J246">
        <v>1</v>
      </c>
      <c r="K246" s="4"/>
      <c r="L246" s="65">
        <f>((ARTICULOS_GOLOMAX[[#This Row],[P. Compra]]*(1+ARTICULOS_GOLOMAX[[#This Row],[IVA]]%))/ARTICULOS_GOLOMAX[[#This Row],[UnidFact]])+ARTICULOS_GOLOMAX[[#This Row],[CostoFlete]]</f>
        <v>672.41</v>
      </c>
      <c r="M246">
        <v>30</v>
      </c>
      <c r="N246" s="63">
        <f t="shared" si="15"/>
        <v>950</v>
      </c>
      <c r="O246" s="3">
        <f>MROUND((ARTICULOS_GOLOMAX[[#This Row],[Precio]]/0.6),50)</f>
        <v>1600</v>
      </c>
      <c r="P246" t="s">
        <v>8693</v>
      </c>
      <c r="Q246">
        <v>4</v>
      </c>
      <c r="R246" s="42">
        <v>14</v>
      </c>
      <c r="S246" t="s">
        <v>17</v>
      </c>
      <c r="T246" t="s">
        <v>27</v>
      </c>
      <c r="U246" t="s">
        <v>85</v>
      </c>
      <c r="V246" t="s">
        <v>10130</v>
      </c>
      <c r="W246" t="s">
        <v>8692</v>
      </c>
      <c r="X246">
        <v>1</v>
      </c>
      <c r="Y246">
        <v>18</v>
      </c>
      <c r="AB246" s="80" t="e">
        <f>ARTICULOS_OSLE[[#This Row],[Costo]]*ARTICULOS_OSLE[[#This Row],[Pedido]]</f>
        <v>#VALUE!</v>
      </c>
      <c r="AH246" s="2" t="e">
        <f>IF(AND(ARTICULOS_OSLE[[#This Row],[FechaVenc]]=0,ARTICULOS_OSLE[[#This Row],[DiasVenc]]=0),"",ARTICULOS_OSLE[[#This Row],[FechaVenc]]-ARTICULOS_OSLE[[#This Row],[DiasVenc]])</f>
        <v>#VALUE!</v>
      </c>
      <c r="AO246" s="30" t="s">
        <v>8689</v>
      </c>
    </row>
    <row r="247" spans="1:41" ht="15.75" hidden="1" x14ac:dyDescent="0.25">
      <c r="A247" s="1" t="s">
        <v>10158</v>
      </c>
      <c r="B247" s="30">
        <v>1307754</v>
      </c>
      <c r="C247" t="str">
        <f t="shared" si="17"/>
        <v>KIO70416827</v>
      </c>
      <c r="D247" t="s">
        <v>8689</v>
      </c>
      <c r="E247" s="1" t="s">
        <v>10159</v>
      </c>
      <c r="F247" s="61">
        <f>VLOOKUP(ARTICULOS_GOLOMAX[[#This Row],[CodigoProveedor]],'PRECIOS GOLOMAX'!$A$1:$C$10000,3,FALSE)</f>
        <v>330.16</v>
      </c>
      <c r="G247" s="3">
        <v>0</v>
      </c>
      <c r="H247" s="3">
        <v>0</v>
      </c>
      <c r="I247">
        <v>1</v>
      </c>
      <c r="J247">
        <v>1</v>
      </c>
      <c r="K247" s="4"/>
      <c r="L247" s="65">
        <f>((ARTICULOS_GOLOMAX[[#This Row],[P. Compra]]*(1+ARTICULOS_GOLOMAX[[#This Row],[IVA]]%))/ARTICULOS_GOLOMAX[[#This Row],[UnidFact]])+ARTICULOS_GOLOMAX[[#This Row],[CostoFlete]]</f>
        <v>330.16</v>
      </c>
      <c r="M247">
        <v>30</v>
      </c>
      <c r="N247" s="63">
        <f t="shared" si="15"/>
        <v>450</v>
      </c>
      <c r="O247" s="3">
        <f>MROUND((ARTICULOS_GOLOMAX[[#This Row],[Precio]]/0.6),50)</f>
        <v>750</v>
      </c>
      <c r="P247" t="s">
        <v>8693</v>
      </c>
      <c r="Q247">
        <v>3</v>
      </c>
      <c r="R247" s="42">
        <v>6</v>
      </c>
      <c r="S247" t="s">
        <v>17</v>
      </c>
      <c r="T247" t="s">
        <v>27</v>
      </c>
      <c r="U247" t="s">
        <v>88</v>
      </c>
      <c r="V247" t="s">
        <v>10160</v>
      </c>
      <c r="W247" t="s">
        <v>8692</v>
      </c>
      <c r="X247">
        <v>1</v>
      </c>
      <c r="Y247">
        <v>0</v>
      </c>
      <c r="AB247" s="80" t="e">
        <f>ARTICULOS_OSLE[[#This Row],[Costo]]*ARTICULOS_OSLE[[#This Row],[Pedido]]</f>
        <v>#VALUE!</v>
      </c>
      <c r="AH247" s="2" t="e">
        <f>IF(AND(ARTICULOS_OSLE[[#This Row],[FechaVenc]]=0,ARTICULOS_OSLE[[#This Row],[DiasVenc]]=0),"",ARTICULOS_OSLE[[#This Row],[FechaVenc]]-ARTICULOS_OSLE[[#This Row],[DiasVenc]])</f>
        <v>#VALUE!</v>
      </c>
      <c r="AO247" s="30" t="s">
        <v>8689</v>
      </c>
    </row>
    <row r="248" spans="1:41" ht="15.75" hidden="1" x14ac:dyDescent="0.25">
      <c r="A248" s="1" t="s">
        <v>10161</v>
      </c>
      <c r="B248" s="30">
        <v>1369425</v>
      </c>
      <c r="C248" t="str">
        <f t="shared" si="17"/>
        <v>KIO70416513</v>
      </c>
      <c r="D248" t="s">
        <v>8689</v>
      </c>
      <c r="E248" s="1" t="s">
        <v>10162</v>
      </c>
      <c r="F248" s="61">
        <f>VLOOKUP(ARTICULOS_GOLOMAX[[#This Row],[CodigoProveedor]],'PRECIOS GOLOMAX'!$A$1:$C$10000,3,FALSE)</f>
        <v>327.02</v>
      </c>
      <c r="G248" s="3">
        <v>0</v>
      </c>
      <c r="H248" s="3">
        <v>0</v>
      </c>
      <c r="I248">
        <v>1</v>
      </c>
      <c r="J248">
        <v>1</v>
      </c>
      <c r="K248" s="4"/>
      <c r="L248" s="65">
        <f>((ARTICULOS_GOLOMAX[[#This Row],[P. Compra]]*(1+ARTICULOS_GOLOMAX[[#This Row],[IVA]]%))/ARTICULOS_GOLOMAX[[#This Row],[UnidFact]])+ARTICULOS_GOLOMAX[[#This Row],[CostoFlete]]</f>
        <v>327.02</v>
      </c>
      <c r="M248">
        <v>30</v>
      </c>
      <c r="N248" s="63">
        <f t="shared" si="15"/>
        <v>450</v>
      </c>
      <c r="O248" s="3">
        <f>MROUND((ARTICULOS_GOLOMAX[[#This Row],[Precio]]/0.6),50)</f>
        <v>750</v>
      </c>
      <c r="P248" t="s">
        <v>8693</v>
      </c>
      <c r="Q248">
        <v>3</v>
      </c>
      <c r="R248" s="42">
        <v>6</v>
      </c>
      <c r="S248" t="s">
        <v>17</v>
      </c>
      <c r="T248" t="s">
        <v>27</v>
      </c>
      <c r="U248" t="s">
        <v>88</v>
      </c>
      <c r="V248" t="s">
        <v>10160</v>
      </c>
      <c r="W248" t="s">
        <v>8692</v>
      </c>
      <c r="X248">
        <v>1</v>
      </c>
      <c r="Y248">
        <v>4</v>
      </c>
      <c r="AB248" s="80" t="e">
        <f>ARTICULOS_OSLE[[#This Row],[Costo]]*ARTICULOS_OSLE[[#This Row],[Pedido]]</f>
        <v>#VALUE!</v>
      </c>
      <c r="AH248" s="2" t="e">
        <f>IF(AND(ARTICULOS_OSLE[[#This Row],[FechaVenc]]=0,ARTICULOS_OSLE[[#This Row],[DiasVenc]]=0),"",ARTICULOS_OSLE[[#This Row],[FechaVenc]]-ARTICULOS_OSLE[[#This Row],[DiasVenc]])</f>
        <v>#VALUE!</v>
      </c>
      <c r="AO248" s="30" t="s">
        <v>8689</v>
      </c>
    </row>
    <row r="249" spans="1:41" ht="15.75" hidden="1" x14ac:dyDescent="0.25">
      <c r="A249" s="1" t="s">
        <v>10163</v>
      </c>
      <c r="B249" s="30">
        <v>1369300</v>
      </c>
      <c r="C249" t="str">
        <f t="shared" si="17"/>
        <v>KIO70413178</v>
      </c>
      <c r="D249" t="s">
        <v>8689</v>
      </c>
      <c r="E249" s="1" t="s">
        <v>10164</v>
      </c>
      <c r="F249" s="61">
        <f>VLOOKUP(ARTICULOS_GOLOMAX[[#This Row],[CodigoProveedor]],'PRECIOS GOLOMAX'!$A$1:$C$10000,3,FALSE)</f>
        <v>326.68</v>
      </c>
      <c r="G249" s="3">
        <v>0</v>
      </c>
      <c r="H249" s="3">
        <v>0</v>
      </c>
      <c r="I249">
        <v>1</v>
      </c>
      <c r="J249">
        <v>1</v>
      </c>
      <c r="K249" s="4"/>
      <c r="L249" s="65">
        <f>((ARTICULOS_GOLOMAX[[#This Row],[P. Compra]]*(1+ARTICULOS_GOLOMAX[[#This Row],[IVA]]%))/ARTICULOS_GOLOMAX[[#This Row],[UnidFact]])+ARTICULOS_GOLOMAX[[#This Row],[CostoFlete]]</f>
        <v>326.68</v>
      </c>
      <c r="M249">
        <v>30</v>
      </c>
      <c r="N249" s="63">
        <f t="shared" si="15"/>
        <v>450</v>
      </c>
      <c r="O249" s="3">
        <f>MROUND((ARTICULOS_GOLOMAX[[#This Row],[Precio]]/0.6),50)</f>
        <v>750</v>
      </c>
      <c r="P249" t="s">
        <v>8693</v>
      </c>
      <c r="Q249">
        <v>3</v>
      </c>
      <c r="R249" s="42">
        <v>6</v>
      </c>
      <c r="S249" t="s">
        <v>17</v>
      </c>
      <c r="T249" t="s">
        <v>27</v>
      </c>
      <c r="U249" t="s">
        <v>88</v>
      </c>
      <c r="V249" t="s">
        <v>10160</v>
      </c>
      <c r="W249" t="s">
        <v>8692</v>
      </c>
      <c r="X249">
        <v>1</v>
      </c>
      <c r="Y249">
        <v>9</v>
      </c>
      <c r="AB249" s="80" t="e">
        <f>ARTICULOS_OSLE[[#This Row],[Costo]]*ARTICULOS_OSLE[[#This Row],[Pedido]]</f>
        <v>#VALUE!</v>
      </c>
      <c r="AH249" s="2" t="e">
        <f>IF(AND(ARTICULOS_OSLE[[#This Row],[FechaVenc]]=0,ARTICULOS_OSLE[[#This Row],[DiasVenc]]=0),"",ARTICULOS_OSLE[[#This Row],[FechaVenc]]-ARTICULOS_OSLE[[#This Row],[DiasVenc]])</f>
        <v>#VALUE!</v>
      </c>
      <c r="AO249" s="30" t="s">
        <v>8689</v>
      </c>
    </row>
    <row r="250" spans="1:41" ht="15.75" hidden="1" x14ac:dyDescent="0.25">
      <c r="A250" s="1" t="s">
        <v>10165</v>
      </c>
      <c r="B250" s="30">
        <v>1368335</v>
      </c>
      <c r="C250" t="str">
        <f t="shared" si="17"/>
        <v>KIO77929648</v>
      </c>
      <c r="D250" t="s">
        <v>8689</v>
      </c>
      <c r="E250" s="1" t="s">
        <v>10166</v>
      </c>
      <c r="F250" s="61">
        <f>VLOOKUP(ARTICULOS_GOLOMAX[[#This Row],[CodigoProveedor]],'PRECIOS GOLOMAX'!$A$1:$C$10000,3,FALSE)</f>
        <v>48.78</v>
      </c>
      <c r="G250" s="3">
        <v>0</v>
      </c>
      <c r="H250" s="3">
        <v>0</v>
      </c>
      <c r="I250">
        <v>1</v>
      </c>
      <c r="J250">
        <v>1</v>
      </c>
      <c r="K250" s="4"/>
      <c r="L250" s="65">
        <f>((ARTICULOS_GOLOMAX[[#This Row],[P. Compra]]*(1+ARTICULOS_GOLOMAX[[#This Row],[IVA]]%))/ARTICULOS_GOLOMAX[[#This Row],[UnidFact]])+ARTICULOS_GOLOMAX[[#This Row],[CostoFlete]]</f>
        <v>48.78</v>
      </c>
      <c r="M250">
        <v>40</v>
      </c>
      <c r="N250" s="63">
        <f t="shared" si="15"/>
        <v>100</v>
      </c>
      <c r="O250" s="3">
        <f>MROUND((ARTICULOS_GOLOMAX[[#This Row],[Precio]]/0.6),50)</f>
        <v>150</v>
      </c>
      <c r="P250" t="s">
        <v>8693</v>
      </c>
      <c r="Q250">
        <v>6</v>
      </c>
      <c r="R250" s="42">
        <v>30</v>
      </c>
      <c r="S250" t="s">
        <v>17</v>
      </c>
      <c r="T250" t="s">
        <v>27</v>
      </c>
      <c r="U250" t="s">
        <v>88</v>
      </c>
      <c r="V250" t="s">
        <v>10167</v>
      </c>
      <c r="W250" t="s">
        <v>8692</v>
      </c>
      <c r="X250">
        <v>1</v>
      </c>
      <c r="Y250">
        <v>0</v>
      </c>
      <c r="AB250" s="80" t="e">
        <f>ARTICULOS_OSLE[[#This Row],[Costo]]*ARTICULOS_OSLE[[#This Row],[Pedido]]</f>
        <v>#VALUE!</v>
      </c>
      <c r="AH250" s="2" t="e">
        <f>IF(AND(ARTICULOS_OSLE[[#This Row],[FechaVenc]]=0,ARTICULOS_OSLE[[#This Row],[DiasVenc]]=0),"",ARTICULOS_OSLE[[#This Row],[FechaVenc]]-ARTICULOS_OSLE[[#This Row],[DiasVenc]])</f>
        <v>#VALUE!</v>
      </c>
      <c r="AO250" s="30" t="s">
        <v>8689</v>
      </c>
    </row>
    <row r="251" spans="1:41" ht="15.75" hidden="1" x14ac:dyDescent="0.25">
      <c r="A251" s="1" t="s">
        <v>10168</v>
      </c>
      <c r="B251" s="30">
        <v>1368338</v>
      </c>
      <c r="C251" t="str">
        <f t="shared" si="17"/>
        <v>KIO77929631</v>
      </c>
      <c r="D251" t="s">
        <v>8689</v>
      </c>
      <c r="E251" s="1" t="s">
        <v>10169</v>
      </c>
      <c r="F251" s="61">
        <f>VLOOKUP(ARTICULOS_GOLOMAX[[#This Row],[CodigoProveedor]],'PRECIOS GOLOMAX'!$A$1:$C$10000,3,FALSE)</f>
        <v>48.78</v>
      </c>
      <c r="G251" s="3">
        <v>0</v>
      </c>
      <c r="H251" s="3">
        <v>0</v>
      </c>
      <c r="I251">
        <v>1</v>
      </c>
      <c r="J251">
        <v>1</v>
      </c>
      <c r="K251" s="4"/>
      <c r="L251" s="65">
        <f>((ARTICULOS_GOLOMAX[[#This Row],[P. Compra]]*(1+ARTICULOS_GOLOMAX[[#This Row],[IVA]]%))/ARTICULOS_GOLOMAX[[#This Row],[UnidFact]])+ARTICULOS_GOLOMAX[[#This Row],[CostoFlete]]</f>
        <v>48.78</v>
      </c>
      <c r="M251">
        <v>40</v>
      </c>
      <c r="N251" s="63">
        <f t="shared" si="15"/>
        <v>100</v>
      </c>
      <c r="O251" s="3">
        <f>MROUND((ARTICULOS_GOLOMAX[[#This Row],[Precio]]/0.6),50)</f>
        <v>150</v>
      </c>
      <c r="P251" t="s">
        <v>8693</v>
      </c>
      <c r="Q251">
        <v>6</v>
      </c>
      <c r="R251" s="42">
        <v>30</v>
      </c>
      <c r="S251" t="s">
        <v>17</v>
      </c>
      <c r="T251" t="s">
        <v>27</v>
      </c>
      <c r="U251" t="s">
        <v>88</v>
      </c>
      <c r="V251" t="s">
        <v>10167</v>
      </c>
      <c r="W251" t="s">
        <v>8692</v>
      </c>
      <c r="X251">
        <v>1</v>
      </c>
      <c r="Y251">
        <v>0</v>
      </c>
      <c r="AB251" s="80" t="e">
        <f>ARTICULOS_OSLE[[#This Row],[Costo]]*ARTICULOS_OSLE[[#This Row],[Pedido]]</f>
        <v>#VALUE!</v>
      </c>
      <c r="AH251" s="2" t="e">
        <f>IF(AND(ARTICULOS_OSLE[[#This Row],[FechaVenc]]=0,ARTICULOS_OSLE[[#This Row],[DiasVenc]]=0),"",ARTICULOS_OSLE[[#This Row],[FechaVenc]]-ARTICULOS_OSLE[[#This Row],[DiasVenc]])</f>
        <v>#VALUE!</v>
      </c>
      <c r="AO251" s="30" t="s">
        <v>8689</v>
      </c>
    </row>
    <row r="252" spans="1:41" ht="15.75" hidden="1" x14ac:dyDescent="0.25">
      <c r="A252" s="1" t="s">
        <v>10170</v>
      </c>
      <c r="B252" s="30">
        <v>1369200</v>
      </c>
      <c r="C252" t="str">
        <f t="shared" si="17"/>
        <v>KIO70411952</v>
      </c>
      <c r="D252" t="s">
        <v>8689</v>
      </c>
      <c r="E252" s="1" t="s">
        <v>10171</v>
      </c>
      <c r="F252" s="61">
        <f>VLOOKUP(ARTICULOS_GOLOMAX[[#This Row],[CodigoProveedor]],'PRECIOS GOLOMAX'!$A$1:$C$10000,3,FALSE)</f>
        <v>326.68</v>
      </c>
      <c r="G252" s="3">
        <v>0</v>
      </c>
      <c r="H252" s="3">
        <v>0</v>
      </c>
      <c r="I252">
        <v>1</v>
      </c>
      <c r="J252">
        <v>1</v>
      </c>
      <c r="K252" s="4"/>
      <c r="L252" s="65">
        <f>((ARTICULOS_GOLOMAX[[#This Row],[P. Compra]]*(1+ARTICULOS_GOLOMAX[[#This Row],[IVA]]%))/ARTICULOS_GOLOMAX[[#This Row],[UnidFact]])+ARTICULOS_GOLOMAX[[#This Row],[CostoFlete]]</f>
        <v>326.68</v>
      </c>
      <c r="M252">
        <v>30</v>
      </c>
      <c r="N252" s="63">
        <f t="shared" si="15"/>
        <v>450</v>
      </c>
      <c r="O252" s="3">
        <f>MROUND((ARTICULOS_GOLOMAX[[#This Row],[Precio]]/0.6),50)</f>
        <v>750</v>
      </c>
      <c r="P252" t="s">
        <v>8693</v>
      </c>
      <c r="Q252">
        <v>3</v>
      </c>
      <c r="R252" s="42">
        <v>6</v>
      </c>
      <c r="S252" t="s">
        <v>17</v>
      </c>
      <c r="T252" t="s">
        <v>27</v>
      </c>
      <c r="U252" t="s">
        <v>88</v>
      </c>
      <c r="V252" t="s">
        <v>10160</v>
      </c>
      <c r="W252" t="s">
        <v>8692</v>
      </c>
      <c r="X252">
        <v>1</v>
      </c>
      <c r="Y252">
        <v>9</v>
      </c>
      <c r="AB252" s="80" t="e">
        <f>ARTICULOS_OSLE[[#This Row],[Costo]]*ARTICULOS_OSLE[[#This Row],[Pedido]]</f>
        <v>#VALUE!</v>
      </c>
      <c r="AH252" s="2" t="e">
        <f>IF(AND(ARTICULOS_OSLE[[#This Row],[FechaVenc]]=0,ARTICULOS_OSLE[[#This Row],[DiasVenc]]=0),"",ARTICULOS_OSLE[[#This Row],[FechaVenc]]-ARTICULOS_OSLE[[#This Row],[DiasVenc]])</f>
        <v>#VALUE!</v>
      </c>
      <c r="AO252" s="30" t="s">
        <v>8689</v>
      </c>
    </row>
    <row r="253" spans="1:41" ht="15.75" hidden="1" x14ac:dyDescent="0.25">
      <c r="A253" s="1" t="s">
        <v>10172</v>
      </c>
      <c r="B253" s="30">
        <v>1369100</v>
      </c>
      <c r="C253" t="str">
        <f t="shared" si="17"/>
        <v>KIO70416247</v>
      </c>
      <c r="D253" t="s">
        <v>8689</v>
      </c>
      <c r="E253" s="1" t="s">
        <v>10173</v>
      </c>
      <c r="F253" s="61">
        <f>VLOOKUP(ARTICULOS_GOLOMAX[[#This Row],[CodigoProveedor]],'PRECIOS GOLOMAX'!$A$1:$C$10000,3,FALSE)</f>
        <v>326.68</v>
      </c>
      <c r="G253" s="3">
        <v>0</v>
      </c>
      <c r="H253" s="3">
        <v>0</v>
      </c>
      <c r="I253">
        <v>1</v>
      </c>
      <c r="J253">
        <v>1</v>
      </c>
      <c r="K253" s="4"/>
      <c r="L253" s="65">
        <f>((ARTICULOS_GOLOMAX[[#This Row],[P. Compra]]*(1+ARTICULOS_GOLOMAX[[#This Row],[IVA]]%))/ARTICULOS_GOLOMAX[[#This Row],[UnidFact]])+ARTICULOS_GOLOMAX[[#This Row],[CostoFlete]]</f>
        <v>326.68</v>
      </c>
      <c r="M253">
        <v>30</v>
      </c>
      <c r="N253" s="63">
        <f t="shared" si="15"/>
        <v>450</v>
      </c>
      <c r="O253" s="3">
        <f>MROUND((ARTICULOS_GOLOMAX[[#This Row],[Precio]]/0.6),50)</f>
        <v>750</v>
      </c>
      <c r="P253" t="s">
        <v>8693</v>
      </c>
      <c r="Q253">
        <v>3</v>
      </c>
      <c r="R253" s="42">
        <v>6</v>
      </c>
      <c r="S253" t="s">
        <v>17</v>
      </c>
      <c r="T253" t="s">
        <v>27</v>
      </c>
      <c r="U253" t="s">
        <v>88</v>
      </c>
      <c r="V253" t="s">
        <v>10160</v>
      </c>
      <c r="W253" t="s">
        <v>8692</v>
      </c>
      <c r="X253">
        <v>1</v>
      </c>
      <c r="Y253">
        <v>5</v>
      </c>
      <c r="AB253" s="80" t="e">
        <f>ARTICULOS_OSLE[[#This Row],[Costo]]*ARTICULOS_OSLE[[#This Row],[Pedido]]</f>
        <v>#VALUE!</v>
      </c>
      <c r="AH253" s="2" t="e">
        <f>IF(AND(ARTICULOS_OSLE[[#This Row],[FechaVenc]]=0,ARTICULOS_OSLE[[#This Row],[DiasVenc]]=0),"",ARTICULOS_OSLE[[#This Row],[FechaVenc]]-ARTICULOS_OSLE[[#This Row],[DiasVenc]])</f>
        <v>#VALUE!</v>
      </c>
      <c r="AO253" s="30" t="s">
        <v>8689</v>
      </c>
    </row>
    <row r="254" spans="1:41" ht="15.75" hidden="1" x14ac:dyDescent="0.25">
      <c r="A254" s="1" t="s">
        <v>10174</v>
      </c>
      <c r="B254">
        <v>1361925</v>
      </c>
      <c r="C254" t="str">
        <f t="shared" si="17"/>
        <v>KIO60072461</v>
      </c>
      <c r="D254" t="s">
        <v>8689</v>
      </c>
      <c r="E254" s="1" t="s">
        <v>10175</v>
      </c>
      <c r="F254" s="61">
        <f>VLOOKUP(ARTICULOS_GOLOMAX[[#This Row],[CodigoProveedor]],'PRECIOS GOLOMAX'!$A$1:$C$10000,3,FALSE)</f>
        <v>306.32</v>
      </c>
      <c r="G254" s="3">
        <v>0</v>
      </c>
      <c r="H254" s="3">
        <v>0</v>
      </c>
      <c r="I254">
        <v>1</v>
      </c>
      <c r="J254">
        <v>1</v>
      </c>
      <c r="K254" s="4"/>
      <c r="L254" s="65">
        <f>((ARTICULOS_GOLOMAX[[#This Row],[P. Compra]]*(1+ARTICULOS_GOLOMAX[[#This Row],[IVA]]%))/ARTICULOS_GOLOMAX[[#This Row],[UnidFact]])+ARTICULOS_GOLOMAX[[#This Row],[CostoFlete]]</f>
        <v>306.32</v>
      </c>
      <c r="M254">
        <v>30</v>
      </c>
      <c r="N254" s="63">
        <f t="shared" si="15"/>
        <v>450</v>
      </c>
      <c r="O254" s="3">
        <f>MROUND((ARTICULOS_GOLOMAX[[#This Row],[Precio]]/0.6),50)</f>
        <v>750</v>
      </c>
      <c r="P254" t="s">
        <v>8693</v>
      </c>
      <c r="Q254">
        <v>3</v>
      </c>
      <c r="R254" s="42">
        <v>6</v>
      </c>
      <c r="S254" t="s">
        <v>17</v>
      </c>
      <c r="T254" t="s">
        <v>27</v>
      </c>
      <c r="U254" t="s">
        <v>88</v>
      </c>
      <c r="V254" t="s">
        <v>9819</v>
      </c>
      <c r="W254" t="s">
        <v>8692</v>
      </c>
      <c r="X254">
        <v>1</v>
      </c>
      <c r="Y254">
        <v>0</v>
      </c>
      <c r="AB254" s="80" t="e">
        <f>ARTICULOS_OSLE[[#This Row],[Costo]]*ARTICULOS_OSLE[[#This Row],[Pedido]]</f>
        <v>#VALUE!</v>
      </c>
      <c r="AH254" s="2" t="e">
        <f>IF(AND(ARTICULOS_OSLE[[#This Row],[FechaVenc]]=0,ARTICULOS_OSLE[[#This Row],[DiasVenc]]=0),"",ARTICULOS_OSLE[[#This Row],[FechaVenc]]-ARTICULOS_OSLE[[#This Row],[DiasVenc]])</f>
        <v>#VALUE!</v>
      </c>
      <c r="AO254" s="30" t="s">
        <v>8689</v>
      </c>
    </row>
    <row r="255" spans="1:41" ht="15.75" hidden="1" x14ac:dyDescent="0.25">
      <c r="A255" s="1" t="s">
        <v>10176</v>
      </c>
      <c r="B255">
        <v>1361924</v>
      </c>
      <c r="C255" t="str">
        <f t="shared" si="17"/>
        <v>KIO60072447</v>
      </c>
      <c r="D255" t="s">
        <v>8689</v>
      </c>
      <c r="E255" s="1" t="s">
        <v>10177</v>
      </c>
      <c r="F255" s="61">
        <f>VLOOKUP(ARTICULOS_GOLOMAX[[#This Row],[CodigoProveedor]],'PRECIOS GOLOMAX'!$A$1:$C$10000,3,FALSE)</f>
        <v>306.32</v>
      </c>
      <c r="G255" s="3">
        <v>0</v>
      </c>
      <c r="H255" s="3">
        <v>0</v>
      </c>
      <c r="I255">
        <v>1</v>
      </c>
      <c r="J255">
        <v>1</v>
      </c>
      <c r="K255" s="4"/>
      <c r="L255" s="65">
        <f>((ARTICULOS_GOLOMAX[[#This Row],[P. Compra]]*(1+ARTICULOS_GOLOMAX[[#This Row],[IVA]]%))/ARTICULOS_GOLOMAX[[#This Row],[UnidFact]])+ARTICULOS_GOLOMAX[[#This Row],[CostoFlete]]</f>
        <v>306.32</v>
      </c>
      <c r="M255">
        <v>30</v>
      </c>
      <c r="N255" s="63">
        <f t="shared" si="15"/>
        <v>450</v>
      </c>
      <c r="O255" s="3">
        <f>MROUND((ARTICULOS_GOLOMAX[[#This Row],[Precio]]/0.6),50)</f>
        <v>750</v>
      </c>
      <c r="P255" t="s">
        <v>8693</v>
      </c>
      <c r="Q255">
        <v>3</v>
      </c>
      <c r="R255" s="42">
        <v>6</v>
      </c>
      <c r="S255" t="s">
        <v>17</v>
      </c>
      <c r="T255" t="s">
        <v>27</v>
      </c>
      <c r="U255" t="s">
        <v>88</v>
      </c>
      <c r="V255" t="s">
        <v>9819</v>
      </c>
      <c r="W255" t="s">
        <v>8692</v>
      </c>
      <c r="X255">
        <v>1</v>
      </c>
      <c r="Y255">
        <v>6</v>
      </c>
      <c r="AB255" s="80" t="e">
        <f>ARTICULOS_OSLE[[#This Row],[Costo]]*ARTICULOS_OSLE[[#This Row],[Pedido]]</f>
        <v>#VALUE!</v>
      </c>
      <c r="AH255" s="2" t="e">
        <f>IF(AND(ARTICULOS_OSLE[[#This Row],[FechaVenc]]=0,ARTICULOS_OSLE[[#This Row],[DiasVenc]]=0),"",ARTICULOS_OSLE[[#This Row],[FechaVenc]]-ARTICULOS_OSLE[[#This Row],[DiasVenc]])</f>
        <v>#VALUE!</v>
      </c>
      <c r="AO255" s="30" t="s">
        <v>8689</v>
      </c>
    </row>
    <row r="256" spans="1:41" ht="15.75" hidden="1" x14ac:dyDescent="0.25">
      <c r="A256" s="1" t="s">
        <v>10178</v>
      </c>
      <c r="B256" s="30">
        <v>1368538</v>
      </c>
      <c r="C256" t="str">
        <f t="shared" si="17"/>
        <v>KIO23160272</v>
      </c>
      <c r="D256" t="s">
        <v>8689</v>
      </c>
      <c r="E256" s="24" t="s">
        <v>10179</v>
      </c>
      <c r="F256" s="61">
        <f>VLOOKUP(ARTICULOS_GOLOMAX[[#This Row],[CodigoProveedor]],'PRECIOS GOLOMAX'!$A$1:$C$10000,3,FALSE)</f>
        <v>392.46</v>
      </c>
      <c r="G256" s="3">
        <v>0</v>
      </c>
      <c r="H256" s="3">
        <v>0</v>
      </c>
      <c r="I256">
        <v>1</v>
      </c>
      <c r="J256">
        <v>1</v>
      </c>
      <c r="K256" s="4"/>
      <c r="L256" s="65">
        <f>((ARTICULOS_GOLOMAX[[#This Row],[P. Compra]]*(1+ARTICULOS_GOLOMAX[[#This Row],[IVA]]%))/ARTICULOS_GOLOMAX[[#This Row],[UnidFact]])+ARTICULOS_GOLOMAX[[#This Row],[CostoFlete]]</f>
        <v>392.46</v>
      </c>
      <c r="M256">
        <v>30</v>
      </c>
      <c r="N256" s="63">
        <f t="shared" si="15"/>
        <v>550</v>
      </c>
      <c r="O256" s="3">
        <f>MROUND((ARTICULOS_GOLOMAX[[#This Row],[Precio]]/0.6),50)</f>
        <v>900</v>
      </c>
      <c r="P256" t="s">
        <v>8693</v>
      </c>
      <c r="Q256">
        <v>3</v>
      </c>
      <c r="R256" s="42">
        <v>10</v>
      </c>
      <c r="S256" t="s">
        <v>17</v>
      </c>
      <c r="T256" t="s">
        <v>27</v>
      </c>
      <c r="U256" t="s">
        <v>88</v>
      </c>
      <c r="V256" t="s">
        <v>10167</v>
      </c>
      <c r="W256" t="s">
        <v>8692</v>
      </c>
      <c r="X256">
        <v>1</v>
      </c>
      <c r="Y256">
        <v>0</v>
      </c>
      <c r="AB256" s="80" t="e">
        <f>ARTICULOS_OSLE[[#This Row],[Costo]]*ARTICULOS_OSLE[[#This Row],[Pedido]]</f>
        <v>#VALUE!</v>
      </c>
      <c r="AH256" s="2" t="e">
        <f>IF(AND(ARTICULOS_OSLE[[#This Row],[FechaVenc]]=0,ARTICULOS_OSLE[[#This Row],[DiasVenc]]=0),"",ARTICULOS_OSLE[[#This Row],[FechaVenc]]-ARTICULOS_OSLE[[#This Row],[DiasVenc]])</f>
        <v>#VALUE!</v>
      </c>
      <c r="AO256" s="30" t="s">
        <v>8689</v>
      </c>
    </row>
    <row r="257" spans="1:41" ht="15.75" hidden="1" x14ac:dyDescent="0.25">
      <c r="A257" s="1" t="s">
        <v>10180</v>
      </c>
      <c r="B257" s="30">
        <v>1368599</v>
      </c>
      <c r="C257" t="str">
        <f t="shared" si="17"/>
        <v>KIO23013950</v>
      </c>
      <c r="D257" t="s">
        <v>8689</v>
      </c>
      <c r="E257" s="24" t="s">
        <v>10181</v>
      </c>
      <c r="F257" s="61">
        <f>VLOOKUP(ARTICULOS_GOLOMAX[[#This Row],[CodigoProveedor]],'PRECIOS GOLOMAX'!$A$1:$C$10000,3,FALSE)</f>
        <v>392.46</v>
      </c>
      <c r="G257" s="3">
        <v>0</v>
      </c>
      <c r="H257" s="3">
        <v>0</v>
      </c>
      <c r="I257">
        <v>1</v>
      </c>
      <c r="J257">
        <v>1</v>
      </c>
      <c r="K257" s="4"/>
      <c r="L257" s="65">
        <f>((ARTICULOS_GOLOMAX[[#This Row],[P. Compra]]*(1+ARTICULOS_GOLOMAX[[#This Row],[IVA]]%))/ARTICULOS_GOLOMAX[[#This Row],[UnidFact]])+ARTICULOS_GOLOMAX[[#This Row],[CostoFlete]]</f>
        <v>392.46</v>
      </c>
      <c r="M257">
        <v>30</v>
      </c>
      <c r="N257" s="63">
        <f t="shared" si="15"/>
        <v>550</v>
      </c>
      <c r="O257" s="3">
        <f>MROUND((ARTICULOS_GOLOMAX[[#This Row],[Precio]]/0.6),50)</f>
        <v>900</v>
      </c>
      <c r="P257" t="s">
        <v>8693</v>
      </c>
      <c r="Q257">
        <v>3</v>
      </c>
      <c r="R257" s="42">
        <v>10</v>
      </c>
      <c r="S257" t="s">
        <v>17</v>
      </c>
      <c r="T257" t="s">
        <v>27</v>
      </c>
      <c r="U257" t="s">
        <v>88</v>
      </c>
      <c r="V257" t="s">
        <v>10167</v>
      </c>
      <c r="W257" t="s">
        <v>8692</v>
      </c>
      <c r="X257">
        <v>1</v>
      </c>
      <c r="Y257">
        <v>0</v>
      </c>
      <c r="AB257" s="80" t="e">
        <f>ARTICULOS_OSLE[[#This Row],[Costo]]*ARTICULOS_OSLE[[#This Row],[Pedido]]</f>
        <v>#VALUE!</v>
      </c>
      <c r="AH257" s="2" t="e">
        <f>IF(AND(ARTICULOS_OSLE[[#This Row],[FechaVenc]]=0,ARTICULOS_OSLE[[#This Row],[DiasVenc]]=0),"",ARTICULOS_OSLE[[#This Row],[FechaVenc]]-ARTICULOS_OSLE[[#This Row],[DiasVenc]])</f>
        <v>#VALUE!</v>
      </c>
      <c r="AO257" s="30" t="s">
        <v>8689</v>
      </c>
    </row>
    <row r="258" spans="1:41" ht="15.75" hidden="1" x14ac:dyDescent="0.25">
      <c r="A258" s="1" t="s">
        <v>10182</v>
      </c>
      <c r="B258" s="30">
        <v>1368582</v>
      </c>
      <c r="C258" t="str">
        <f t="shared" si="17"/>
        <v>KIO23160265</v>
      </c>
      <c r="D258" t="s">
        <v>8689</v>
      </c>
      <c r="E258" s="24" t="s">
        <v>10183</v>
      </c>
      <c r="F258" s="61">
        <f>VLOOKUP(ARTICULOS_GOLOMAX[[#This Row],[CodigoProveedor]],'PRECIOS GOLOMAX'!$A$1:$C$10000,3,FALSE)</f>
        <v>392.46</v>
      </c>
      <c r="G258" s="3">
        <v>0</v>
      </c>
      <c r="H258" s="3">
        <v>0</v>
      </c>
      <c r="I258">
        <v>1</v>
      </c>
      <c r="J258">
        <v>1</v>
      </c>
      <c r="K258" s="4"/>
      <c r="L258" s="65">
        <f>((ARTICULOS_GOLOMAX[[#This Row],[P. Compra]]*(1+ARTICULOS_GOLOMAX[[#This Row],[IVA]]%))/ARTICULOS_GOLOMAX[[#This Row],[UnidFact]])+ARTICULOS_GOLOMAX[[#This Row],[CostoFlete]]</f>
        <v>392.46</v>
      </c>
      <c r="M258">
        <v>30</v>
      </c>
      <c r="N258" s="63">
        <f t="shared" si="15"/>
        <v>550</v>
      </c>
      <c r="O258" s="3">
        <f>MROUND((ARTICULOS_GOLOMAX[[#This Row],[Precio]]/0.6),50)</f>
        <v>900</v>
      </c>
      <c r="P258" t="s">
        <v>8693</v>
      </c>
      <c r="Q258">
        <v>3</v>
      </c>
      <c r="R258" s="42">
        <v>10</v>
      </c>
      <c r="S258" t="s">
        <v>17</v>
      </c>
      <c r="T258" t="s">
        <v>27</v>
      </c>
      <c r="U258" t="s">
        <v>88</v>
      </c>
      <c r="V258" t="s">
        <v>10167</v>
      </c>
      <c r="W258" t="s">
        <v>8692</v>
      </c>
      <c r="X258">
        <v>1</v>
      </c>
      <c r="Y258">
        <v>0</v>
      </c>
      <c r="AB258" s="80" t="e">
        <f>ARTICULOS_OSLE[[#This Row],[Costo]]*ARTICULOS_OSLE[[#This Row],[Pedido]]</f>
        <v>#VALUE!</v>
      </c>
      <c r="AH258" s="2" t="e">
        <f>IF(AND(ARTICULOS_OSLE[[#This Row],[FechaVenc]]=0,ARTICULOS_OSLE[[#This Row],[DiasVenc]]=0),"",ARTICULOS_OSLE[[#This Row],[FechaVenc]]-ARTICULOS_OSLE[[#This Row],[DiasVenc]])</f>
        <v>#VALUE!</v>
      </c>
      <c r="AO258" s="30" t="s">
        <v>8689</v>
      </c>
    </row>
    <row r="259" spans="1:41" ht="15.75" hidden="1" x14ac:dyDescent="0.25">
      <c r="A259" s="1" t="s">
        <v>10184</v>
      </c>
      <c r="B259" s="30">
        <v>1368438</v>
      </c>
      <c r="C259" t="str">
        <f t="shared" si="17"/>
        <v>KIO23160029</v>
      </c>
      <c r="D259" t="s">
        <v>8689</v>
      </c>
      <c r="E259" s="24" t="s">
        <v>10185</v>
      </c>
      <c r="F259" s="61">
        <f>VLOOKUP(ARTICULOS_GOLOMAX[[#This Row],[CodigoProveedor]],'PRECIOS GOLOMAX'!$A$1:$C$10000,3,FALSE)</f>
        <v>210.4</v>
      </c>
      <c r="G259" s="3">
        <v>0</v>
      </c>
      <c r="H259" s="3">
        <v>0</v>
      </c>
      <c r="I259">
        <v>1</v>
      </c>
      <c r="J259">
        <v>1</v>
      </c>
      <c r="K259" s="4"/>
      <c r="L259" s="65">
        <f>((ARTICULOS_GOLOMAX[[#This Row],[P. Compra]]*(1+ARTICULOS_GOLOMAX[[#This Row],[IVA]]%))/ARTICULOS_GOLOMAX[[#This Row],[UnidFact]])+ARTICULOS_GOLOMAX[[#This Row],[CostoFlete]]</f>
        <v>210.4</v>
      </c>
      <c r="M259">
        <v>30</v>
      </c>
      <c r="N259" s="63">
        <f t="shared" si="15"/>
        <v>300</v>
      </c>
      <c r="O259" s="3">
        <f>MROUND((ARTICULOS_GOLOMAX[[#This Row],[Precio]]/0.6),50)</f>
        <v>500</v>
      </c>
      <c r="P259" t="s">
        <v>8693</v>
      </c>
      <c r="Q259">
        <v>3</v>
      </c>
      <c r="R259" s="42">
        <v>10</v>
      </c>
      <c r="S259" t="s">
        <v>17</v>
      </c>
      <c r="T259" t="s">
        <v>27</v>
      </c>
      <c r="U259" t="s">
        <v>88</v>
      </c>
      <c r="V259" t="s">
        <v>10167</v>
      </c>
      <c r="W259" t="s">
        <v>8692</v>
      </c>
      <c r="X259">
        <v>1</v>
      </c>
      <c r="Y259">
        <v>0</v>
      </c>
      <c r="AB259" s="80" t="e">
        <f>ARTICULOS_OSLE[[#This Row],[Costo]]*ARTICULOS_OSLE[[#This Row],[Pedido]]</f>
        <v>#VALUE!</v>
      </c>
      <c r="AH259" s="2" t="e">
        <f>IF(AND(ARTICULOS_OSLE[[#This Row],[FechaVenc]]=0,ARTICULOS_OSLE[[#This Row],[DiasVenc]]=0),"",ARTICULOS_OSLE[[#This Row],[FechaVenc]]-ARTICULOS_OSLE[[#This Row],[DiasVenc]])</f>
        <v>#VALUE!</v>
      </c>
      <c r="AO259" s="30" t="s">
        <v>8689</v>
      </c>
    </row>
    <row r="260" spans="1:41" ht="15.75" hidden="1" x14ac:dyDescent="0.25">
      <c r="A260" s="1" t="s">
        <v>10186</v>
      </c>
      <c r="B260" s="30">
        <v>1368454</v>
      </c>
      <c r="C260" t="str">
        <f t="shared" si="17"/>
        <v>KIO23160043</v>
      </c>
      <c r="D260" t="s">
        <v>8689</v>
      </c>
      <c r="E260" s="24" t="s">
        <v>10187</v>
      </c>
      <c r="F260" s="61">
        <f>VLOOKUP(ARTICULOS_GOLOMAX[[#This Row],[CodigoProveedor]],'PRECIOS GOLOMAX'!$A$1:$C$10000,3,FALSE)</f>
        <v>210.4</v>
      </c>
      <c r="G260" s="3">
        <v>0</v>
      </c>
      <c r="H260" s="3">
        <v>0</v>
      </c>
      <c r="I260">
        <v>1</v>
      </c>
      <c r="J260">
        <v>1</v>
      </c>
      <c r="K260" s="4"/>
      <c r="L260" s="65">
        <f>((ARTICULOS_GOLOMAX[[#This Row],[P. Compra]]*(1+ARTICULOS_GOLOMAX[[#This Row],[IVA]]%))/ARTICULOS_GOLOMAX[[#This Row],[UnidFact]])+ARTICULOS_GOLOMAX[[#This Row],[CostoFlete]]</f>
        <v>210.4</v>
      </c>
      <c r="M260">
        <v>30</v>
      </c>
      <c r="N260" s="63">
        <f t="shared" si="15"/>
        <v>300</v>
      </c>
      <c r="O260" s="3">
        <f>MROUND((ARTICULOS_GOLOMAX[[#This Row],[Precio]]/0.6),50)</f>
        <v>500</v>
      </c>
      <c r="P260" t="s">
        <v>8693</v>
      </c>
      <c r="Q260">
        <v>3</v>
      </c>
      <c r="R260" s="42">
        <v>10</v>
      </c>
      <c r="S260" t="s">
        <v>17</v>
      </c>
      <c r="T260" t="s">
        <v>27</v>
      </c>
      <c r="U260" t="s">
        <v>88</v>
      </c>
      <c r="V260" t="s">
        <v>10167</v>
      </c>
      <c r="W260" t="s">
        <v>8692</v>
      </c>
      <c r="X260">
        <v>1</v>
      </c>
      <c r="Y260">
        <v>0</v>
      </c>
      <c r="AB260" s="80" t="e">
        <f>ARTICULOS_OSLE[[#This Row],[Costo]]*ARTICULOS_OSLE[[#This Row],[Pedido]]</f>
        <v>#VALUE!</v>
      </c>
      <c r="AH260" s="2" t="e">
        <f>IF(AND(ARTICULOS_OSLE[[#This Row],[FechaVenc]]=0,ARTICULOS_OSLE[[#This Row],[DiasVenc]]=0),"",ARTICULOS_OSLE[[#This Row],[FechaVenc]]-ARTICULOS_OSLE[[#This Row],[DiasVenc]])</f>
        <v>#VALUE!</v>
      </c>
      <c r="AO260" s="30" t="s">
        <v>8689</v>
      </c>
    </row>
    <row r="261" spans="1:41" ht="15.75" hidden="1" x14ac:dyDescent="0.25">
      <c r="A261" s="1" t="s">
        <v>10188</v>
      </c>
      <c r="B261" s="30">
        <v>1368499</v>
      </c>
      <c r="C261" t="str">
        <f t="shared" si="17"/>
        <v>KIO23013455</v>
      </c>
      <c r="D261" t="s">
        <v>8689</v>
      </c>
      <c r="E261" s="24" t="s">
        <v>10189</v>
      </c>
      <c r="F261" s="61">
        <f>VLOOKUP(ARTICULOS_GOLOMAX[[#This Row],[CodigoProveedor]],'PRECIOS GOLOMAX'!$A$1:$C$10000,3,FALSE)</f>
        <v>210.4</v>
      </c>
      <c r="G261" s="3">
        <v>0</v>
      </c>
      <c r="H261" s="3">
        <v>0</v>
      </c>
      <c r="I261">
        <v>1</v>
      </c>
      <c r="J261">
        <v>1</v>
      </c>
      <c r="K261" s="4"/>
      <c r="L261" s="65">
        <f>((ARTICULOS_GOLOMAX[[#This Row],[P. Compra]]*(1+ARTICULOS_GOLOMAX[[#This Row],[IVA]]%))/ARTICULOS_GOLOMAX[[#This Row],[UnidFact]])+ARTICULOS_GOLOMAX[[#This Row],[CostoFlete]]</f>
        <v>210.4</v>
      </c>
      <c r="M261">
        <v>30</v>
      </c>
      <c r="N261" s="63">
        <f t="shared" si="15"/>
        <v>300</v>
      </c>
      <c r="O261" s="3">
        <f>MROUND((ARTICULOS_GOLOMAX[[#This Row],[Precio]]/0.6),50)</f>
        <v>500</v>
      </c>
      <c r="P261" t="s">
        <v>8693</v>
      </c>
      <c r="Q261">
        <v>3</v>
      </c>
      <c r="R261" s="42">
        <v>10</v>
      </c>
      <c r="S261" t="s">
        <v>17</v>
      </c>
      <c r="T261" t="s">
        <v>27</v>
      </c>
      <c r="U261" t="s">
        <v>88</v>
      </c>
      <c r="V261" t="s">
        <v>10167</v>
      </c>
      <c r="W261" t="s">
        <v>8692</v>
      </c>
      <c r="X261">
        <v>1</v>
      </c>
      <c r="Y261">
        <v>0</v>
      </c>
      <c r="AB261" s="80" t="e">
        <f>ARTICULOS_OSLE[[#This Row],[Costo]]*ARTICULOS_OSLE[[#This Row],[Pedido]]</f>
        <v>#VALUE!</v>
      </c>
      <c r="AH261" s="2" t="e">
        <f>IF(AND(ARTICULOS_OSLE[[#This Row],[FechaVenc]]=0,ARTICULOS_OSLE[[#This Row],[DiasVenc]]=0),"",ARTICULOS_OSLE[[#This Row],[FechaVenc]]-ARTICULOS_OSLE[[#This Row],[DiasVenc]])</f>
        <v>#VALUE!</v>
      </c>
      <c r="AO261" s="30" t="s">
        <v>8689</v>
      </c>
    </row>
    <row r="262" spans="1:41" ht="15.75" hidden="1" x14ac:dyDescent="0.25">
      <c r="A262" s="1" t="s">
        <v>10190</v>
      </c>
      <c r="B262" s="30">
        <v>1368482</v>
      </c>
      <c r="C262" t="str">
        <f t="shared" si="17"/>
        <v>KIO23160012</v>
      </c>
      <c r="D262" t="s">
        <v>8689</v>
      </c>
      <c r="E262" s="24" t="s">
        <v>10191</v>
      </c>
      <c r="F262" s="61">
        <f>VLOOKUP(ARTICULOS_GOLOMAX[[#This Row],[CodigoProveedor]],'PRECIOS GOLOMAX'!$A$1:$C$10000,3,FALSE)</f>
        <v>210.4</v>
      </c>
      <c r="G262" s="3">
        <v>0</v>
      </c>
      <c r="H262" s="3">
        <v>0</v>
      </c>
      <c r="I262">
        <v>1</v>
      </c>
      <c r="J262">
        <v>1</v>
      </c>
      <c r="K262" s="4"/>
      <c r="L262" s="65">
        <f>((ARTICULOS_GOLOMAX[[#This Row],[P. Compra]]*(1+ARTICULOS_GOLOMAX[[#This Row],[IVA]]%))/ARTICULOS_GOLOMAX[[#This Row],[UnidFact]])+ARTICULOS_GOLOMAX[[#This Row],[CostoFlete]]</f>
        <v>210.4</v>
      </c>
      <c r="M262">
        <v>30</v>
      </c>
      <c r="N262" s="63">
        <f t="shared" si="15"/>
        <v>300</v>
      </c>
      <c r="O262" s="3">
        <f>MROUND((ARTICULOS_GOLOMAX[[#This Row],[Precio]]/0.6),50)</f>
        <v>500</v>
      </c>
      <c r="P262" t="s">
        <v>8693</v>
      </c>
      <c r="Q262">
        <v>3</v>
      </c>
      <c r="R262" s="42">
        <v>10</v>
      </c>
      <c r="S262" t="s">
        <v>17</v>
      </c>
      <c r="T262" t="s">
        <v>27</v>
      </c>
      <c r="U262" t="s">
        <v>88</v>
      </c>
      <c r="V262" t="s">
        <v>10167</v>
      </c>
      <c r="W262" t="s">
        <v>8692</v>
      </c>
      <c r="X262">
        <v>1</v>
      </c>
      <c r="Y262">
        <v>0</v>
      </c>
      <c r="AB262" s="80" t="e">
        <f>ARTICULOS_OSLE[[#This Row],[Costo]]*ARTICULOS_OSLE[[#This Row],[Pedido]]</f>
        <v>#VALUE!</v>
      </c>
      <c r="AH262" s="2" t="e">
        <f>IF(AND(ARTICULOS_OSLE[[#This Row],[FechaVenc]]=0,ARTICULOS_OSLE[[#This Row],[DiasVenc]]=0),"",ARTICULOS_OSLE[[#This Row],[FechaVenc]]-ARTICULOS_OSLE[[#This Row],[DiasVenc]])</f>
        <v>#VALUE!</v>
      </c>
      <c r="AO262" s="30" t="s">
        <v>8689</v>
      </c>
    </row>
    <row r="263" spans="1:41" ht="15.75" hidden="1" x14ac:dyDescent="0.25">
      <c r="A263" s="24" t="s">
        <v>11788</v>
      </c>
      <c r="B263">
        <v>1404063</v>
      </c>
      <c r="C263" t="str">
        <f t="shared" ref="C263:C266" si="18">CONCATENATE(LEFT(T263,3),RIGHT(A263,8))</f>
        <v>KIO22002865</v>
      </c>
      <c r="D263" t="s">
        <v>8689</v>
      </c>
      <c r="E263" s="24" t="s">
        <v>11789</v>
      </c>
      <c r="F263" s="61">
        <f>VLOOKUP(ARTICULOS_GOLOMAX[[#This Row],[CodigoProveedor]],'PRECIOS GOLOMAX'!$A$1:$C$10000,3,FALSE)</f>
        <v>183.91</v>
      </c>
      <c r="G263" s="3">
        <v>0</v>
      </c>
      <c r="H263" s="3">
        <v>0</v>
      </c>
      <c r="I263">
        <v>1</v>
      </c>
      <c r="J263">
        <v>1</v>
      </c>
      <c r="K263" s="4"/>
      <c r="L263" s="65">
        <f>((ARTICULOS_GOLOMAX[[#This Row],[P. Compra]]*(1+ARTICULOS_GOLOMAX[[#This Row],[IVA]]%))/ARTICULOS_GOLOMAX[[#This Row],[UnidFact]])+ARTICULOS_GOLOMAX[[#This Row],[CostoFlete]]</f>
        <v>183.91</v>
      </c>
      <c r="M263">
        <v>30</v>
      </c>
      <c r="N263" s="63">
        <f t="shared" si="15"/>
        <v>250</v>
      </c>
      <c r="O263" s="3">
        <f>MROUND((ARTICULOS_GOLOMAX[[#This Row],[Precio]]/0.6),50)</f>
        <v>400</v>
      </c>
      <c r="P263" t="s">
        <v>8693</v>
      </c>
      <c r="Q263">
        <v>6</v>
      </c>
      <c r="R263" s="42">
        <v>30</v>
      </c>
      <c r="S263" t="s">
        <v>17</v>
      </c>
      <c r="T263" t="s">
        <v>27</v>
      </c>
      <c r="U263" t="s">
        <v>92</v>
      </c>
      <c r="V263" t="s">
        <v>10193</v>
      </c>
      <c r="W263" t="s">
        <v>8692</v>
      </c>
      <c r="X263">
        <v>1</v>
      </c>
      <c r="Y263">
        <v>6</v>
      </c>
      <c r="AB263" s="80" t="e">
        <f>ARTICULOS_OSLE[[#This Row],[Costo]]*ARTICULOS_OSLE[[#This Row],[Pedido]]</f>
        <v>#VALUE!</v>
      </c>
      <c r="AH263" s="2" t="e">
        <f>IF(AND(ARTICULOS_OSLE[[#This Row],[FechaVenc]]=0,ARTICULOS_OSLE[[#This Row],[DiasVenc]]=0),"",ARTICULOS_OSLE[[#This Row],[FechaVenc]]-ARTICULOS_OSLE[[#This Row],[DiasVenc]])</f>
        <v>#VALUE!</v>
      </c>
      <c r="AO263" s="30" t="s">
        <v>8689</v>
      </c>
    </row>
    <row r="264" spans="1:41" ht="15.75" hidden="1" x14ac:dyDescent="0.25">
      <c r="A264" s="24" t="s">
        <v>11790</v>
      </c>
      <c r="B264">
        <v>1404027</v>
      </c>
      <c r="C264" t="str">
        <f t="shared" si="18"/>
        <v>KIO22002841</v>
      </c>
      <c r="D264" t="s">
        <v>8689</v>
      </c>
      <c r="E264" s="24" t="s">
        <v>11791</v>
      </c>
      <c r="F264" s="61">
        <f>VLOOKUP(ARTICULOS_GOLOMAX[[#This Row],[CodigoProveedor]],'PRECIOS GOLOMAX'!$A$1:$C$10000,3,FALSE)</f>
        <v>183.91</v>
      </c>
      <c r="G264" s="3">
        <v>0</v>
      </c>
      <c r="H264" s="3">
        <v>0</v>
      </c>
      <c r="I264">
        <v>1</v>
      </c>
      <c r="J264">
        <v>1</v>
      </c>
      <c r="K264" s="4"/>
      <c r="L264" s="65">
        <f>((ARTICULOS_GOLOMAX[[#This Row],[P. Compra]]*(1+ARTICULOS_GOLOMAX[[#This Row],[IVA]]%))/ARTICULOS_GOLOMAX[[#This Row],[UnidFact]])+ARTICULOS_GOLOMAX[[#This Row],[CostoFlete]]</f>
        <v>183.91</v>
      </c>
      <c r="M264">
        <v>30</v>
      </c>
      <c r="N264" s="63">
        <f t="shared" ref="N264:N299" si="19">IF(L264&gt;=10,MROUND(L264/(1-M264/100),50),20)</f>
        <v>250</v>
      </c>
      <c r="O264" s="3">
        <f>MROUND((ARTICULOS_GOLOMAX[[#This Row],[Precio]]/0.6),50)</f>
        <v>400</v>
      </c>
      <c r="P264" t="s">
        <v>8693</v>
      </c>
      <c r="Q264">
        <v>6</v>
      </c>
      <c r="R264" s="42">
        <v>30</v>
      </c>
      <c r="S264" t="s">
        <v>17</v>
      </c>
      <c r="T264" t="s">
        <v>27</v>
      </c>
      <c r="U264" t="s">
        <v>92</v>
      </c>
      <c r="V264" t="s">
        <v>10193</v>
      </c>
      <c r="W264" t="s">
        <v>8692</v>
      </c>
      <c r="X264">
        <v>1</v>
      </c>
      <c r="Y264">
        <v>2</v>
      </c>
      <c r="AB264" s="80" t="e">
        <f>ARTICULOS_OSLE[[#This Row],[Costo]]*ARTICULOS_OSLE[[#This Row],[Pedido]]</f>
        <v>#VALUE!</v>
      </c>
      <c r="AH264" s="2" t="e">
        <f>IF(AND(ARTICULOS_OSLE[[#This Row],[FechaVenc]]=0,ARTICULOS_OSLE[[#This Row],[DiasVenc]]=0),"",ARTICULOS_OSLE[[#This Row],[FechaVenc]]-ARTICULOS_OSLE[[#This Row],[DiasVenc]])</f>
        <v>#VALUE!</v>
      </c>
      <c r="AO264" s="30" t="s">
        <v>8689</v>
      </c>
    </row>
    <row r="265" spans="1:41" ht="15.75" hidden="1" x14ac:dyDescent="0.25">
      <c r="A265" s="24" t="s">
        <v>11792</v>
      </c>
      <c r="B265">
        <v>1404062</v>
      </c>
      <c r="C265" t="str">
        <f t="shared" si="18"/>
        <v>KIO22002827</v>
      </c>
      <c r="D265" t="s">
        <v>8689</v>
      </c>
      <c r="E265" s="24" t="s">
        <v>11793</v>
      </c>
      <c r="F265" s="61">
        <f>VLOOKUP(ARTICULOS_GOLOMAX[[#This Row],[CodigoProveedor]],'PRECIOS GOLOMAX'!$A$1:$C$10000,3,FALSE)</f>
        <v>183.91</v>
      </c>
      <c r="G265" s="3">
        <v>0</v>
      </c>
      <c r="H265" s="3">
        <v>0</v>
      </c>
      <c r="I265">
        <v>1</v>
      </c>
      <c r="J265">
        <v>1</v>
      </c>
      <c r="K265" s="4"/>
      <c r="L265" s="65">
        <f>((ARTICULOS_GOLOMAX[[#This Row],[P. Compra]]*(1+ARTICULOS_GOLOMAX[[#This Row],[IVA]]%))/ARTICULOS_GOLOMAX[[#This Row],[UnidFact]])+ARTICULOS_GOLOMAX[[#This Row],[CostoFlete]]</f>
        <v>183.91</v>
      </c>
      <c r="M265">
        <v>30</v>
      </c>
      <c r="N265" s="63">
        <f t="shared" si="19"/>
        <v>250</v>
      </c>
      <c r="O265" s="3">
        <f>MROUND((ARTICULOS_GOLOMAX[[#This Row],[Precio]]/0.6),50)</f>
        <v>400</v>
      </c>
      <c r="P265" t="s">
        <v>8693</v>
      </c>
      <c r="Q265">
        <v>6</v>
      </c>
      <c r="R265" s="42">
        <v>30</v>
      </c>
      <c r="S265" t="s">
        <v>17</v>
      </c>
      <c r="T265" t="s">
        <v>27</v>
      </c>
      <c r="U265" t="s">
        <v>92</v>
      </c>
      <c r="V265" t="s">
        <v>10193</v>
      </c>
      <c r="W265" t="s">
        <v>8692</v>
      </c>
      <c r="X265">
        <v>1</v>
      </c>
      <c r="Y265">
        <v>2</v>
      </c>
      <c r="AB265" s="80" t="e">
        <f>ARTICULOS_OSLE[[#This Row],[Costo]]*ARTICULOS_OSLE[[#This Row],[Pedido]]</f>
        <v>#VALUE!</v>
      </c>
      <c r="AH265" s="2" t="e">
        <f>IF(AND(ARTICULOS_OSLE[[#This Row],[FechaVenc]]=0,ARTICULOS_OSLE[[#This Row],[DiasVenc]]=0),"",ARTICULOS_OSLE[[#This Row],[FechaVenc]]-ARTICULOS_OSLE[[#This Row],[DiasVenc]])</f>
        <v>#VALUE!</v>
      </c>
      <c r="AO265" s="30" t="s">
        <v>8689</v>
      </c>
    </row>
    <row r="266" spans="1:41" ht="15.75" hidden="1" x14ac:dyDescent="0.25">
      <c r="A266" s="24" t="s">
        <v>11794</v>
      </c>
      <c r="B266">
        <v>1404068</v>
      </c>
      <c r="C266" t="str">
        <f t="shared" si="18"/>
        <v>KIO22002780</v>
      </c>
      <c r="D266" t="s">
        <v>8689</v>
      </c>
      <c r="E266" s="24" t="s">
        <v>11795</v>
      </c>
      <c r="F266" s="61">
        <f>VLOOKUP(ARTICULOS_GOLOMAX[[#This Row],[CodigoProveedor]],'PRECIOS GOLOMAX'!$A$1:$C$10000,3,FALSE)</f>
        <v>183.91</v>
      </c>
      <c r="G266" s="3">
        <v>0</v>
      </c>
      <c r="H266" s="3">
        <v>0</v>
      </c>
      <c r="I266">
        <v>1</v>
      </c>
      <c r="J266">
        <v>1</v>
      </c>
      <c r="K266" s="4"/>
      <c r="L266" s="65">
        <f>((ARTICULOS_GOLOMAX[[#This Row],[P. Compra]]*(1+ARTICULOS_GOLOMAX[[#This Row],[IVA]]%))/ARTICULOS_GOLOMAX[[#This Row],[UnidFact]])+ARTICULOS_GOLOMAX[[#This Row],[CostoFlete]]</f>
        <v>183.91</v>
      </c>
      <c r="M266">
        <v>30</v>
      </c>
      <c r="N266" s="63">
        <f t="shared" si="19"/>
        <v>250</v>
      </c>
      <c r="O266" s="3">
        <f>MROUND((ARTICULOS_GOLOMAX[[#This Row],[Precio]]/0.6),50)</f>
        <v>400</v>
      </c>
      <c r="P266" t="s">
        <v>8693</v>
      </c>
      <c r="Q266">
        <v>6</v>
      </c>
      <c r="R266" s="42">
        <v>30</v>
      </c>
      <c r="S266" t="s">
        <v>17</v>
      </c>
      <c r="T266" t="s">
        <v>27</v>
      </c>
      <c r="U266" t="s">
        <v>92</v>
      </c>
      <c r="V266" t="s">
        <v>10193</v>
      </c>
      <c r="W266" t="s">
        <v>8692</v>
      </c>
      <c r="X266">
        <v>1</v>
      </c>
      <c r="Y266">
        <v>1</v>
      </c>
      <c r="AB266" s="80" t="e">
        <f>ARTICULOS_OSLE[[#This Row],[Costo]]*ARTICULOS_OSLE[[#This Row],[Pedido]]</f>
        <v>#VALUE!</v>
      </c>
      <c r="AH266" s="2" t="e">
        <f>IF(AND(ARTICULOS_OSLE[[#This Row],[FechaVenc]]=0,ARTICULOS_OSLE[[#This Row],[DiasVenc]]=0),"",ARTICULOS_OSLE[[#This Row],[FechaVenc]]-ARTICULOS_OSLE[[#This Row],[DiasVenc]])</f>
        <v>#VALUE!</v>
      </c>
      <c r="AO266" s="30" t="s">
        <v>8689</v>
      </c>
    </row>
    <row r="267" spans="1:41" ht="15.75" hidden="1" x14ac:dyDescent="0.25">
      <c r="A267" s="1" t="s">
        <v>10192</v>
      </c>
      <c r="B267">
        <v>1404054</v>
      </c>
      <c r="C267" t="str">
        <f t="shared" ref="C267:C299" si="20">CONCATENATE(LEFT(T267,3),RIGHT(A267,8))</f>
        <v>KIO22002889</v>
      </c>
      <c r="D267" t="s">
        <v>8689</v>
      </c>
      <c r="E267" s="24" t="s">
        <v>11796</v>
      </c>
      <c r="F267" s="61">
        <f>VLOOKUP(ARTICULOS_GOLOMAX[[#This Row],[CodigoProveedor]],'PRECIOS GOLOMAX'!$A$1:$C$10000,3,FALSE)</f>
        <v>183.91</v>
      </c>
      <c r="G267" s="3">
        <v>0</v>
      </c>
      <c r="H267" s="3">
        <v>0</v>
      </c>
      <c r="I267">
        <v>1</v>
      </c>
      <c r="J267">
        <v>1</v>
      </c>
      <c r="K267" s="4"/>
      <c r="L267" s="65">
        <f>((ARTICULOS_GOLOMAX[[#This Row],[P. Compra]]*(1+ARTICULOS_GOLOMAX[[#This Row],[IVA]]%))/ARTICULOS_GOLOMAX[[#This Row],[UnidFact]])+ARTICULOS_GOLOMAX[[#This Row],[CostoFlete]]</f>
        <v>183.91</v>
      </c>
      <c r="M267">
        <v>30</v>
      </c>
      <c r="N267" s="63">
        <f t="shared" si="19"/>
        <v>250</v>
      </c>
      <c r="O267" s="3">
        <f>MROUND((ARTICULOS_GOLOMAX[[#This Row],[Precio]]/0.6),50)</f>
        <v>400</v>
      </c>
      <c r="P267" t="s">
        <v>8693</v>
      </c>
      <c r="Q267">
        <v>6</v>
      </c>
      <c r="R267" s="42">
        <v>30</v>
      </c>
      <c r="S267" t="s">
        <v>17</v>
      </c>
      <c r="T267" t="s">
        <v>27</v>
      </c>
      <c r="U267" t="s">
        <v>92</v>
      </c>
      <c r="V267" t="s">
        <v>10193</v>
      </c>
      <c r="W267" t="s">
        <v>8692</v>
      </c>
      <c r="X267">
        <v>1</v>
      </c>
      <c r="Y267">
        <v>0</v>
      </c>
      <c r="AB267" s="80" t="e">
        <f>ARTICULOS_OSLE[[#This Row],[Costo]]*ARTICULOS_OSLE[[#This Row],[Pedido]]</f>
        <v>#VALUE!</v>
      </c>
      <c r="AH267" s="2" t="e">
        <f>IF(AND(ARTICULOS_OSLE[[#This Row],[FechaVenc]]=0,ARTICULOS_OSLE[[#This Row],[DiasVenc]]=0),"",ARTICULOS_OSLE[[#This Row],[FechaVenc]]-ARTICULOS_OSLE[[#This Row],[DiasVenc]])</f>
        <v>#VALUE!</v>
      </c>
      <c r="AO267" s="30" t="s">
        <v>8689</v>
      </c>
    </row>
    <row r="268" spans="1:41" ht="15.75" hidden="1" x14ac:dyDescent="0.25">
      <c r="A268" s="1" t="s">
        <v>10194</v>
      </c>
      <c r="B268" s="30">
        <v>1402135</v>
      </c>
      <c r="C268" t="str">
        <f t="shared" si="20"/>
        <v>KIO94344249</v>
      </c>
      <c r="D268" t="s">
        <v>8689</v>
      </c>
      <c r="E268" s="1" t="s">
        <v>10195</v>
      </c>
      <c r="F268" s="61">
        <f>VLOOKUP(ARTICULOS_GOLOMAX[[#This Row],[CodigoProveedor]],'PRECIOS GOLOMAX'!$A$1:$C$10000,3,FALSE)</f>
        <v>234.63</v>
      </c>
      <c r="G268" s="3">
        <v>0</v>
      </c>
      <c r="H268" s="3">
        <v>0</v>
      </c>
      <c r="I268">
        <v>1</v>
      </c>
      <c r="J268">
        <v>1</v>
      </c>
      <c r="K268" s="4"/>
      <c r="L268" s="65">
        <f>((ARTICULOS_GOLOMAX[[#This Row],[P. Compra]]*(1+ARTICULOS_GOLOMAX[[#This Row],[IVA]]%))/ARTICULOS_GOLOMAX[[#This Row],[UnidFact]])+ARTICULOS_GOLOMAX[[#This Row],[CostoFlete]]</f>
        <v>234.63</v>
      </c>
      <c r="M268">
        <v>30</v>
      </c>
      <c r="N268" s="63">
        <f t="shared" si="19"/>
        <v>350</v>
      </c>
      <c r="O268" s="3">
        <f>MROUND((ARTICULOS_GOLOMAX[[#This Row],[Precio]]/0.6),50)</f>
        <v>600</v>
      </c>
      <c r="P268" t="s">
        <v>8693</v>
      </c>
      <c r="Q268">
        <v>3</v>
      </c>
      <c r="R268" s="42">
        <v>15</v>
      </c>
      <c r="S268" t="s">
        <v>17</v>
      </c>
      <c r="T268" t="s">
        <v>27</v>
      </c>
      <c r="U268" t="s">
        <v>92</v>
      </c>
      <c r="V268" t="s">
        <v>10196</v>
      </c>
      <c r="W268" t="s">
        <v>8692</v>
      </c>
      <c r="X268">
        <v>1</v>
      </c>
      <c r="Y268">
        <v>18</v>
      </c>
      <c r="AB268" s="80" t="e">
        <f>ARTICULOS_OSLE[[#This Row],[Costo]]*ARTICULOS_OSLE[[#This Row],[Pedido]]</f>
        <v>#VALUE!</v>
      </c>
      <c r="AH268" s="2" t="e">
        <f>IF(AND(ARTICULOS_OSLE[[#This Row],[FechaVenc]]=0,ARTICULOS_OSLE[[#This Row],[DiasVenc]]=0),"",ARTICULOS_OSLE[[#This Row],[FechaVenc]]-ARTICULOS_OSLE[[#This Row],[DiasVenc]])</f>
        <v>#VALUE!</v>
      </c>
      <c r="AO268" s="30" t="s">
        <v>8689</v>
      </c>
    </row>
    <row r="269" spans="1:41" ht="15.75" hidden="1" x14ac:dyDescent="0.25">
      <c r="A269" s="1" t="s">
        <v>10197</v>
      </c>
      <c r="B269" s="30">
        <v>1402137</v>
      </c>
      <c r="C269" t="str">
        <f t="shared" si="20"/>
        <v>KIO94340555</v>
      </c>
      <c r="D269" t="s">
        <v>8689</v>
      </c>
      <c r="E269" s="1" t="s">
        <v>10198</v>
      </c>
      <c r="F269" s="61">
        <f>VLOOKUP(ARTICULOS_GOLOMAX[[#This Row],[CodigoProveedor]],'PRECIOS GOLOMAX'!$A$1:$C$10000,3,FALSE)</f>
        <v>234.63</v>
      </c>
      <c r="G269" s="3">
        <v>0</v>
      </c>
      <c r="H269" s="3">
        <v>0</v>
      </c>
      <c r="I269">
        <v>1</v>
      </c>
      <c r="J269">
        <v>1</v>
      </c>
      <c r="K269" s="4"/>
      <c r="L269" s="65">
        <f>((ARTICULOS_GOLOMAX[[#This Row],[P. Compra]]*(1+ARTICULOS_GOLOMAX[[#This Row],[IVA]]%))/ARTICULOS_GOLOMAX[[#This Row],[UnidFact]])+ARTICULOS_GOLOMAX[[#This Row],[CostoFlete]]</f>
        <v>234.63</v>
      </c>
      <c r="M269">
        <v>30</v>
      </c>
      <c r="N269" s="63">
        <f t="shared" si="19"/>
        <v>350</v>
      </c>
      <c r="O269" s="3">
        <f>MROUND((ARTICULOS_GOLOMAX[[#This Row],[Precio]]/0.6),50)</f>
        <v>600</v>
      </c>
      <c r="P269" t="s">
        <v>8693</v>
      </c>
      <c r="Q269">
        <v>3</v>
      </c>
      <c r="R269" s="42">
        <v>15</v>
      </c>
      <c r="S269" t="s">
        <v>17</v>
      </c>
      <c r="T269" t="s">
        <v>27</v>
      </c>
      <c r="U269" t="s">
        <v>92</v>
      </c>
      <c r="V269" t="s">
        <v>10196</v>
      </c>
      <c r="W269" t="s">
        <v>8692</v>
      </c>
      <c r="X269">
        <v>1</v>
      </c>
      <c r="Y269">
        <v>10</v>
      </c>
      <c r="AB269" s="80" t="e">
        <f>ARTICULOS_OSLE[[#This Row],[Costo]]*ARTICULOS_OSLE[[#This Row],[Pedido]]</f>
        <v>#VALUE!</v>
      </c>
      <c r="AH269" s="2" t="e">
        <f>IF(AND(ARTICULOS_OSLE[[#This Row],[FechaVenc]]=0,ARTICULOS_OSLE[[#This Row],[DiasVenc]]=0),"",ARTICULOS_OSLE[[#This Row],[FechaVenc]]-ARTICULOS_OSLE[[#This Row],[DiasVenc]])</f>
        <v>#VALUE!</v>
      </c>
      <c r="AO269" s="30" t="s">
        <v>8689</v>
      </c>
    </row>
    <row r="270" spans="1:41" ht="15.75" hidden="1" x14ac:dyDescent="0.25">
      <c r="A270" s="1" t="s">
        <v>10199</v>
      </c>
      <c r="B270" s="30">
        <v>1402163</v>
      </c>
      <c r="C270" t="str">
        <f t="shared" si="20"/>
        <v>KIO94340012</v>
      </c>
      <c r="D270" t="s">
        <v>8689</v>
      </c>
      <c r="E270" s="1" t="s">
        <v>10200</v>
      </c>
      <c r="F270" s="61">
        <f>VLOOKUP(ARTICULOS_GOLOMAX[[#This Row],[CodigoProveedor]],'PRECIOS GOLOMAX'!$A$1:$C$10000,3,FALSE)</f>
        <v>234.63</v>
      </c>
      <c r="G270" s="3">
        <v>0</v>
      </c>
      <c r="H270" s="3">
        <v>0</v>
      </c>
      <c r="I270">
        <v>1</v>
      </c>
      <c r="J270">
        <v>1</v>
      </c>
      <c r="K270" s="4"/>
      <c r="L270" s="65">
        <f>((ARTICULOS_GOLOMAX[[#This Row],[P. Compra]]*(1+ARTICULOS_GOLOMAX[[#This Row],[IVA]]%))/ARTICULOS_GOLOMAX[[#This Row],[UnidFact]])+ARTICULOS_GOLOMAX[[#This Row],[CostoFlete]]</f>
        <v>234.63</v>
      </c>
      <c r="M270">
        <v>30</v>
      </c>
      <c r="N270" s="63">
        <f t="shared" si="19"/>
        <v>350</v>
      </c>
      <c r="O270" s="3">
        <f>MROUND((ARTICULOS_GOLOMAX[[#This Row],[Precio]]/0.6),50)</f>
        <v>600</v>
      </c>
      <c r="P270" t="s">
        <v>8693</v>
      </c>
      <c r="Q270">
        <v>3</v>
      </c>
      <c r="R270" s="42">
        <v>15</v>
      </c>
      <c r="S270" t="s">
        <v>17</v>
      </c>
      <c r="T270" t="s">
        <v>27</v>
      </c>
      <c r="U270" t="s">
        <v>92</v>
      </c>
      <c r="V270" s="30" t="s">
        <v>10196</v>
      </c>
      <c r="W270" t="s">
        <v>8692</v>
      </c>
      <c r="X270">
        <v>1</v>
      </c>
      <c r="Y270">
        <v>7</v>
      </c>
      <c r="AB270" s="80" t="e">
        <f>ARTICULOS_OSLE[[#This Row],[Costo]]*ARTICULOS_OSLE[[#This Row],[Pedido]]</f>
        <v>#VALUE!</v>
      </c>
      <c r="AH270" s="2" t="e">
        <f>IF(AND(ARTICULOS_OSLE[[#This Row],[FechaVenc]]=0,ARTICULOS_OSLE[[#This Row],[DiasVenc]]=0),"",ARTICULOS_OSLE[[#This Row],[FechaVenc]]-ARTICULOS_OSLE[[#This Row],[DiasVenc]])</f>
        <v>#VALUE!</v>
      </c>
      <c r="AO270" s="30" t="s">
        <v>8689</v>
      </c>
    </row>
    <row r="271" spans="1:41" ht="15.75" hidden="1" x14ac:dyDescent="0.25">
      <c r="A271" s="1" t="s">
        <v>10201</v>
      </c>
      <c r="B271">
        <v>1406166</v>
      </c>
      <c r="C271" t="str">
        <f t="shared" si="20"/>
        <v>KIO76191310</v>
      </c>
      <c r="D271" t="s">
        <v>8689</v>
      </c>
      <c r="E271" s="1" t="s">
        <v>10202</v>
      </c>
      <c r="F271" s="61">
        <f>VLOOKUP(ARTICULOS_GOLOMAX[[#This Row],[CodigoProveedor]],'PRECIOS GOLOMAX'!$A$1:$C$10000,3,FALSE)</f>
        <v>245.98</v>
      </c>
      <c r="G271" s="3">
        <v>0</v>
      </c>
      <c r="H271" s="3">
        <v>0</v>
      </c>
      <c r="I271">
        <v>1</v>
      </c>
      <c r="J271">
        <v>1</v>
      </c>
      <c r="K271" s="4"/>
      <c r="L271" s="65">
        <f>((ARTICULOS_GOLOMAX[[#This Row],[P. Compra]]*(1+ARTICULOS_GOLOMAX[[#This Row],[IVA]]%))/ARTICULOS_GOLOMAX[[#This Row],[UnidFact]])+ARTICULOS_GOLOMAX[[#This Row],[CostoFlete]]</f>
        <v>245.98</v>
      </c>
      <c r="M271">
        <v>30</v>
      </c>
      <c r="N271" s="63">
        <f t="shared" si="19"/>
        <v>350</v>
      </c>
      <c r="O271" s="3">
        <f>MROUND((ARTICULOS_GOLOMAX[[#This Row],[Precio]]/0.6),50)</f>
        <v>600</v>
      </c>
      <c r="P271" t="s">
        <v>8693</v>
      </c>
      <c r="Q271">
        <v>3</v>
      </c>
      <c r="R271" s="42">
        <v>15</v>
      </c>
      <c r="S271" t="s">
        <v>17</v>
      </c>
      <c r="T271" t="s">
        <v>27</v>
      </c>
      <c r="U271" t="s">
        <v>92</v>
      </c>
      <c r="V271" t="s">
        <v>10203</v>
      </c>
      <c r="W271" t="s">
        <v>8692</v>
      </c>
      <c r="X271">
        <v>1</v>
      </c>
      <c r="Y271">
        <v>9</v>
      </c>
      <c r="AB271" s="80" t="e">
        <f>ARTICULOS_OSLE[[#This Row],[Costo]]*ARTICULOS_OSLE[[#This Row],[Pedido]]</f>
        <v>#VALUE!</v>
      </c>
      <c r="AH271" s="2" t="e">
        <f>IF(AND(ARTICULOS_OSLE[[#This Row],[FechaVenc]]=0,ARTICULOS_OSLE[[#This Row],[DiasVenc]]=0),"",ARTICULOS_OSLE[[#This Row],[FechaVenc]]-ARTICULOS_OSLE[[#This Row],[DiasVenc]])</f>
        <v>#VALUE!</v>
      </c>
      <c r="AO271" s="30" t="s">
        <v>8689</v>
      </c>
    </row>
    <row r="272" spans="1:41" ht="15.75" hidden="1" x14ac:dyDescent="0.25">
      <c r="A272" s="1" t="s">
        <v>10204</v>
      </c>
      <c r="B272">
        <v>1406100</v>
      </c>
      <c r="C272" t="str">
        <f t="shared" si="20"/>
        <v>KIO86030555</v>
      </c>
      <c r="D272" t="s">
        <v>8689</v>
      </c>
      <c r="E272" s="1" t="s">
        <v>10205</v>
      </c>
      <c r="F272" s="61">
        <f>VLOOKUP(ARTICULOS_GOLOMAX[[#This Row],[CodigoProveedor]],'PRECIOS GOLOMAX'!$A$1:$C$10000,3,FALSE)</f>
        <v>245.98</v>
      </c>
      <c r="G272" s="3">
        <v>0</v>
      </c>
      <c r="H272" s="3">
        <v>0</v>
      </c>
      <c r="I272">
        <v>1</v>
      </c>
      <c r="J272">
        <v>1</v>
      </c>
      <c r="K272" s="4"/>
      <c r="L272" s="65">
        <f>((ARTICULOS_GOLOMAX[[#This Row],[P. Compra]]*(1+ARTICULOS_GOLOMAX[[#This Row],[IVA]]%))/ARTICULOS_GOLOMAX[[#This Row],[UnidFact]])+ARTICULOS_GOLOMAX[[#This Row],[CostoFlete]]</f>
        <v>245.98</v>
      </c>
      <c r="M272">
        <v>30</v>
      </c>
      <c r="N272" s="63">
        <f t="shared" si="19"/>
        <v>350</v>
      </c>
      <c r="O272" s="3">
        <f>MROUND((ARTICULOS_GOLOMAX[[#This Row],[Precio]]/0.6),50)</f>
        <v>600</v>
      </c>
      <c r="P272" t="s">
        <v>8693</v>
      </c>
      <c r="Q272">
        <v>3</v>
      </c>
      <c r="R272" s="42">
        <v>15</v>
      </c>
      <c r="S272" t="s">
        <v>17</v>
      </c>
      <c r="T272" t="s">
        <v>27</v>
      </c>
      <c r="U272" t="s">
        <v>92</v>
      </c>
      <c r="V272" t="s">
        <v>10203</v>
      </c>
      <c r="W272" t="s">
        <v>8692</v>
      </c>
      <c r="X272">
        <v>1</v>
      </c>
      <c r="Y272">
        <v>9</v>
      </c>
      <c r="AB272" s="80" t="e">
        <f>ARTICULOS_OSLE[[#This Row],[Costo]]*ARTICULOS_OSLE[[#This Row],[Pedido]]</f>
        <v>#VALUE!</v>
      </c>
      <c r="AH272" s="2" t="e">
        <f>IF(AND(ARTICULOS_OSLE[[#This Row],[FechaVenc]]=0,ARTICULOS_OSLE[[#This Row],[DiasVenc]]=0),"",ARTICULOS_OSLE[[#This Row],[FechaVenc]]-ARTICULOS_OSLE[[#This Row],[DiasVenc]])</f>
        <v>#VALUE!</v>
      </c>
      <c r="AO272" s="30" t="s">
        <v>8689</v>
      </c>
    </row>
    <row r="273" spans="1:41" ht="15.75" hidden="1" x14ac:dyDescent="0.25">
      <c r="A273" s="1" t="s">
        <v>10206</v>
      </c>
      <c r="B273">
        <v>1406101</v>
      </c>
      <c r="C273" t="str">
        <f t="shared" si="20"/>
        <v>KIO86030548</v>
      </c>
      <c r="D273" t="s">
        <v>8689</v>
      </c>
      <c r="E273" s="1" t="s">
        <v>10207</v>
      </c>
      <c r="F273" s="61">
        <f>VLOOKUP(ARTICULOS_GOLOMAX[[#This Row],[CodigoProveedor]],'PRECIOS GOLOMAX'!$A$1:$C$10000,3,FALSE)</f>
        <v>245.98</v>
      </c>
      <c r="G273" s="3">
        <v>0</v>
      </c>
      <c r="H273" s="3">
        <v>0</v>
      </c>
      <c r="I273">
        <v>1</v>
      </c>
      <c r="J273">
        <v>1</v>
      </c>
      <c r="K273" s="4"/>
      <c r="L273" s="65">
        <f>((ARTICULOS_GOLOMAX[[#This Row],[P. Compra]]*(1+ARTICULOS_GOLOMAX[[#This Row],[IVA]]%))/ARTICULOS_GOLOMAX[[#This Row],[UnidFact]])+ARTICULOS_GOLOMAX[[#This Row],[CostoFlete]]</f>
        <v>245.98</v>
      </c>
      <c r="M273">
        <v>30</v>
      </c>
      <c r="N273" s="63">
        <f t="shared" si="19"/>
        <v>350</v>
      </c>
      <c r="O273" s="3">
        <f>MROUND((ARTICULOS_GOLOMAX[[#This Row],[Precio]]/0.6),50)</f>
        <v>600</v>
      </c>
      <c r="P273" t="s">
        <v>8693</v>
      </c>
      <c r="Q273">
        <v>3</v>
      </c>
      <c r="R273" s="42">
        <v>15</v>
      </c>
      <c r="S273" t="s">
        <v>17</v>
      </c>
      <c r="T273" t="s">
        <v>27</v>
      </c>
      <c r="U273" t="s">
        <v>92</v>
      </c>
      <c r="V273" s="30" t="s">
        <v>10203</v>
      </c>
      <c r="W273" t="s">
        <v>8692</v>
      </c>
      <c r="X273">
        <v>1</v>
      </c>
      <c r="Y273">
        <v>2</v>
      </c>
      <c r="AB273" s="80" t="e">
        <f>ARTICULOS_OSLE[[#This Row],[Costo]]*ARTICULOS_OSLE[[#This Row],[Pedido]]</f>
        <v>#VALUE!</v>
      </c>
      <c r="AH273" s="2" t="e">
        <f>IF(AND(ARTICULOS_OSLE[[#This Row],[FechaVenc]]=0,ARTICULOS_OSLE[[#This Row],[DiasVenc]]=0),"",ARTICULOS_OSLE[[#This Row],[FechaVenc]]-ARTICULOS_OSLE[[#This Row],[DiasVenc]])</f>
        <v>#VALUE!</v>
      </c>
      <c r="AO273" s="30" t="s">
        <v>8689</v>
      </c>
    </row>
    <row r="274" spans="1:41" ht="15.75" hidden="1" x14ac:dyDescent="0.25">
      <c r="A274" s="1" t="s">
        <v>10208</v>
      </c>
      <c r="B274">
        <v>1406202</v>
      </c>
      <c r="C274" t="str">
        <f t="shared" si="20"/>
        <v>KIO40710125</v>
      </c>
      <c r="D274" t="s">
        <v>8689</v>
      </c>
      <c r="E274" s="1" t="s">
        <v>10209</v>
      </c>
      <c r="F274" s="61">
        <f>VLOOKUP(ARTICULOS_GOLOMAX[[#This Row],[CodigoProveedor]],'PRECIOS GOLOMAX'!$A$1:$C$10000,3,FALSE)</f>
        <v>1667.35</v>
      </c>
      <c r="G274" s="3">
        <v>0</v>
      </c>
      <c r="H274" s="3">
        <v>0</v>
      </c>
      <c r="I274">
        <v>20</v>
      </c>
      <c r="J274">
        <v>20</v>
      </c>
      <c r="K274" s="4"/>
      <c r="L274" s="65">
        <f>((ARTICULOS_GOLOMAX[[#This Row],[P. Compra]]*(1+ARTICULOS_GOLOMAX[[#This Row],[IVA]]%))/ARTICULOS_GOLOMAX[[#This Row],[UnidFact]])+ARTICULOS_GOLOMAX[[#This Row],[CostoFlete]]</f>
        <v>83.367499999999993</v>
      </c>
      <c r="M274">
        <v>30</v>
      </c>
      <c r="N274" s="63">
        <f t="shared" si="19"/>
        <v>100</v>
      </c>
      <c r="O274" s="3">
        <f>MROUND((ARTICULOS_GOLOMAX[[#This Row],[Precio]]/0.6),50)</f>
        <v>150</v>
      </c>
      <c r="P274" t="s">
        <v>8693</v>
      </c>
      <c r="Q274">
        <v>5</v>
      </c>
      <c r="R274" s="42">
        <v>25</v>
      </c>
      <c r="S274" t="s">
        <v>17</v>
      </c>
      <c r="T274" t="s">
        <v>27</v>
      </c>
      <c r="U274" t="s">
        <v>92</v>
      </c>
      <c r="V274" t="s">
        <v>10210</v>
      </c>
      <c r="W274" t="s">
        <v>8692</v>
      </c>
      <c r="X274">
        <v>1</v>
      </c>
      <c r="Y274">
        <v>10</v>
      </c>
      <c r="AB274" s="80" t="e">
        <f>ARTICULOS_OSLE[[#This Row],[Costo]]*ARTICULOS_OSLE[[#This Row],[Pedido]]</f>
        <v>#VALUE!</v>
      </c>
      <c r="AH274" s="2" t="e">
        <f>IF(AND(ARTICULOS_OSLE[[#This Row],[FechaVenc]]=0,ARTICULOS_OSLE[[#This Row],[DiasVenc]]=0),"",ARTICULOS_OSLE[[#This Row],[FechaVenc]]-ARTICULOS_OSLE[[#This Row],[DiasVenc]])</f>
        <v>#VALUE!</v>
      </c>
      <c r="AO274" s="30" t="s">
        <v>8689</v>
      </c>
    </row>
    <row r="275" spans="1:41" ht="15.75" hidden="1" x14ac:dyDescent="0.25">
      <c r="A275" s="1" t="s">
        <v>10211</v>
      </c>
      <c r="B275">
        <v>1406203</v>
      </c>
      <c r="C275" t="str">
        <f t="shared" si="20"/>
        <v>KIO40710132</v>
      </c>
      <c r="D275" t="s">
        <v>8689</v>
      </c>
      <c r="E275" s="1" t="s">
        <v>10212</v>
      </c>
      <c r="F275" s="61">
        <f>VLOOKUP(ARTICULOS_GOLOMAX[[#This Row],[CodigoProveedor]],'PRECIOS GOLOMAX'!$A$1:$C$10000,3,FALSE)</f>
        <v>1667.35</v>
      </c>
      <c r="G275" s="3">
        <v>0</v>
      </c>
      <c r="H275" s="3">
        <v>0</v>
      </c>
      <c r="I275">
        <v>20</v>
      </c>
      <c r="J275">
        <v>20</v>
      </c>
      <c r="K275" s="4"/>
      <c r="L275" s="65">
        <f>((ARTICULOS_GOLOMAX[[#This Row],[P. Compra]]*(1+ARTICULOS_GOLOMAX[[#This Row],[IVA]]%))/ARTICULOS_GOLOMAX[[#This Row],[UnidFact]])+ARTICULOS_GOLOMAX[[#This Row],[CostoFlete]]</f>
        <v>83.367499999999993</v>
      </c>
      <c r="M275">
        <v>30</v>
      </c>
      <c r="N275" s="63">
        <f t="shared" si="19"/>
        <v>100</v>
      </c>
      <c r="O275" s="3">
        <f>MROUND((ARTICULOS_GOLOMAX[[#This Row],[Precio]]/0.6),50)</f>
        <v>150</v>
      </c>
      <c r="P275" t="s">
        <v>8693</v>
      </c>
      <c r="Q275">
        <v>5</v>
      </c>
      <c r="R275" s="42">
        <v>25</v>
      </c>
      <c r="S275" t="s">
        <v>17</v>
      </c>
      <c r="T275" t="s">
        <v>27</v>
      </c>
      <c r="U275" t="s">
        <v>92</v>
      </c>
      <c r="V275" t="s">
        <v>10210</v>
      </c>
      <c r="W275" t="s">
        <v>8692</v>
      </c>
      <c r="X275">
        <v>1</v>
      </c>
      <c r="Y275">
        <v>2</v>
      </c>
      <c r="AB275" s="80" t="e">
        <f>ARTICULOS_OSLE[[#This Row],[Costo]]*ARTICULOS_OSLE[[#This Row],[Pedido]]</f>
        <v>#VALUE!</v>
      </c>
      <c r="AH275" s="2" t="e">
        <f>IF(AND(ARTICULOS_OSLE[[#This Row],[FechaVenc]]=0,ARTICULOS_OSLE[[#This Row],[DiasVenc]]=0),"",ARTICULOS_OSLE[[#This Row],[FechaVenc]]-ARTICULOS_OSLE[[#This Row],[DiasVenc]])</f>
        <v>#VALUE!</v>
      </c>
      <c r="AO275" s="30" t="s">
        <v>8689</v>
      </c>
    </row>
    <row r="276" spans="1:41" ht="15.75" hidden="1" x14ac:dyDescent="0.25">
      <c r="A276" s="1" t="s">
        <v>10213</v>
      </c>
      <c r="B276">
        <v>1406208</v>
      </c>
      <c r="C276" t="str">
        <f t="shared" si="20"/>
        <v>KIO40710545</v>
      </c>
      <c r="D276" t="s">
        <v>8689</v>
      </c>
      <c r="E276" s="1" t="s">
        <v>10214</v>
      </c>
      <c r="F276" s="61">
        <f>VLOOKUP(ARTICULOS_GOLOMAX[[#This Row],[CodigoProveedor]],'PRECIOS GOLOMAX'!$A$1:$C$10000,3,FALSE)</f>
        <v>1667.35</v>
      </c>
      <c r="G276" s="3">
        <v>0</v>
      </c>
      <c r="H276" s="3">
        <v>0</v>
      </c>
      <c r="I276">
        <v>20</v>
      </c>
      <c r="J276">
        <v>20</v>
      </c>
      <c r="K276" s="4"/>
      <c r="L276" s="65">
        <f>((ARTICULOS_GOLOMAX[[#This Row],[P. Compra]]*(1+ARTICULOS_GOLOMAX[[#This Row],[IVA]]%))/ARTICULOS_GOLOMAX[[#This Row],[UnidFact]])+ARTICULOS_GOLOMAX[[#This Row],[CostoFlete]]</f>
        <v>83.367499999999993</v>
      </c>
      <c r="M276">
        <v>30</v>
      </c>
      <c r="N276" s="63">
        <f t="shared" si="19"/>
        <v>100</v>
      </c>
      <c r="O276" s="3">
        <f>MROUND((ARTICULOS_GOLOMAX[[#This Row],[Precio]]/0.6),50)</f>
        <v>150</v>
      </c>
      <c r="P276" t="s">
        <v>8693</v>
      </c>
      <c r="Q276">
        <v>5</v>
      </c>
      <c r="R276" s="42">
        <v>25</v>
      </c>
      <c r="S276" t="s">
        <v>17</v>
      </c>
      <c r="T276" t="s">
        <v>27</v>
      </c>
      <c r="U276" t="s">
        <v>92</v>
      </c>
      <c r="V276" t="s">
        <v>10210</v>
      </c>
      <c r="W276" t="s">
        <v>8692</v>
      </c>
      <c r="X276">
        <v>1</v>
      </c>
      <c r="Y276">
        <v>16</v>
      </c>
      <c r="AB276" s="80" t="e">
        <f>ARTICULOS_OSLE[[#This Row],[Costo]]*ARTICULOS_OSLE[[#This Row],[Pedido]]</f>
        <v>#VALUE!</v>
      </c>
      <c r="AH276" s="2" t="e">
        <f>IF(AND(ARTICULOS_OSLE[[#This Row],[FechaVenc]]=0,ARTICULOS_OSLE[[#This Row],[DiasVenc]]=0),"",ARTICULOS_OSLE[[#This Row],[FechaVenc]]-ARTICULOS_OSLE[[#This Row],[DiasVenc]])</f>
        <v>#VALUE!</v>
      </c>
      <c r="AO276" s="30" t="s">
        <v>8689</v>
      </c>
    </row>
    <row r="277" spans="1:41" ht="15.75" hidden="1" x14ac:dyDescent="0.25">
      <c r="A277" s="1" t="s">
        <v>10215</v>
      </c>
      <c r="B277">
        <v>1406201</v>
      </c>
      <c r="C277" t="str">
        <f t="shared" si="20"/>
        <v>KIO40710118</v>
      </c>
      <c r="D277" t="s">
        <v>8689</v>
      </c>
      <c r="E277" s="1" t="s">
        <v>10216</v>
      </c>
      <c r="F277" s="61">
        <f>VLOOKUP(ARTICULOS_GOLOMAX[[#This Row],[CodigoProveedor]],'PRECIOS GOLOMAX'!$A$1:$C$10000,3,FALSE)</f>
        <v>1667.35</v>
      </c>
      <c r="G277" s="3">
        <v>0</v>
      </c>
      <c r="H277" s="3">
        <v>0</v>
      </c>
      <c r="I277">
        <v>20</v>
      </c>
      <c r="J277">
        <v>20</v>
      </c>
      <c r="K277" s="4"/>
      <c r="L277" s="65">
        <f>((ARTICULOS_GOLOMAX[[#This Row],[P. Compra]]*(1+ARTICULOS_GOLOMAX[[#This Row],[IVA]]%))/ARTICULOS_GOLOMAX[[#This Row],[UnidFact]])+ARTICULOS_GOLOMAX[[#This Row],[CostoFlete]]</f>
        <v>83.367499999999993</v>
      </c>
      <c r="M277">
        <v>30</v>
      </c>
      <c r="N277" s="63">
        <f t="shared" si="19"/>
        <v>100</v>
      </c>
      <c r="O277" s="3">
        <f>MROUND((ARTICULOS_GOLOMAX[[#This Row],[Precio]]/0.6),50)</f>
        <v>150</v>
      </c>
      <c r="P277" t="s">
        <v>8693</v>
      </c>
      <c r="Q277">
        <v>5</v>
      </c>
      <c r="R277" s="42">
        <v>25</v>
      </c>
      <c r="S277" t="s">
        <v>17</v>
      </c>
      <c r="T277" t="s">
        <v>27</v>
      </c>
      <c r="U277" t="s">
        <v>92</v>
      </c>
      <c r="V277" t="s">
        <v>10210</v>
      </c>
      <c r="W277" t="s">
        <v>8692</v>
      </c>
      <c r="X277">
        <v>1</v>
      </c>
      <c r="Y277">
        <v>8</v>
      </c>
      <c r="AB277" s="80" t="e">
        <f>ARTICULOS_OSLE[[#This Row],[Costo]]*ARTICULOS_OSLE[[#This Row],[Pedido]]</f>
        <v>#VALUE!</v>
      </c>
      <c r="AH277" s="2" t="e">
        <f>IF(AND(ARTICULOS_OSLE[[#This Row],[FechaVenc]]=0,ARTICULOS_OSLE[[#This Row],[DiasVenc]]=0),"",ARTICULOS_OSLE[[#This Row],[FechaVenc]]-ARTICULOS_OSLE[[#This Row],[DiasVenc]])</f>
        <v>#VALUE!</v>
      </c>
      <c r="AO277" s="30" t="s">
        <v>8689</v>
      </c>
    </row>
    <row r="278" spans="1:41" ht="15.75" hidden="1" x14ac:dyDescent="0.25">
      <c r="A278" s="1" t="s">
        <v>10217</v>
      </c>
      <c r="B278" s="30">
        <v>1403400</v>
      </c>
      <c r="C278" t="str">
        <f t="shared" si="20"/>
        <v>KIO77904744</v>
      </c>
      <c r="D278" t="s">
        <v>8689</v>
      </c>
      <c r="E278" s="1" t="s">
        <v>10218</v>
      </c>
      <c r="F278" s="61">
        <f>VLOOKUP(ARTICULOS_GOLOMAX[[#This Row],[CodigoProveedor]],'PRECIOS GOLOMAX'!$A$1:$C$10000,3,FALSE)</f>
        <v>193.31</v>
      </c>
      <c r="G278" s="3">
        <v>0</v>
      </c>
      <c r="H278" s="3">
        <v>0</v>
      </c>
      <c r="I278">
        <v>1</v>
      </c>
      <c r="J278">
        <v>1</v>
      </c>
      <c r="K278" s="4"/>
      <c r="L278" s="65">
        <f>((ARTICULOS_GOLOMAX[[#This Row],[P. Compra]]*(1+ARTICULOS_GOLOMAX[[#This Row],[IVA]]%))/ARTICULOS_GOLOMAX[[#This Row],[UnidFact]])+ARTICULOS_GOLOMAX[[#This Row],[CostoFlete]]</f>
        <v>193.31</v>
      </c>
      <c r="M278">
        <v>30</v>
      </c>
      <c r="N278" s="63">
        <f t="shared" si="19"/>
        <v>300</v>
      </c>
      <c r="O278" s="3">
        <f>MROUND((ARTICULOS_GOLOMAX[[#This Row],[Precio]]/0.6),50)</f>
        <v>500</v>
      </c>
      <c r="P278" t="s">
        <v>8693</v>
      </c>
      <c r="Q278">
        <v>14</v>
      </c>
      <c r="R278" s="42">
        <v>50</v>
      </c>
      <c r="S278" t="s">
        <v>17</v>
      </c>
      <c r="T278" t="s">
        <v>27</v>
      </c>
      <c r="U278" t="s">
        <v>92</v>
      </c>
      <c r="V278" t="s">
        <v>10219</v>
      </c>
      <c r="W278" t="s">
        <v>8692</v>
      </c>
      <c r="X278">
        <v>1</v>
      </c>
      <c r="Y278">
        <v>19</v>
      </c>
      <c r="AB278" s="80" t="e">
        <f>ARTICULOS_OSLE[[#This Row],[Costo]]*ARTICULOS_OSLE[[#This Row],[Pedido]]</f>
        <v>#VALUE!</v>
      </c>
      <c r="AH278" s="2" t="e">
        <f>IF(AND(ARTICULOS_OSLE[[#This Row],[FechaVenc]]=0,ARTICULOS_OSLE[[#This Row],[DiasVenc]]=0),"",ARTICULOS_OSLE[[#This Row],[FechaVenc]]-ARTICULOS_OSLE[[#This Row],[DiasVenc]])</f>
        <v>#VALUE!</v>
      </c>
      <c r="AO278" s="30" t="s">
        <v>8689</v>
      </c>
    </row>
    <row r="279" spans="1:41" ht="15.75" hidden="1" x14ac:dyDescent="0.25">
      <c r="A279" s="1" t="s">
        <v>10220</v>
      </c>
      <c r="B279" s="30">
        <v>1405344</v>
      </c>
      <c r="C279" t="str">
        <f t="shared" si="20"/>
        <v>KIO78605831</v>
      </c>
      <c r="D279" t="s">
        <v>8689</v>
      </c>
      <c r="E279" s="1" t="s">
        <v>10221</v>
      </c>
      <c r="F279" s="61">
        <f>VLOOKUP(ARTICULOS_GOLOMAX[[#This Row],[CodigoProveedor]],'PRECIOS GOLOMAX'!$A$1:$C$10000,3,FALSE)</f>
        <v>532.47</v>
      </c>
      <c r="G279" s="3">
        <v>0</v>
      </c>
      <c r="H279" s="3">
        <v>0</v>
      </c>
      <c r="I279">
        <v>1</v>
      </c>
      <c r="J279">
        <v>1</v>
      </c>
      <c r="K279" s="4"/>
      <c r="L279" s="65">
        <f>((ARTICULOS_GOLOMAX[[#This Row],[P. Compra]]*(1+ARTICULOS_GOLOMAX[[#This Row],[IVA]]%))/ARTICULOS_GOLOMAX[[#This Row],[UnidFact]])+ARTICULOS_GOLOMAX[[#This Row],[CostoFlete]]</f>
        <v>532.47</v>
      </c>
      <c r="M279">
        <v>30</v>
      </c>
      <c r="N279" s="63">
        <f t="shared" si="19"/>
        <v>750</v>
      </c>
      <c r="O279" s="3">
        <f>MROUND((ARTICULOS_GOLOMAX[[#This Row],[Precio]]/0.6),50)</f>
        <v>1250</v>
      </c>
      <c r="P279" t="s">
        <v>8693</v>
      </c>
      <c r="Q279">
        <v>2</v>
      </c>
      <c r="R279" s="42">
        <v>12</v>
      </c>
      <c r="S279" t="s">
        <v>17</v>
      </c>
      <c r="T279" t="s">
        <v>27</v>
      </c>
      <c r="U279" t="s">
        <v>92</v>
      </c>
      <c r="V279" t="s">
        <v>10222</v>
      </c>
      <c r="W279" t="s">
        <v>8692</v>
      </c>
      <c r="X279">
        <v>1</v>
      </c>
      <c r="Y279">
        <v>3</v>
      </c>
      <c r="AB279" s="80" t="e">
        <f>ARTICULOS_OSLE[[#This Row],[Costo]]*ARTICULOS_OSLE[[#This Row],[Pedido]]</f>
        <v>#VALUE!</v>
      </c>
      <c r="AH279" s="2" t="e">
        <f>IF(AND(ARTICULOS_OSLE[[#This Row],[FechaVenc]]=0,ARTICULOS_OSLE[[#This Row],[DiasVenc]]=0),"",ARTICULOS_OSLE[[#This Row],[FechaVenc]]-ARTICULOS_OSLE[[#This Row],[DiasVenc]])</f>
        <v>#VALUE!</v>
      </c>
      <c r="AO279" s="30" t="s">
        <v>8689</v>
      </c>
    </row>
    <row r="280" spans="1:41" ht="15.75" hidden="1" x14ac:dyDescent="0.25">
      <c r="A280" s="1" t="s">
        <v>10223</v>
      </c>
      <c r="B280" s="30">
        <v>1405363</v>
      </c>
      <c r="C280" t="str">
        <f t="shared" si="20"/>
        <v>KIO78600010</v>
      </c>
      <c r="D280" t="s">
        <v>8689</v>
      </c>
      <c r="E280" s="1" t="s">
        <v>10224</v>
      </c>
      <c r="F280" s="61">
        <f>VLOOKUP(ARTICULOS_GOLOMAX[[#This Row],[CodigoProveedor]],'PRECIOS GOLOMAX'!$A$1:$C$10000,3,FALSE)</f>
        <v>532.47</v>
      </c>
      <c r="G280" s="3">
        <v>0</v>
      </c>
      <c r="H280" s="3">
        <v>0</v>
      </c>
      <c r="I280">
        <v>1</v>
      </c>
      <c r="J280">
        <v>1</v>
      </c>
      <c r="K280" s="4"/>
      <c r="L280" s="65">
        <f>((ARTICULOS_GOLOMAX[[#This Row],[P. Compra]]*(1+ARTICULOS_GOLOMAX[[#This Row],[IVA]]%))/ARTICULOS_GOLOMAX[[#This Row],[UnidFact]])+ARTICULOS_GOLOMAX[[#This Row],[CostoFlete]]</f>
        <v>532.47</v>
      </c>
      <c r="M280">
        <v>30</v>
      </c>
      <c r="N280" s="63">
        <f t="shared" si="19"/>
        <v>750</v>
      </c>
      <c r="O280" s="3">
        <f>MROUND((ARTICULOS_GOLOMAX[[#This Row],[Precio]]/0.6),50)</f>
        <v>1250</v>
      </c>
      <c r="P280" t="s">
        <v>8693</v>
      </c>
      <c r="Q280">
        <v>2</v>
      </c>
      <c r="R280" s="42">
        <v>12</v>
      </c>
      <c r="S280" t="s">
        <v>17</v>
      </c>
      <c r="T280" t="s">
        <v>27</v>
      </c>
      <c r="U280" t="s">
        <v>92</v>
      </c>
      <c r="V280" t="s">
        <v>10222</v>
      </c>
      <c r="W280" t="s">
        <v>8692</v>
      </c>
      <c r="X280">
        <v>1</v>
      </c>
      <c r="Y280">
        <v>0</v>
      </c>
      <c r="AB280" s="80" t="e">
        <f>ARTICULOS_OSLE[[#This Row],[Costo]]*ARTICULOS_OSLE[[#This Row],[Pedido]]</f>
        <v>#VALUE!</v>
      </c>
      <c r="AH280" s="2" t="e">
        <f>IF(AND(ARTICULOS_OSLE[[#This Row],[FechaVenc]]=0,ARTICULOS_OSLE[[#This Row],[DiasVenc]]=0),"",ARTICULOS_OSLE[[#This Row],[FechaVenc]]-ARTICULOS_OSLE[[#This Row],[DiasVenc]])</f>
        <v>#VALUE!</v>
      </c>
      <c r="AO280" s="30" t="s">
        <v>8689</v>
      </c>
    </row>
    <row r="281" spans="1:41" ht="15" hidden="1" customHeight="1" x14ac:dyDescent="0.25">
      <c r="A281" s="1" t="s">
        <v>10225</v>
      </c>
      <c r="B281" s="30">
        <v>1405337</v>
      </c>
      <c r="C281" t="str">
        <f t="shared" si="20"/>
        <v>KIO94001265</v>
      </c>
      <c r="D281" t="s">
        <v>8689</v>
      </c>
      <c r="E281" s="1" t="s">
        <v>10226</v>
      </c>
      <c r="F281" s="61">
        <f>VLOOKUP(ARTICULOS_GOLOMAX[[#This Row],[CodigoProveedor]],'PRECIOS GOLOMAX'!$A$1:$C$10000,3,FALSE)</f>
        <v>532.47</v>
      </c>
      <c r="G281" s="3">
        <v>0</v>
      </c>
      <c r="H281" s="3">
        <v>0</v>
      </c>
      <c r="I281">
        <v>1</v>
      </c>
      <c r="J281">
        <v>1</v>
      </c>
      <c r="K281" s="4"/>
      <c r="L281" s="65">
        <f>((ARTICULOS_GOLOMAX[[#This Row],[P. Compra]]*(1+ARTICULOS_GOLOMAX[[#This Row],[IVA]]%))/ARTICULOS_GOLOMAX[[#This Row],[UnidFact]])+ARTICULOS_GOLOMAX[[#This Row],[CostoFlete]]</f>
        <v>532.47</v>
      </c>
      <c r="M281">
        <v>30</v>
      </c>
      <c r="N281" s="63">
        <f t="shared" si="19"/>
        <v>750</v>
      </c>
      <c r="O281" s="3">
        <f>MROUND((ARTICULOS_GOLOMAX[[#This Row],[Precio]]/0.6),50)</f>
        <v>1250</v>
      </c>
      <c r="P281" t="s">
        <v>8693</v>
      </c>
      <c r="Q281">
        <v>2</v>
      </c>
      <c r="R281" s="42">
        <v>12</v>
      </c>
      <c r="S281" t="s">
        <v>17</v>
      </c>
      <c r="T281" t="s">
        <v>27</v>
      </c>
      <c r="U281" t="s">
        <v>92</v>
      </c>
      <c r="V281" t="s">
        <v>10222</v>
      </c>
      <c r="W281" t="s">
        <v>8692</v>
      </c>
      <c r="X281">
        <v>1</v>
      </c>
      <c r="Y281">
        <v>0</v>
      </c>
      <c r="AB281" s="80" t="e">
        <f>ARTICULOS_OSLE[[#This Row],[Costo]]*ARTICULOS_OSLE[[#This Row],[Pedido]]</f>
        <v>#VALUE!</v>
      </c>
      <c r="AH281" s="2" t="e">
        <f>IF(AND(ARTICULOS_OSLE[[#This Row],[FechaVenc]]=0,ARTICULOS_OSLE[[#This Row],[DiasVenc]]=0),"",ARTICULOS_OSLE[[#This Row],[FechaVenc]]-ARTICULOS_OSLE[[#This Row],[DiasVenc]])</f>
        <v>#VALUE!</v>
      </c>
      <c r="AO281" s="30" t="s">
        <v>8689</v>
      </c>
    </row>
    <row r="282" spans="1:41" ht="15" hidden="1" customHeight="1" x14ac:dyDescent="0.25">
      <c r="A282" s="1" t="s">
        <v>10227</v>
      </c>
      <c r="B282" s="30">
        <v>1405362</v>
      </c>
      <c r="C282" t="str">
        <f t="shared" si="20"/>
        <v>KIO78600027</v>
      </c>
      <c r="D282" t="s">
        <v>8689</v>
      </c>
      <c r="E282" s="1" t="s">
        <v>10228</v>
      </c>
      <c r="F282" s="61">
        <f>VLOOKUP(ARTICULOS_GOLOMAX[[#This Row],[CodigoProveedor]],'PRECIOS GOLOMAX'!$A$1:$C$10000,3,FALSE)</f>
        <v>532.47</v>
      </c>
      <c r="G282" s="3">
        <v>0</v>
      </c>
      <c r="H282" s="3">
        <v>0</v>
      </c>
      <c r="I282">
        <v>1</v>
      </c>
      <c r="J282">
        <v>1</v>
      </c>
      <c r="K282" s="4"/>
      <c r="L282" s="65">
        <f>((ARTICULOS_GOLOMAX[[#This Row],[P. Compra]]*(1+ARTICULOS_GOLOMAX[[#This Row],[IVA]]%))/ARTICULOS_GOLOMAX[[#This Row],[UnidFact]])+ARTICULOS_GOLOMAX[[#This Row],[CostoFlete]]</f>
        <v>532.47</v>
      </c>
      <c r="M282">
        <v>30</v>
      </c>
      <c r="N282" s="63">
        <f t="shared" si="19"/>
        <v>750</v>
      </c>
      <c r="O282" s="3">
        <f>MROUND((ARTICULOS_GOLOMAX[[#This Row],[Precio]]/0.6),50)</f>
        <v>1250</v>
      </c>
      <c r="P282" t="s">
        <v>8693</v>
      </c>
      <c r="Q282">
        <v>2</v>
      </c>
      <c r="R282" s="42">
        <v>12</v>
      </c>
      <c r="S282" t="s">
        <v>17</v>
      </c>
      <c r="T282" t="s">
        <v>27</v>
      </c>
      <c r="U282" t="s">
        <v>92</v>
      </c>
      <c r="V282" t="s">
        <v>10222</v>
      </c>
      <c r="W282" t="s">
        <v>8692</v>
      </c>
      <c r="X282">
        <v>1</v>
      </c>
      <c r="Y282">
        <v>1</v>
      </c>
      <c r="AB282" s="80" t="e">
        <f>ARTICULOS_OSLE[[#This Row],[Costo]]*ARTICULOS_OSLE[[#This Row],[Pedido]]</f>
        <v>#VALUE!</v>
      </c>
      <c r="AH282" s="2" t="e">
        <f>IF(AND(ARTICULOS_OSLE[[#This Row],[FechaVenc]]=0,ARTICULOS_OSLE[[#This Row],[DiasVenc]]=0),"",ARTICULOS_OSLE[[#This Row],[FechaVenc]]-ARTICULOS_OSLE[[#This Row],[DiasVenc]])</f>
        <v>#VALUE!</v>
      </c>
      <c r="AO282" s="30" t="s">
        <v>8689</v>
      </c>
    </row>
    <row r="283" spans="1:41" ht="15.75" hidden="1" x14ac:dyDescent="0.25">
      <c r="A283" s="1" t="s">
        <v>10229</v>
      </c>
      <c r="B283">
        <v>1242815</v>
      </c>
      <c r="C283" t="str">
        <f t="shared" si="20"/>
        <v>KIO47089408</v>
      </c>
      <c r="D283" t="s">
        <v>8689</v>
      </c>
      <c r="E283" s="1" t="s">
        <v>10230</v>
      </c>
      <c r="F283" s="61">
        <f>VLOOKUP(ARTICULOS_GOLOMAX[[#This Row],[CodigoProveedor]],'PRECIOS GOLOMAX'!$A$1:$C$10000,3,FALSE)</f>
        <v>13071.78</v>
      </c>
      <c r="G283" s="3">
        <v>0</v>
      </c>
      <c r="H283" s="3">
        <v>0</v>
      </c>
      <c r="I283">
        <v>8</v>
      </c>
      <c r="J283">
        <v>8</v>
      </c>
      <c r="K283" s="4"/>
      <c r="L283" s="65">
        <f>((ARTICULOS_GOLOMAX[[#This Row],[P. Compra]]*(1+ARTICULOS_GOLOMAX[[#This Row],[IVA]]%))/ARTICULOS_GOLOMAX[[#This Row],[UnidFact]])+ARTICULOS_GOLOMAX[[#This Row],[CostoFlete]]</f>
        <v>1633.9725000000001</v>
      </c>
      <c r="M283">
        <v>30</v>
      </c>
      <c r="N283" s="63">
        <f t="shared" si="19"/>
        <v>2350</v>
      </c>
      <c r="O283" s="3">
        <f>MROUND((ARTICULOS_GOLOMAX[[#This Row],[Precio]]/0.6),50)</f>
        <v>3900</v>
      </c>
      <c r="P283" t="s">
        <v>8693</v>
      </c>
      <c r="Q283">
        <v>2</v>
      </c>
      <c r="R283" s="42">
        <v>8</v>
      </c>
      <c r="S283" t="s">
        <v>17</v>
      </c>
      <c r="T283" t="s">
        <v>27</v>
      </c>
      <c r="U283" t="s">
        <v>92</v>
      </c>
      <c r="V283" t="s">
        <v>9792</v>
      </c>
      <c r="W283" t="s">
        <v>8692</v>
      </c>
      <c r="X283">
        <v>1</v>
      </c>
      <c r="Y283">
        <v>7</v>
      </c>
      <c r="AB283" s="80" t="e">
        <f>ARTICULOS_OSLE[[#This Row],[Costo]]*ARTICULOS_OSLE[[#This Row],[Pedido]]</f>
        <v>#VALUE!</v>
      </c>
      <c r="AH283" s="2" t="e">
        <f>IF(AND(ARTICULOS_OSLE[[#This Row],[FechaVenc]]=0,ARTICULOS_OSLE[[#This Row],[DiasVenc]]=0),"",ARTICULOS_OSLE[[#This Row],[FechaVenc]]-ARTICULOS_OSLE[[#This Row],[DiasVenc]])</f>
        <v>#VALUE!</v>
      </c>
      <c r="AO283" s="30" t="s">
        <v>8689</v>
      </c>
    </row>
    <row r="284" spans="1:41" ht="15.75" hidden="1" x14ac:dyDescent="0.25">
      <c r="A284" s="1" t="s">
        <v>10252</v>
      </c>
      <c r="B284" s="30">
        <v>1427300</v>
      </c>
      <c r="C284" t="str">
        <f t="shared" si="20"/>
        <v>KIO44150555</v>
      </c>
      <c r="D284" t="s">
        <v>8689</v>
      </c>
      <c r="E284" s="1" t="s">
        <v>10253</v>
      </c>
      <c r="F284" s="61">
        <f>VLOOKUP(ARTICULOS_GOLOMAX[[#This Row],[CodigoProveedor]],'PRECIOS GOLOMAX'!$A$1:$C$10000,3,FALSE)</f>
        <v>370.83</v>
      </c>
      <c r="G284" s="3">
        <v>0</v>
      </c>
      <c r="H284" s="3">
        <v>0</v>
      </c>
      <c r="I284">
        <v>1</v>
      </c>
      <c r="J284">
        <v>1</v>
      </c>
      <c r="K284" s="4"/>
      <c r="L284" s="65">
        <f>((ARTICULOS_GOLOMAX[[#This Row],[P. Compra]]*(1+ARTICULOS_GOLOMAX[[#This Row],[IVA]]%))/ARTICULOS_GOLOMAX[[#This Row],[UnidFact]])+ARTICULOS_GOLOMAX[[#This Row],[CostoFlete]]</f>
        <v>370.83</v>
      </c>
      <c r="M284">
        <v>30</v>
      </c>
      <c r="N284" s="63">
        <f t="shared" si="19"/>
        <v>550</v>
      </c>
      <c r="O284" s="3">
        <f>MROUND((ARTICULOS_GOLOMAX[[#This Row],[Precio]]/0.6),50)</f>
        <v>900</v>
      </c>
      <c r="P284" t="s">
        <v>8693</v>
      </c>
      <c r="Q284">
        <v>2</v>
      </c>
      <c r="R284" s="42">
        <v>22</v>
      </c>
      <c r="S284" t="s">
        <v>17</v>
      </c>
      <c r="T284" t="s">
        <v>27</v>
      </c>
      <c r="U284" t="s">
        <v>102</v>
      </c>
      <c r="V284" t="s">
        <v>10254</v>
      </c>
      <c r="W284" t="s">
        <v>8692</v>
      </c>
      <c r="X284">
        <v>1</v>
      </c>
      <c r="Y284">
        <v>5</v>
      </c>
      <c r="AB284" s="80" t="e">
        <f>ARTICULOS_OSLE[[#This Row],[Costo]]*ARTICULOS_OSLE[[#This Row],[Pedido]]</f>
        <v>#VALUE!</v>
      </c>
      <c r="AH284" s="2" t="e">
        <f>IF(AND(ARTICULOS_OSLE[[#This Row],[FechaVenc]]=0,ARTICULOS_OSLE[[#This Row],[DiasVenc]]=0),"",ARTICULOS_OSLE[[#This Row],[FechaVenc]]-ARTICULOS_OSLE[[#This Row],[DiasVenc]])</f>
        <v>#VALUE!</v>
      </c>
      <c r="AO284" s="30" t="s">
        <v>8689</v>
      </c>
    </row>
    <row r="285" spans="1:41" ht="15.75" hidden="1" x14ac:dyDescent="0.25">
      <c r="A285" s="1" t="s">
        <v>10255</v>
      </c>
      <c r="B285" s="30">
        <v>1427100</v>
      </c>
      <c r="C285" t="str">
        <f t="shared" si="20"/>
        <v>KIO77965233</v>
      </c>
      <c r="D285" t="s">
        <v>8689</v>
      </c>
      <c r="E285" s="1" t="s">
        <v>10256</v>
      </c>
      <c r="F285" s="61">
        <f>VLOOKUP(ARTICULOS_GOLOMAX[[#This Row],[CodigoProveedor]],'PRECIOS GOLOMAX'!$A$1:$C$10000,3,FALSE)</f>
        <v>156.51</v>
      </c>
      <c r="G285" s="3">
        <v>0</v>
      </c>
      <c r="H285" s="3">
        <v>0</v>
      </c>
      <c r="I285">
        <v>1</v>
      </c>
      <c r="J285">
        <v>1</v>
      </c>
      <c r="K285" s="4"/>
      <c r="L285" s="65">
        <f>((ARTICULOS_GOLOMAX[[#This Row],[P. Compra]]*(1+ARTICULOS_GOLOMAX[[#This Row],[IVA]]%))/ARTICULOS_GOLOMAX[[#This Row],[UnidFact]])+ARTICULOS_GOLOMAX[[#This Row],[CostoFlete]]</f>
        <v>156.51</v>
      </c>
      <c r="M285">
        <v>30</v>
      </c>
      <c r="N285" s="63">
        <f t="shared" si="19"/>
        <v>200</v>
      </c>
      <c r="O285" s="3">
        <f>MROUND((ARTICULOS_GOLOMAX[[#This Row],[Precio]]/0.6),50)</f>
        <v>350</v>
      </c>
      <c r="P285" t="s">
        <v>8693</v>
      </c>
      <c r="Q285">
        <v>5</v>
      </c>
      <c r="R285" s="42">
        <v>35</v>
      </c>
      <c r="S285" t="s">
        <v>17</v>
      </c>
      <c r="T285" t="s">
        <v>27</v>
      </c>
      <c r="U285" t="s">
        <v>102</v>
      </c>
      <c r="V285" t="s">
        <v>10254</v>
      </c>
      <c r="W285" t="s">
        <v>8692</v>
      </c>
      <c r="X285">
        <v>1</v>
      </c>
      <c r="Y285">
        <v>17</v>
      </c>
      <c r="AB285" s="80" t="e">
        <f>ARTICULOS_OSLE[[#This Row],[Costo]]*ARTICULOS_OSLE[[#This Row],[Pedido]]</f>
        <v>#VALUE!</v>
      </c>
      <c r="AH285" s="2" t="e">
        <f>IF(AND(ARTICULOS_OSLE[[#This Row],[FechaVenc]]=0,ARTICULOS_OSLE[[#This Row],[DiasVenc]]=0),"",ARTICULOS_OSLE[[#This Row],[FechaVenc]]-ARTICULOS_OSLE[[#This Row],[DiasVenc]])</f>
        <v>#VALUE!</v>
      </c>
      <c r="AO285" s="30" t="s">
        <v>8689</v>
      </c>
    </row>
    <row r="286" spans="1:41" ht="15" hidden="1" customHeight="1" x14ac:dyDescent="0.25">
      <c r="A286" s="1" t="s">
        <v>10257</v>
      </c>
      <c r="B286" s="30">
        <v>1427300</v>
      </c>
      <c r="C286" t="str">
        <f t="shared" si="20"/>
        <v>KIO44150777</v>
      </c>
      <c r="D286" t="s">
        <v>8689</v>
      </c>
      <c r="E286" s="1" t="s">
        <v>10258</v>
      </c>
      <c r="F286" s="61">
        <f>VLOOKUP(ARTICULOS_GOLOMAX[[#This Row],[CodigoProveedor]],'PRECIOS GOLOMAX'!$A$1:$C$10000,3,FALSE)</f>
        <v>370.83</v>
      </c>
      <c r="G286" s="3">
        <v>0</v>
      </c>
      <c r="H286" s="3">
        <v>0</v>
      </c>
      <c r="I286">
        <v>1</v>
      </c>
      <c r="J286">
        <v>1</v>
      </c>
      <c r="K286" s="4"/>
      <c r="L286" s="65">
        <f>((ARTICULOS_GOLOMAX[[#This Row],[P. Compra]]*(1+ARTICULOS_GOLOMAX[[#This Row],[IVA]]%))/ARTICULOS_GOLOMAX[[#This Row],[UnidFact]])+ARTICULOS_GOLOMAX[[#This Row],[CostoFlete]]</f>
        <v>370.83</v>
      </c>
      <c r="M286">
        <v>30</v>
      </c>
      <c r="N286" s="63">
        <f t="shared" si="19"/>
        <v>550</v>
      </c>
      <c r="O286" s="3">
        <f>MROUND((ARTICULOS_GOLOMAX[[#This Row],[Precio]]/0.6),50)</f>
        <v>900</v>
      </c>
      <c r="P286" t="s">
        <v>8693</v>
      </c>
      <c r="Q286">
        <v>5</v>
      </c>
      <c r="R286" s="42">
        <v>35</v>
      </c>
      <c r="S286" t="s">
        <v>17</v>
      </c>
      <c r="T286" t="s">
        <v>27</v>
      </c>
      <c r="U286" t="s">
        <v>102</v>
      </c>
      <c r="V286" t="s">
        <v>10254</v>
      </c>
      <c r="W286" t="s">
        <v>8692</v>
      </c>
      <c r="X286">
        <v>1</v>
      </c>
      <c r="Y286">
        <v>0</v>
      </c>
      <c r="AB286" s="80" t="e">
        <f>ARTICULOS_OSLE[[#This Row],[Costo]]*ARTICULOS_OSLE[[#This Row],[Pedido]]</f>
        <v>#VALUE!</v>
      </c>
      <c r="AH286" s="2" t="e">
        <f>IF(AND(ARTICULOS_OSLE[[#This Row],[FechaVenc]]=0,ARTICULOS_OSLE[[#This Row],[DiasVenc]]=0),"",ARTICULOS_OSLE[[#This Row],[FechaVenc]]-ARTICULOS_OSLE[[#This Row],[DiasVenc]])</f>
        <v>#VALUE!</v>
      </c>
      <c r="AO286" s="30" t="s">
        <v>8689</v>
      </c>
    </row>
    <row r="287" spans="1:41" ht="15" hidden="1" customHeight="1" x14ac:dyDescent="0.25">
      <c r="A287" s="1" t="s">
        <v>9782</v>
      </c>
      <c r="B287" s="30">
        <v>5221023</v>
      </c>
      <c r="C287" t="str">
        <f t="shared" si="20"/>
        <v>PER77942647</v>
      </c>
      <c r="D287" t="s">
        <v>8689</v>
      </c>
      <c r="E287" s="1" t="s">
        <v>9783</v>
      </c>
      <c r="F287" s="61">
        <f>VLOOKUP(ARTICULOS_GOLOMAX[[#This Row],[CodigoProveedor]],'PRECIOS GOLOMAX'!$A$1:$C$10000,3,FALSE)</f>
        <v>3194.02</v>
      </c>
      <c r="G287" s="3">
        <v>0</v>
      </c>
      <c r="H287" s="3">
        <v>0</v>
      </c>
      <c r="I287">
        <v>24</v>
      </c>
      <c r="J287">
        <v>24</v>
      </c>
      <c r="K287" s="31"/>
      <c r="L287" s="65">
        <f>((ARTICULOS_GOLOMAX[[#This Row],[P. Compra]]*(1+ARTICULOS_GOLOMAX[[#This Row],[IVA]]%))/ARTICULOS_GOLOMAX[[#This Row],[UnidFact]])+ARTICULOS_GOLOMAX[[#This Row],[CostoFlete]]</f>
        <v>133.08416666666668</v>
      </c>
      <c r="M287">
        <v>50</v>
      </c>
      <c r="N287" s="63">
        <f t="shared" si="19"/>
        <v>250</v>
      </c>
      <c r="O287" s="3">
        <f>MROUND((ARTICULOS_GOLOMAX[[#This Row],[Precio]]/0.6),50)</f>
        <v>400</v>
      </c>
      <c r="P287" t="s">
        <v>8693</v>
      </c>
      <c r="Q287">
        <v>6</v>
      </c>
      <c r="R287" s="42">
        <f>ARTICULOS_GOLOMAX[[#This Row],[Bulto]]+ARTICULOS_GOLOMAX[[#This Row],[Minimo]]</f>
        <v>30</v>
      </c>
      <c r="S287" t="s">
        <v>17</v>
      </c>
      <c r="T287" t="s">
        <v>33</v>
      </c>
      <c r="U287" t="s">
        <v>16</v>
      </c>
      <c r="V287" t="s">
        <v>9784</v>
      </c>
      <c r="W287" t="s">
        <v>8692</v>
      </c>
      <c r="X287">
        <v>1</v>
      </c>
      <c r="Y287">
        <v>2</v>
      </c>
      <c r="AB287" s="80" t="e">
        <f>ARTICULOS_OSLE[[#This Row],[Costo]]*ARTICULOS_OSLE[[#This Row],[Pedido]]</f>
        <v>#VALUE!</v>
      </c>
      <c r="AH287" s="2" t="e">
        <f>IF(AND(ARTICULOS_OSLE[[#This Row],[FechaVenc]]=0,ARTICULOS_OSLE[[#This Row],[DiasVenc]]=0),"",ARTICULOS_OSLE[[#This Row],[FechaVenc]]-ARTICULOS_OSLE[[#This Row],[DiasVenc]])</f>
        <v>#VALUE!</v>
      </c>
      <c r="AO287" s="30" t="s">
        <v>8689</v>
      </c>
    </row>
    <row r="288" spans="1:41" ht="15" hidden="1" customHeight="1" x14ac:dyDescent="0.25">
      <c r="A288" s="1" t="s">
        <v>9785</v>
      </c>
      <c r="B288" s="30">
        <v>5521023</v>
      </c>
      <c r="C288" t="str">
        <f t="shared" si="20"/>
        <v>PER77942630</v>
      </c>
      <c r="D288" t="s">
        <v>8689</v>
      </c>
      <c r="E288" s="1" t="s">
        <v>9786</v>
      </c>
      <c r="F288" s="61">
        <f>VLOOKUP(ARTICULOS_GOLOMAX[[#This Row],[CodigoProveedor]],'PRECIOS GOLOMAX'!$A$1:$C$10000,3,FALSE)</f>
        <v>3194.02</v>
      </c>
      <c r="G288" s="3">
        <v>0</v>
      </c>
      <c r="H288" s="3">
        <v>0</v>
      </c>
      <c r="I288">
        <v>24</v>
      </c>
      <c r="J288">
        <v>24</v>
      </c>
      <c r="K288" s="31"/>
      <c r="L288" s="65">
        <f>((ARTICULOS_GOLOMAX[[#This Row],[P. Compra]]*(1+ARTICULOS_GOLOMAX[[#This Row],[IVA]]%))/ARTICULOS_GOLOMAX[[#This Row],[UnidFact]])+ARTICULOS_GOLOMAX[[#This Row],[CostoFlete]]</f>
        <v>133.08416666666668</v>
      </c>
      <c r="M288">
        <v>50</v>
      </c>
      <c r="N288" s="63">
        <f t="shared" si="19"/>
        <v>250</v>
      </c>
      <c r="O288" s="3">
        <f>MROUND((ARTICULOS_GOLOMAX[[#This Row],[Precio]]/0.6),50)</f>
        <v>400</v>
      </c>
      <c r="P288" t="s">
        <v>8693</v>
      </c>
      <c r="Q288">
        <v>6</v>
      </c>
      <c r="R288" s="42">
        <f>ARTICULOS_GOLOMAX[[#This Row],[Bulto]]+ARTICULOS_GOLOMAX[[#This Row],[Minimo]]</f>
        <v>30</v>
      </c>
      <c r="S288" t="s">
        <v>17</v>
      </c>
      <c r="T288" t="s">
        <v>33</v>
      </c>
      <c r="U288" t="s">
        <v>16</v>
      </c>
      <c r="V288" t="s">
        <v>9784</v>
      </c>
      <c r="W288" t="s">
        <v>8692</v>
      </c>
      <c r="X288">
        <v>1</v>
      </c>
      <c r="Y288">
        <v>12</v>
      </c>
      <c r="AB288" s="80" t="e">
        <f>ARTICULOS_OSLE[[#This Row],[Costo]]*ARTICULOS_OSLE[[#This Row],[Pedido]]</f>
        <v>#VALUE!</v>
      </c>
      <c r="AH288" s="2" t="e">
        <f>IF(AND(ARTICULOS_OSLE[[#This Row],[FechaVenc]]=0,ARTICULOS_OSLE[[#This Row],[DiasVenc]]=0),"",ARTICULOS_OSLE[[#This Row],[FechaVenc]]-ARTICULOS_OSLE[[#This Row],[DiasVenc]])</f>
        <v>#VALUE!</v>
      </c>
      <c r="AO288" s="30" t="s">
        <v>8689</v>
      </c>
    </row>
    <row r="289" spans="1:41" ht="15.75" hidden="1" x14ac:dyDescent="0.25">
      <c r="A289" s="24" t="s">
        <v>11781</v>
      </c>
      <c r="B289" s="30">
        <v>6281078</v>
      </c>
      <c r="C289" t="str">
        <f t="shared" si="20"/>
        <v>PER19001970</v>
      </c>
      <c r="D289" t="s">
        <v>8689</v>
      </c>
      <c r="E289" s="24" t="s">
        <v>9947</v>
      </c>
      <c r="F289" s="61">
        <f>VLOOKUP(ARTICULOS_GOLOMAX[[#This Row],[CodigoProveedor]],'PRECIOS GOLOMAX'!$A$1:$C$10000,3,FALSE)</f>
        <v>1462.32</v>
      </c>
      <c r="G289" s="3">
        <v>0</v>
      </c>
      <c r="H289" s="3">
        <v>0</v>
      </c>
      <c r="I289">
        <v>1</v>
      </c>
      <c r="J289">
        <v>1</v>
      </c>
      <c r="K289" s="4"/>
      <c r="L289" s="65">
        <f>((ARTICULOS_GOLOMAX[[#This Row],[P. Compra]]*(1+ARTICULOS_GOLOMAX[[#This Row],[IVA]]%))/ARTICULOS_GOLOMAX[[#This Row],[UnidFact]])+ARTICULOS_GOLOMAX[[#This Row],[CostoFlete]]</f>
        <v>1462.32</v>
      </c>
      <c r="M289">
        <v>30</v>
      </c>
      <c r="N289" s="63">
        <f t="shared" si="19"/>
        <v>2100</v>
      </c>
      <c r="O289" s="3">
        <f>MROUND((ARTICULOS_GOLOMAX[[#This Row],[Precio]]/0.6),50)</f>
        <v>3500</v>
      </c>
      <c r="P289" t="s">
        <v>8693</v>
      </c>
      <c r="Q289">
        <v>3</v>
      </c>
      <c r="R289" s="42">
        <v>6</v>
      </c>
      <c r="S289" t="s">
        <v>17</v>
      </c>
      <c r="T289" t="s">
        <v>33</v>
      </c>
      <c r="U289" t="s">
        <v>45</v>
      </c>
      <c r="V289" t="s">
        <v>9948</v>
      </c>
      <c r="W289" t="s">
        <v>8692</v>
      </c>
      <c r="X289">
        <v>1</v>
      </c>
      <c r="Y289">
        <v>6</v>
      </c>
      <c r="AB289" s="80" t="e">
        <f>ARTICULOS_OSLE[[#This Row],[Costo]]*ARTICULOS_OSLE[[#This Row],[Pedido]]</f>
        <v>#VALUE!</v>
      </c>
      <c r="AH289" s="2" t="e">
        <f>IF(AND(ARTICULOS_OSLE[[#This Row],[FechaVenc]]=0,ARTICULOS_OSLE[[#This Row],[DiasVenc]]=0),"",ARTICULOS_OSLE[[#This Row],[FechaVenc]]-ARTICULOS_OSLE[[#This Row],[DiasVenc]])</f>
        <v>#VALUE!</v>
      </c>
      <c r="AO289" s="30" t="s">
        <v>8689</v>
      </c>
    </row>
    <row r="290" spans="1:41" ht="15.75" hidden="1" x14ac:dyDescent="0.25">
      <c r="A290" s="24" t="s">
        <v>12581</v>
      </c>
      <c r="B290" s="30">
        <v>6281003</v>
      </c>
      <c r="C290" t="str">
        <f t="shared" si="20"/>
        <v>PER19200069</v>
      </c>
      <c r="D290" t="s">
        <v>8689</v>
      </c>
      <c r="E290" s="24" t="s">
        <v>12582</v>
      </c>
      <c r="F290" s="61">
        <f>VLOOKUP(ARTICULOS_GOLOMAX[[#This Row],[CodigoProveedor]],'PRECIOS GOLOMAX'!$A$1:$C$10000,3,FALSE)</f>
        <v>1462.32</v>
      </c>
      <c r="G290" s="3">
        <v>0</v>
      </c>
      <c r="H290" s="3">
        <v>0</v>
      </c>
      <c r="I290">
        <v>1</v>
      </c>
      <c r="J290">
        <v>1</v>
      </c>
      <c r="K290" s="4"/>
      <c r="L290" s="65">
        <f>((ARTICULOS_GOLOMAX[[#This Row],[P. Compra]]*(1+ARTICULOS_GOLOMAX[[#This Row],[IVA]]%))/ARTICULOS_GOLOMAX[[#This Row],[UnidFact]])+ARTICULOS_GOLOMAX[[#This Row],[CostoFlete]]</f>
        <v>1462.32</v>
      </c>
      <c r="M290">
        <v>30</v>
      </c>
      <c r="N290" s="63">
        <f t="shared" si="19"/>
        <v>2100</v>
      </c>
      <c r="O290" s="3">
        <f>MROUND((ARTICULOS_GOLOMAX[[#This Row],[Precio]]/0.6),50)</f>
        <v>3500</v>
      </c>
      <c r="P290" t="s">
        <v>8693</v>
      </c>
      <c r="Q290">
        <v>3</v>
      </c>
      <c r="R290" s="42">
        <v>6</v>
      </c>
      <c r="S290" t="s">
        <v>17</v>
      </c>
      <c r="T290" t="s">
        <v>33</v>
      </c>
      <c r="U290" t="s">
        <v>45</v>
      </c>
      <c r="V290" t="s">
        <v>9948</v>
      </c>
      <c r="W290" t="s">
        <v>8692</v>
      </c>
      <c r="X290">
        <v>1</v>
      </c>
      <c r="Y290">
        <v>6</v>
      </c>
      <c r="AB290" s="80" t="e">
        <f>ARTICULOS_OSLE[[#This Row],[Costo]]*ARTICULOS_OSLE[[#This Row],[Pedido]]</f>
        <v>#VALUE!</v>
      </c>
      <c r="AH290" s="2" t="e">
        <f>IF(AND(ARTICULOS_OSLE[[#This Row],[FechaVenc]]=0,ARTICULOS_OSLE[[#This Row],[DiasVenc]]=0),"",ARTICULOS_OSLE[[#This Row],[FechaVenc]]-ARTICULOS_OSLE[[#This Row],[DiasVenc]])</f>
        <v>#VALUE!</v>
      </c>
      <c r="AO290" s="30" t="s">
        <v>8689</v>
      </c>
    </row>
    <row r="291" spans="1:41" ht="15.75" hidden="1" x14ac:dyDescent="0.25">
      <c r="A291" s="24" t="s">
        <v>9949</v>
      </c>
      <c r="B291" s="30">
        <v>6281044</v>
      </c>
      <c r="C291" t="str">
        <f t="shared" si="20"/>
        <v>PER19200045</v>
      </c>
      <c r="D291" t="s">
        <v>8689</v>
      </c>
      <c r="E291" s="24" t="s">
        <v>9950</v>
      </c>
      <c r="F291" s="61">
        <f>VLOOKUP(ARTICULOS_GOLOMAX[[#This Row],[CodigoProveedor]],'PRECIOS GOLOMAX'!$A$1:$C$10000,3,FALSE)</f>
        <v>1462.32</v>
      </c>
      <c r="G291" s="3">
        <v>0</v>
      </c>
      <c r="H291" s="3">
        <v>0</v>
      </c>
      <c r="I291">
        <v>1</v>
      </c>
      <c r="J291">
        <v>1</v>
      </c>
      <c r="K291" s="4"/>
      <c r="L291" s="65">
        <f>((ARTICULOS_GOLOMAX[[#This Row],[P. Compra]]*(1+ARTICULOS_GOLOMAX[[#This Row],[IVA]]%))/ARTICULOS_GOLOMAX[[#This Row],[UnidFact]])+ARTICULOS_GOLOMAX[[#This Row],[CostoFlete]]</f>
        <v>1462.32</v>
      </c>
      <c r="M291">
        <v>30</v>
      </c>
      <c r="N291" s="63">
        <f t="shared" si="19"/>
        <v>2100</v>
      </c>
      <c r="O291" s="3">
        <f>MROUND((ARTICULOS_GOLOMAX[[#This Row],[Precio]]/0.6),50)</f>
        <v>3500</v>
      </c>
      <c r="P291" t="s">
        <v>8693</v>
      </c>
      <c r="Q291">
        <v>3</v>
      </c>
      <c r="R291" s="42">
        <v>6</v>
      </c>
      <c r="S291" t="s">
        <v>17</v>
      </c>
      <c r="T291" t="s">
        <v>33</v>
      </c>
      <c r="U291" t="s">
        <v>45</v>
      </c>
      <c r="V291" t="s">
        <v>9948</v>
      </c>
      <c r="W291" t="s">
        <v>8692</v>
      </c>
      <c r="X291">
        <v>1</v>
      </c>
      <c r="Y291">
        <v>2</v>
      </c>
      <c r="AB291" s="80" t="e">
        <f>ARTICULOS_OSLE[[#This Row],[Costo]]*ARTICULOS_OSLE[[#This Row],[Pedido]]</f>
        <v>#VALUE!</v>
      </c>
      <c r="AH291" s="2" t="e">
        <f>IF(AND(ARTICULOS_OSLE[[#This Row],[FechaVenc]]=0,ARTICULOS_OSLE[[#This Row],[DiasVenc]]=0),"",ARTICULOS_OSLE[[#This Row],[FechaVenc]]-ARTICULOS_OSLE[[#This Row],[DiasVenc]])</f>
        <v>#VALUE!</v>
      </c>
      <c r="AO291" s="30" t="s">
        <v>8689</v>
      </c>
    </row>
    <row r="292" spans="1:41" ht="15.75" hidden="1" x14ac:dyDescent="0.25">
      <c r="A292" s="1" t="s">
        <v>10086</v>
      </c>
      <c r="B292">
        <v>5991200</v>
      </c>
      <c r="C292" t="str">
        <f t="shared" si="20"/>
        <v>PER03010743</v>
      </c>
      <c r="D292" t="s">
        <v>8689</v>
      </c>
      <c r="E292" s="1" t="s">
        <v>10087</v>
      </c>
      <c r="F292" s="61">
        <f>VLOOKUP(ARTICULOS_GOLOMAX[[#This Row],[CodigoProveedor]],'PRECIOS GOLOMAX'!$A$1:$C$10000,3,FALSE)</f>
        <v>393.8</v>
      </c>
      <c r="G292" s="3">
        <v>0</v>
      </c>
      <c r="H292" s="3">
        <v>0</v>
      </c>
      <c r="I292">
        <v>1</v>
      </c>
      <c r="J292">
        <v>1</v>
      </c>
      <c r="K292" s="4"/>
      <c r="L292" s="65">
        <f>((ARTICULOS_GOLOMAX[[#This Row],[P. Compra]]*(1+ARTICULOS_GOLOMAX[[#This Row],[IVA]]%))/ARTICULOS_GOLOMAX[[#This Row],[UnidFact]])+ARTICULOS_GOLOMAX[[#This Row],[CostoFlete]]</f>
        <v>393.8</v>
      </c>
      <c r="M292">
        <v>40</v>
      </c>
      <c r="N292" s="63">
        <f t="shared" si="19"/>
        <v>650</v>
      </c>
      <c r="O292" s="3">
        <f>MROUND((ARTICULOS_GOLOMAX[[#This Row],[Precio]]/0.6),50)</f>
        <v>1100</v>
      </c>
      <c r="P292" t="s">
        <v>8693</v>
      </c>
      <c r="Q292">
        <v>3</v>
      </c>
      <c r="R292" s="42">
        <v>15</v>
      </c>
      <c r="S292" t="s">
        <v>17</v>
      </c>
      <c r="T292" t="s">
        <v>33</v>
      </c>
      <c r="U292" t="s">
        <v>72</v>
      </c>
      <c r="V292" t="s">
        <v>10088</v>
      </c>
      <c r="W292" t="s">
        <v>8692</v>
      </c>
      <c r="X292">
        <v>1</v>
      </c>
      <c r="Y292">
        <v>12</v>
      </c>
      <c r="AB292" s="80" t="e">
        <f>ARTICULOS_OSLE[[#This Row],[Costo]]*ARTICULOS_OSLE[[#This Row],[Pedido]]</f>
        <v>#VALUE!</v>
      </c>
      <c r="AH292" s="2" t="e">
        <f>IF(AND(ARTICULOS_OSLE[[#This Row],[FechaVenc]]=0,ARTICULOS_OSLE[[#This Row],[DiasVenc]]=0),"",ARTICULOS_OSLE[[#This Row],[FechaVenc]]-ARTICULOS_OSLE[[#This Row],[DiasVenc]])</f>
        <v>#VALUE!</v>
      </c>
      <c r="AO292" s="30" t="s">
        <v>8689</v>
      </c>
    </row>
    <row r="293" spans="1:41" ht="15.75" hidden="1" x14ac:dyDescent="0.25">
      <c r="A293" s="1" t="s">
        <v>10089</v>
      </c>
      <c r="B293" s="30">
        <v>5341021</v>
      </c>
      <c r="C293" t="str">
        <f t="shared" si="20"/>
        <v>PER35198776</v>
      </c>
      <c r="D293" t="s">
        <v>8689</v>
      </c>
      <c r="E293" s="1" t="s">
        <v>10090</v>
      </c>
      <c r="F293" s="61">
        <f>VLOOKUP(ARTICULOS_GOLOMAX[[#This Row],[CodigoProveedor]],'PRECIOS GOLOMAX'!$A$1:$C$10000,3,FALSE)</f>
        <v>216.61</v>
      </c>
      <c r="G293" s="3">
        <v>0</v>
      </c>
      <c r="H293" s="3">
        <v>0</v>
      </c>
      <c r="I293">
        <v>1</v>
      </c>
      <c r="J293">
        <v>1</v>
      </c>
      <c r="K293" s="4"/>
      <c r="L293" s="65">
        <f>((ARTICULOS_GOLOMAX[[#This Row],[P. Compra]]*(1+ARTICULOS_GOLOMAX[[#This Row],[IVA]]%))/ARTICULOS_GOLOMAX[[#This Row],[UnidFact]])+ARTICULOS_GOLOMAX[[#This Row],[CostoFlete]]</f>
        <v>216.61</v>
      </c>
      <c r="M293">
        <v>30</v>
      </c>
      <c r="N293" s="63">
        <f t="shared" si="19"/>
        <v>300</v>
      </c>
      <c r="O293" s="3">
        <f>MROUND((ARTICULOS_GOLOMAX[[#This Row],[Precio]]/0.6),50)</f>
        <v>500</v>
      </c>
      <c r="P293" t="s">
        <v>8693</v>
      </c>
      <c r="Q293">
        <v>3</v>
      </c>
      <c r="R293" s="42">
        <v>15</v>
      </c>
      <c r="S293" t="s">
        <v>17</v>
      </c>
      <c r="T293" t="s">
        <v>33</v>
      </c>
      <c r="U293" t="s">
        <v>72</v>
      </c>
      <c r="V293" t="s">
        <v>10091</v>
      </c>
      <c r="W293" t="s">
        <v>8692</v>
      </c>
      <c r="X293">
        <v>1</v>
      </c>
      <c r="Y293">
        <v>5</v>
      </c>
      <c r="AB293" s="80" t="e">
        <f>ARTICULOS_OSLE[[#This Row],[Costo]]*ARTICULOS_OSLE[[#This Row],[Pedido]]</f>
        <v>#VALUE!</v>
      </c>
      <c r="AH293" s="2" t="e">
        <f>IF(AND(ARTICULOS_OSLE[[#This Row],[FechaVenc]]=0,ARTICULOS_OSLE[[#This Row],[DiasVenc]]=0),"",ARTICULOS_OSLE[[#This Row],[FechaVenc]]-ARTICULOS_OSLE[[#This Row],[DiasVenc]])</f>
        <v>#VALUE!</v>
      </c>
      <c r="AO293" s="30" t="s">
        <v>8689</v>
      </c>
    </row>
    <row r="294" spans="1:41" ht="15.75" hidden="1" x14ac:dyDescent="0.25">
      <c r="A294" s="1" t="s">
        <v>10095</v>
      </c>
      <c r="B294" s="30">
        <v>6281104</v>
      </c>
      <c r="C294" t="str">
        <f t="shared" si="20"/>
        <v>PER14090325</v>
      </c>
      <c r="D294" t="s">
        <v>8689</v>
      </c>
      <c r="E294" s="1" t="s">
        <v>10096</v>
      </c>
      <c r="F294" s="61">
        <f>VLOOKUP(ARTICULOS_GOLOMAX[[#This Row],[CodigoProveedor]],'PRECIOS GOLOMAX'!$A$1:$C$10000,3,FALSE)</f>
        <v>20282.259999999998</v>
      </c>
      <c r="G294" s="3">
        <v>0</v>
      </c>
      <c r="H294" s="3">
        <v>0</v>
      </c>
      <c r="I294">
        <v>16</v>
      </c>
      <c r="J294">
        <v>16</v>
      </c>
      <c r="K294" s="31"/>
      <c r="L294" s="65">
        <f>((ARTICULOS_GOLOMAX[[#This Row],[P. Compra]]*(1+ARTICULOS_GOLOMAX[[#This Row],[IVA]]%))/ARTICULOS_GOLOMAX[[#This Row],[UnidFact]])+ARTICULOS_GOLOMAX[[#This Row],[CostoFlete]]</f>
        <v>1267.6412499999999</v>
      </c>
      <c r="M294">
        <v>30</v>
      </c>
      <c r="N294" s="63">
        <f t="shared" si="19"/>
        <v>1800</v>
      </c>
      <c r="O294" s="3">
        <f>MROUND((ARTICULOS_GOLOMAX[[#This Row],[Precio]]/0.6),50)</f>
        <v>3000</v>
      </c>
      <c r="P294" t="s">
        <v>8693</v>
      </c>
      <c r="Q294">
        <v>3</v>
      </c>
      <c r="R294" s="42">
        <f>ARTICULOS_GOLOMAX[[#This Row],[Bulto]]+ARTICULOS_GOLOMAX[[#This Row],[Minimo]]</f>
        <v>19</v>
      </c>
      <c r="S294" t="s">
        <v>35</v>
      </c>
      <c r="T294" t="s">
        <v>33</v>
      </c>
      <c r="U294" t="s">
        <v>72</v>
      </c>
      <c r="V294" t="s">
        <v>10097</v>
      </c>
      <c r="W294" t="s">
        <v>8692</v>
      </c>
      <c r="X294">
        <v>1</v>
      </c>
      <c r="Y294">
        <v>10</v>
      </c>
      <c r="AB294" s="80" t="e">
        <f>ARTICULOS_OSLE[[#This Row],[Costo]]*ARTICULOS_OSLE[[#This Row],[Pedido]]</f>
        <v>#VALUE!</v>
      </c>
      <c r="AH294" s="2" t="e">
        <f>IF(AND(ARTICULOS_OSLE[[#This Row],[FechaVenc]]=0,ARTICULOS_OSLE[[#This Row],[DiasVenc]]=0),"",ARTICULOS_OSLE[[#This Row],[FechaVenc]]-ARTICULOS_OSLE[[#This Row],[DiasVenc]])</f>
        <v>#VALUE!</v>
      </c>
      <c r="AO294" s="30" t="s">
        <v>8689</v>
      </c>
    </row>
    <row r="295" spans="1:41" ht="15.75" hidden="1" x14ac:dyDescent="0.25">
      <c r="A295" s="1" t="s">
        <v>10098</v>
      </c>
      <c r="B295" s="30">
        <v>7201200</v>
      </c>
      <c r="C295" t="str">
        <f t="shared" si="20"/>
        <v>PER90016286</v>
      </c>
      <c r="D295" t="s">
        <v>8689</v>
      </c>
      <c r="E295" s="1" t="s">
        <v>10099</v>
      </c>
      <c r="F295" s="61">
        <f>VLOOKUP(ARTICULOS_GOLOMAX[[#This Row],[CodigoProveedor]],'PRECIOS GOLOMAX'!$A$1:$C$10000,3,FALSE)</f>
        <v>448.13</v>
      </c>
      <c r="G295" s="3">
        <v>0</v>
      </c>
      <c r="H295" s="3">
        <v>0</v>
      </c>
      <c r="I295">
        <v>10</v>
      </c>
      <c r="J295">
        <v>10</v>
      </c>
      <c r="K295" s="4"/>
      <c r="L295" s="65">
        <f>((ARTICULOS_GOLOMAX[[#This Row],[P. Compra]]*(1+ARTICULOS_GOLOMAX[[#This Row],[IVA]]%))/ARTICULOS_GOLOMAX[[#This Row],[UnidFact]])+ARTICULOS_GOLOMAX[[#This Row],[CostoFlete]]</f>
        <v>44.813000000000002</v>
      </c>
      <c r="M295">
        <v>30</v>
      </c>
      <c r="N295" s="63">
        <f t="shared" si="19"/>
        <v>50</v>
      </c>
      <c r="O295" s="3">
        <f>MROUND((ARTICULOS_GOLOMAX[[#This Row],[Precio]]/0.6),50)</f>
        <v>100</v>
      </c>
      <c r="P295" t="s">
        <v>8693</v>
      </c>
      <c r="Q295">
        <v>2</v>
      </c>
      <c r="R295" s="3">
        <f>ARTICULOS_GOLOMAX[[#This Row],[Bulto]]+ARTICULOS_GOLOMAX[[#This Row],[Minimo]]</f>
        <v>12</v>
      </c>
      <c r="S295" t="s">
        <v>17</v>
      </c>
      <c r="T295" t="s">
        <v>33</v>
      </c>
      <c r="U295" t="s">
        <v>73</v>
      </c>
      <c r="V295" t="s">
        <v>10100</v>
      </c>
      <c r="W295" t="s">
        <v>8692</v>
      </c>
      <c r="X295">
        <v>1</v>
      </c>
      <c r="Y295">
        <v>2</v>
      </c>
      <c r="AB295" s="80" t="e">
        <f>ARTICULOS_OSLE[[#This Row],[Costo]]*ARTICULOS_OSLE[[#This Row],[Pedido]]</f>
        <v>#VALUE!</v>
      </c>
      <c r="AH295" s="2" t="e">
        <f>IF(AND(ARTICULOS_OSLE[[#This Row],[FechaVenc]]=0,ARTICULOS_OSLE[[#This Row],[DiasVenc]]=0),"",ARTICULOS_OSLE[[#This Row],[FechaVenc]]-ARTICULOS_OSLE[[#This Row],[DiasVenc]])</f>
        <v>#VALUE!</v>
      </c>
      <c r="AO295" s="30" t="s">
        <v>8689</v>
      </c>
    </row>
    <row r="296" spans="1:41" ht="15" hidden="1" customHeight="1" x14ac:dyDescent="0.25">
      <c r="A296" s="24" t="s">
        <v>12636</v>
      </c>
      <c r="B296" s="30">
        <v>6321301</v>
      </c>
      <c r="C296" t="str">
        <f t="shared" si="20"/>
        <v>PER90793224</v>
      </c>
      <c r="D296" t="s">
        <v>8689</v>
      </c>
      <c r="E296" s="1" t="s">
        <v>10101</v>
      </c>
      <c r="F296" s="61">
        <f>VLOOKUP(ARTICULOS_GOLOMAX[[#This Row],[CodigoProveedor]],'PRECIOS GOLOMAX'!$A$1:$C$10000,3,FALSE)</f>
        <v>319.18</v>
      </c>
      <c r="G296" s="3">
        <v>0</v>
      </c>
      <c r="H296" s="3">
        <v>0</v>
      </c>
      <c r="I296">
        <v>1</v>
      </c>
      <c r="J296">
        <v>1</v>
      </c>
      <c r="K296" s="31"/>
      <c r="L296" s="65">
        <f>((ARTICULOS_GOLOMAX[[#This Row],[P. Compra]]*(1+ARTICULOS_GOLOMAX[[#This Row],[IVA]]%))/ARTICULOS_GOLOMAX[[#This Row],[UnidFact]])+ARTICULOS_GOLOMAX[[#This Row],[CostoFlete]]</f>
        <v>319.18</v>
      </c>
      <c r="M296">
        <v>30</v>
      </c>
      <c r="N296" s="63">
        <f t="shared" si="19"/>
        <v>450</v>
      </c>
      <c r="O296" s="3">
        <f>MROUND((ARTICULOS_GOLOMAX[[#This Row],[Precio]]/0.6),50)</f>
        <v>750</v>
      </c>
      <c r="P296" t="s">
        <v>8693</v>
      </c>
      <c r="Q296">
        <v>3</v>
      </c>
      <c r="R296" s="42">
        <v>10</v>
      </c>
      <c r="S296" t="s">
        <v>35</v>
      </c>
      <c r="T296" t="s">
        <v>33</v>
      </c>
      <c r="U296" t="s">
        <v>73</v>
      </c>
      <c r="V296" t="s">
        <v>8691</v>
      </c>
      <c r="W296" t="s">
        <v>8692</v>
      </c>
      <c r="X296">
        <v>1</v>
      </c>
      <c r="Y296">
        <v>0</v>
      </c>
      <c r="AB296" s="80" t="e">
        <f>ARTICULOS_OSLE[[#This Row],[Costo]]*ARTICULOS_OSLE[[#This Row],[Pedido]]</f>
        <v>#VALUE!</v>
      </c>
      <c r="AH296" s="2" t="e">
        <f>IF(AND(ARTICULOS_OSLE[[#This Row],[FechaVenc]]=0,ARTICULOS_OSLE[[#This Row],[DiasVenc]]=0),"",ARTICULOS_OSLE[[#This Row],[FechaVenc]]-ARTICULOS_OSLE[[#This Row],[DiasVenc]])</f>
        <v>#VALUE!</v>
      </c>
      <c r="AO296" s="30" t="s">
        <v>8689</v>
      </c>
    </row>
    <row r="297" spans="1:41" ht="15.75" hidden="1" x14ac:dyDescent="0.25">
      <c r="A297" s="1" t="s">
        <v>8873</v>
      </c>
      <c r="B297" s="30">
        <v>1146200</v>
      </c>
      <c r="C297" t="str">
        <f t="shared" si="20"/>
        <v>VEN24395232</v>
      </c>
      <c r="D297" t="s">
        <v>8689</v>
      </c>
      <c r="E297" s="1" t="s">
        <v>8874</v>
      </c>
      <c r="F297" s="61">
        <f>VLOOKUP(ARTICULOS_GOLOMAX[[#This Row],[CodigoProveedor]],'PRECIOS GOLOMAX'!$A$1:$C$10000,3,FALSE)</f>
        <v>2971.25</v>
      </c>
      <c r="G297" s="3">
        <v>0</v>
      </c>
      <c r="H297" s="3">
        <v>0</v>
      </c>
      <c r="I297">
        <v>6</v>
      </c>
      <c r="J297">
        <v>1</v>
      </c>
      <c r="K297" s="3"/>
      <c r="L297" s="65">
        <f>((ARTICULOS_GOLOMAX[[#This Row],[P. Compra]]*(1+ARTICULOS_GOLOMAX[[#This Row],[IVA]]%))/ARTICULOS_GOLOMAX[[#This Row],[UnidFact]])+ARTICULOS_GOLOMAX[[#This Row],[CostoFlete]]</f>
        <v>2971.25</v>
      </c>
      <c r="M297">
        <v>30</v>
      </c>
      <c r="N297" s="63">
        <f t="shared" si="19"/>
        <v>4250</v>
      </c>
      <c r="O297" s="3">
        <f>MROUND((ARTICULOS_GOLOMAX[[#This Row],[Precio]]/0.6),50)</f>
        <v>7100</v>
      </c>
      <c r="P297" t="s">
        <v>8693</v>
      </c>
      <c r="Q297">
        <v>3</v>
      </c>
      <c r="R297" s="73">
        <f>ARTICULOS_GOLOMAX[[#This Row],[Bulto]]+ARTICULOS_GOLOMAX[[#This Row],[Minimo]]</f>
        <v>9</v>
      </c>
      <c r="S297" t="s">
        <v>17</v>
      </c>
      <c r="T297" s="1" t="s">
        <v>42</v>
      </c>
      <c r="U297" t="s">
        <v>28</v>
      </c>
      <c r="V297" t="s">
        <v>8875</v>
      </c>
      <c r="W297" t="s">
        <v>8692</v>
      </c>
      <c r="X297">
        <v>1</v>
      </c>
      <c r="Y297">
        <v>1</v>
      </c>
      <c r="AB297" s="80" t="e">
        <f>ARTICULOS_OSLE[[#This Row],[Costo]]*ARTICULOS_OSLE[[#This Row],[Pedido]]</f>
        <v>#VALUE!</v>
      </c>
      <c r="AH297" s="2" t="e">
        <f>IF(AND(ARTICULOS_OSLE[[#This Row],[FechaVenc]]=0,ARTICULOS_OSLE[[#This Row],[DiasVenc]]=0),"",ARTICULOS_OSLE[[#This Row],[FechaVenc]]-ARTICULOS_OSLE[[#This Row],[DiasVenc]])</f>
        <v>#VALUE!</v>
      </c>
      <c r="AO297" s="30" t="s">
        <v>8689</v>
      </c>
    </row>
    <row r="298" spans="1:41" ht="15.75" hidden="1" x14ac:dyDescent="0.25">
      <c r="A298" s="1" t="s">
        <v>11779</v>
      </c>
      <c r="B298" s="30">
        <v>1146235</v>
      </c>
      <c r="C298" t="str">
        <f t="shared" si="20"/>
        <v>VEN24395235</v>
      </c>
      <c r="D298" t="s">
        <v>8689</v>
      </c>
      <c r="E298" s="1" t="s">
        <v>11780</v>
      </c>
      <c r="F298" s="61">
        <f>VLOOKUP(ARTICULOS_GOLOMAX[[#This Row],[CodigoProveedor]],'PRECIOS GOLOMAX'!$A$1:$C$10000,3,FALSE)</f>
        <v>6040</v>
      </c>
      <c r="G298" s="3">
        <v>0</v>
      </c>
      <c r="H298" s="3">
        <v>0</v>
      </c>
      <c r="I298">
        <v>6</v>
      </c>
      <c r="J298">
        <v>1</v>
      </c>
      <c r="K298" s="3"/>
      <c r="L298" s="65">
        <f>((ARTICULOS_GOLOMAX[[#This Row],[P. Compra]]*(1+ARTICULOS_GOLOMAX[[#This Row],[IVA]]%))/ARTICULOS_GOLOMAX[[#This Row],[UnidFact]])+ARTICULOS_GOLOMAX[[#This Row],[CostoFlete]]</f>
        <v>6040</v>
      </c>
      <c r="M298">
        <v>30</v>
      </c>
      <c r="N298" s="63">
        <f t="shared" si="19"/>
        <v>8650</v>
      </c>
      <c r="O298" s="3">
        <f>MROUND((ARTICULOS_GOLOMAX[[#This Row],[Precio]]/0.6),50)</f>
        <v>14400</v>
      </c>
      <c r="P298" t="s">
        <v>8693</v>
      </c>
      <c r="Q298">
        <v>3</v>
      </c>
      <c r="R298" s="73">
        <f>ARTICULOS_GOLOMAX[[#This Row],[Bulto]]+ARTICULOS_GOLOMAX[[#This Row],[Minimo]]</f>
        <v>9</v>
      </c>
      <c r="S298" t="s">
        <v>17</v>
      </c>
      <c r="T298" s="1" t="s">
        <v>42</v>
      </c>
      <c r="U298" t="s">
        <v>28</v>
      </c>
      <c r="V298" t="s">
        <v>8875</v>
      </c>
      <c r="W298" t="s">
        <v>8692</v>
      </c>
      <c r="X298">
        <v>1</v>
      </c>
      <c r="Y298">
        <v>0</v>
      </c>
      <c r="AB298" s="80" t="e">
        <f>ARTICULOS_OSLE[[#This Row],[Costo]]*ARTICULOS_OSLE[[#This Row],[Pedido]]</f>
        <v>#VALUE!</v>
      </c>
      <c r="AH298" s="2" t="e">
        <f>IF(AND(ARTICULOS_OSLE[[#This Row],[FechaVenc]]=0,ARTICULOS_OSLE[[#This Row],[DiasVenc]]=0),"",ARTICULOS_OSLE[[#This Row],[FechaVenc]]-ARTICULOS_OSLE[[#This Row],[DiasVenc]])</f>
        <v>#VALUE!</v>
      </c>
      <c r="AO298" s="30" t="s">
        <v>8689</v>
      </c>
    </row>
    <row r="299" spans="1:41" ht="15.75" hidden="1" x14ac:dyDescent="0.25">
      <c r="A299" s="1" t="s">
        <v>12571</v>
      </c>
      <c r="B299" s="30">
        <v>3576000</v>
      </c>
      <c r="C299" t="str">
        <f t="shared" si="20"/>
        <v>KIO00030457</v>
      </c>
      <c r="D299" t="s">
        <v>8689</v>
      </c>
      <c r="E299" s="1" t="s">
        <v>12572</v>
      </c>
      <c r="F299" s="61">
        <f>VLOOKUP(ARTICULOS_GOLOMAX[[#This Row],[CodigoProveedor]],'PRECIOS GOLOMAX'!$A$1:$C$10000,3,FALSE)</f>
        <v>3444.42</v>
      </c>
      <c r="G299" s="3">
        <v>0</v>
      </c>
      <c r="H299" s="3">
        <v>0</v>
      </c>
      <c r="I299">
        <v>1</v>
      </c>
      <c r="J299">
        <v>1</v>
      </c>
      <c r="K299" s="4"/>
      <c r="L299" s="65">
        <f>((ARTICULOS_GOLOMAX[[#This Row],[P. Compra]]*(1+ARTICULOS_GOLOMAX[[#This Row],[IVA]]%))/ARTICULOS_GOLOMAX[[#This Row],[UnidFact]])+ARTICULOS_GOLOMAX[[#This Row],[CostoFlete]]</f>
        <v>3444.42</v>
      </c>
      <c r="M299">
        <v>30</v>
      </c>
      <c r="N299" s="63">
        <f t="shared" si="19"/>
        <v>4900</v>
      </c>
      <c r="O299" s="3">
        <f>MROUND((ARTICULOS_GOLOMAX[[#This Row],[Precio]]/0.6),50)</f>
        <v>8150</v>
      </c>
      <c r="P299" t="s">
        <v>8693</v>
      </c>
      <c r="Q299">
        <v>2</v>
      </c>
      <c r="R299" s="42">
        <v>5</v>
      </c>
      <c r="S299" t="s">
        <v>17</v>
      </c>
      <c r="T299" t="s">
        <v>27</v>
      </c>
      <c r="U299" t="s">
        <v>85</v>
      </c>
      <c r="V299" t="s">
        <v>10125</v>
      </c>
      <c r="W299" t="s">
        <v>8692</v>
      </c>
      <c r="X299">
        <v>1</v>
      </c>
      <c r="Y299">
        <v>3</v>
      </c>
      <c r="AB299" s="80" t="e">
        <f>ARTICULOS_OSLE[[#This Row],[Costo]]*ARTICULOS_OSLE[[#This Row],[Pedido]]</f>
        <v>#VALUE!</v>
      </c>
      <c r="AH299" s="2" t="e">
        <f>IF(AND(ARTICULOS_OSLE[[#This Row],[FechaVenc]]=0,ARTICULOS_OSLE[[#This Row],[DiasVenc]]=0),"",ARTICULOS_OSLE[[#This Row],[FechaVenc]]-ARTICULOS_OSLE[[#This Row],[DiasVenc]])</f>
        <v>#VALUE!</v>
      </c>
      <c r="AO299" s="30" t="s">
        <v>8689</v>
      </c>
    </row>
    <row r="300" spans="1:41" ht="15" hidden="1" customHeight="1" x14ac:dyDescent="0.25">
      <c r="A300" s="24" t="s">
        <v>12579</v>
      </c>
      <c r="B300" s="24">
        <v>5521023</v>
      </c>
      <c r="C300" t="str">
        <f t="shared" ref="C300:C306" si="21">CONCATENATE(LEFT(T300,3),RIGHT(A300,8))</f>
        <v>PER35176170</v>
      </c>
      <c r="D300" t="s">
        <v>8689</v>
      </c>
      <c r="E300" s="133" t="s">
        <v>12580</v>
      </c>
      <c r="F300" s="98">
        <f>VLOOKUP(ARTICULOS_GOLOMAX[[#This Row],[CodigoProveedor]],'PRECIOS GOLOMAX'!$A$1:$C$10000,3,FALSE)</f>
        <v>3194.02</v>
      </c>
      <c r="G300" s="134">
        <v>0</v>
      </c>
      <c r="H300" s="46">
        <v>0</v>
      </c>
      <c r="I300" s="8">
        <v>24</v>
      </c>
      <c r="J300" s="46">
        <v>24</v>
      </c>
      <c r="K300" s="46"/>
      <c r="L300" s="65">
        <f>((ARTICULOS_GOLOMAX[[#This Row],[P. Compra]]*(1+ARTICULOS_GOLOMAX[[#This Row],[IVA]]%))/ARTICULOS_GOLOMAX[[#This Row],[UnidFact]])+ARTICULOS_GOLOMAX[[#This Row],[CostoFlete]]</f>
        <v>133.08416666666668</v>
      </c>
      <c r="M300" s="8">
        <v>50</v>
      </c>
      <c r="N300" s="63">
        <f t="shared" ref="N300:N306" si="22">IF(L300&gt;=10,MROUND(L300/(1-M300/100),50),20)</f>
        <v>250</v>
      </c>
      <c r="O300" s="51">
        <f>MROUND((ARTICULOS_GOLOMAX[[#This Row],[Precio]]/0.6),50)</f>
        <v>400</v>
      </c>
      <c r="P300" s="8" t="s">
        <v>8693</v>
      </c>
      <c r="Q300" s="8">
        <v>6</v>
      </c>
      <c r="R300" s="73">
        <f>ARTICULOS_GOLOMAX[[#This Row],[Bulto]]+ARTICULOS_GOLOMAX[[#This Row],[Minimo]]</f>
        <v>30</v>
      </c>
      <c r="S300" t="s">
        <v>17</v>
      </c>
      <c r="T300" t="s">
        <v>33</v>
      </c>
      <c r="U300" t="s">
        <v>16</v>
      </c>
      <c r="V300" t="s">
        <v>9784</v>
      </c>
      <c r="W300" t="s">
        <v>8692</v>
      </c>
      <c r="X300">
        <v>1</v>
      </c>
      <c r="Y300">
        <v>12</v>
      </c>
      <c r="AB300" s="80" t="e">
        <f>ARTICULOS_OSLE[[#This Row],[Costo]]*ARTICULOS_OSLE[[#This Row],[Pedido]]</f>
        <v>#VALUE!</v>
      </c>
      <c r="AH300" s="2" t="e">
        <f>IF(AND(ARTICULOS_OSLE[[#This Row],[FechaVenc]]=0,ARTICULOS_OSLE[[#This Row],[DiasVenc]]=0),"",ARTICULOS_OSLE[[#This Row],[FechaVenc]]-ARTICULOS_OSLE[[#This Row],[DiasVenc]])</f>
        <v>#VALUE!</v>
      </c>
      <c r="AO300" s="30" t="s">
        <v>8689</v>
      </c>
    </row>
    <row r="301" spans="1:41" ht="15.75" x14ac:dyDescent="0.25">
      <c r="A301" s="136" t="s">
        <v>12589</v>
      </c>
      <c r="B301" s="24">
        <v>6251176</v>
      </c>
      <c r="C301" t="str">
        <f t="shared" si="21"/>
        <v>KIO16001145</v>
      </c>
      <c r="D301" t="s">
        <v>8689</v>
      </c>
      <c r="E301" s="133" t="s">
        <v>11782</v>
      </c>
      <c r="F301" s="98">
        <f>VLOOKUP(ARTICULOS_GOLOMAX[[#This Row],[CodigoProveedor]],'PRECIOS GOLOMAX'!$A$1:$C$10000,3,FALSE)</f>
        <v>1995.2</v>
      </c>
      <c r="G301" s="134">
        <v>0</v>
      </c>
      <c r="H301" s="46">
        <v>0</v>
      </c>
      <c r="I301" s="8">
        <v>1</v>
      </c>
      <c r="J301" s="46">
        <v>1</v>
      </c>
      <c r="K301" s="46"/>
      <c r="L301" s="65">
        <f>((ARTICULOS_GOLOMAX[[#This Row],[P. Compra]]*(1+ARTICULOS_GOLOMAX[[#This Row],[IVA]]%))/ARTICULOS_GOLOMAX[[#This Row],[UnidFact]])+ARTICULOS_GOLOMAX[[#This Row],[CostoFlete]]</f>
        <v>1995.2</v>
      </c>
      <c r="M301" s="8">
        <v>30</v>
      </c>
      <c r="N301" s="63">
        <f t="shared" si="22"/>
        <v>2850</v>
      </c>
      <c r="O301" s="51">
        <f>MROUND((ARTICULOS_GOLOMAX[[#This Row],[Precio]]/0.6),50)</f>
        <v>4750</v>
      </c>
      <c r="P301" s="8" t="s">
        <v>8693</v>
      </c>
      <c r="Q301" s="8">
        <v>1</v>
      </c>
      <c r="R301" s="73">
        <f>ARTICULOS_GOLOMAX[[#This Row],[Bulto]]+ARTICULOS_GOLOMAX[[#This Row],[Minimo]]</f>
        <v>2</v>
      </c>
      <c r="S301" t="s">
        <v>17</v>
      </c>
      <c r="T301" t="s">
        <v>27</v>
      </c>
      <c r="U301" t="s">
        <v>7</v>
      </c>
      <c r="V301" t="s">
        <v>9780</v>
      </c>
      <c r="W301" t="s">
        <v>8692</v>
      </c>
      <c r="X301">
        <v>1</v>
      </c>
      <c r="Y301">
        <v>4</v>
      </c>
      <c r="AB301" s="80" t="e">
        <f>ARTICULOS_OSLE[[#This Row],[Costo]]*ARTICULOS_OSLE[[#This Row],[Pedido]]</f>
        <v>#VALUE!</v>
      </c>
      <c r="AH301" s="2" t="e">
        <f>IF(AND(ARTICULOS_OSLE[[#This Row],[FechaVenc]]=0,ARTICULOS_OSLE[[#This Row],[DiasVenc]]=0),"",ARTICULOS_OSLE[[#This Row],[FechaVenc]]-ARTICULOS_OSLE[[#This Row],[DiasVenc]])</f>
        <v>#VALUE!</v>
      </c>
      <c r="AO301" s="30" t="s">
        <v>8689</v>
      </c>
    </row>
    <row r="302" spans="1:41" ht="15.75" hidden="1" x14ac:dyDescent="0.25">
      <c r="A302" s="135" t="s">
        <v>12591</v>
      </c>
      <c r="B302" s="1">
        <v>3121029</v>
      </c>
      <c r="C302" t="str">
        <f t="shared" si="21"/>
        <v>KIO20004608</v>
      </c>
      <c r="D302" t="s">
        <v>8689</v>
      </c>
      <c r="E302" s="133" t="s">
        <v>12590</v>
      </c>
      <c r="F302" s="109">
        <f>VLOOKUP(ARTICULOS_GOLOMAX[[#This Row],[CodigoProveedor]],'PRECIOS GOLOMAX'!$A$1:$C$10000,3,FALSE)</f>
        <v>583.74</v>
      </c>
      <c r="G302" s="134">
        <v>0</v>
      </c>
      <c r="H302" s="31">
        <v>0</v>
      </c>
      <c r="I302" s="4">
        <v>1</v>
      </c>
      <c r="J302" s="31">
        <v>1</v>
      </c>
      <c r="K302" s="31"/>
      <c r="L302" s="65">
        <f>((ARTICULOS_GOLOMAX[[#This Row],[P. Compra]]*(1+ARTICULOS_GOLOMAX[[#This Row],[IVA]]%))/ARTICULOS_GOLOMAX[[#This Row],[UnidFact]])+ARTICULOS_GOLOMAX[[#This Row],[CostoFlete]]</f>
        <v>583.74</v>
      </c>
      <c r="M302" s="4">
        <v>30</v>
      </c>
      <c r="N302" s="63">
        <f t="shared" si="22"/>
        <v>850</v>
      </c>
      <c r="O302" s="23">
        <f>MROUND((ARTICULOS_GOLOMAX[[#This Row],[Precio]]/0.6),50)</f>
        <v>1400</v>
      </c>
      <c r="P302" s="4" t="s">
        <v>8693</v>
      </c>
      <c r="Q302" s="4">
        <v>10</v>
      </c>
      <c r="R302" s="37">
        <f>ARTICULOS_GOLOMAX[[#This Row],[Bulto]]+ARTICULOS_GOLOMAX[[#This Row],[Minimo]]</f>
        <v>11</v>
      </c>
      <c r="S302" t="s">
        <v>17</v>
      </c>
      <c r="T302" t="s">
        <v>27</v>
      </c>
      <c r="U302" t="s">
        <v>82</v>
      </c>
      <c r="V302" t="s">
        <v>10111</v>
      </c>
      <c r="W302" t="s">
        <v>8692</v>
      </c>
      <c r="X302">
        <v>1</v>
      </c>
      <c r="Y302">
        <v>9</v>
      </c>
      <c r="AB302" s="80" t="e">
        <f>ARTICULOS_OSLE[[#This Row],[Costo]]*ARTICULOS_OSLE[[#This Row],[Pedido]]</f>
        <v>#VALUE!</v>
      </c>
      <c r="AH302" s="2" t="e">
        <f>IF(AND(ARTICULOS_OSLE[[#This Row],[FechaVenc]]=0,ARTICULOS_OSLE[[#This Row],[DiasVenc]]=0),"",ARTICULOS_OSLE[[#This Row],[FechaVenc]]-ARTICULOS_OSLE[[#This Row],[DiasVenc]])</f>
        <v>#VALUE!</v>
      </c>
      <c r="AO302" s="30" t="s">
        <v>8689</v>
      </c>
    </row>
    <row r="303" spans="1:41" ht="15.75" hidden="1" x14ac:dyDescent="0.25">
      <c r="A303" s="24" t="s">
        <v>12596</v>
      </c>
      <c r="B303" s="1">
        <v>5421206</v>
      </c>
      <c r="C303" t="str">
        <f t="shared" si="21"/>
        <v>KIO50000358</v>
      </c>
      <c r="D303" t="s">
        <v>8689</v>
      </c>
      <c r="E303" s="133" t="s">
        <v>12595</v>
      </c>
      <c r="F303" s="109">
        <f>VLOOKUP(ARTICULOS_GOLOMAX[[#This Row],[CodigoProveedor]],'PRECIOS GOLOMAX'!$A$1:$C$10000,3,FALSE)</f>
        <v>184.37</v>
      </c>
      <c r="G303" s="134">
        <v>0</v>
      </c>
      <c r="H303" s="31">
        <v>0</v>
      </c>
      <c r="I303" s="4">
        <v>1</v>
      </c>
      <c r="J303" s="31">
        <v>1</v>
      </c>
      <c r="K303" s="31"/>
      <c r="L303" s="65">
        <f>((ARTICULOS_GOLOMAX[[#This Row],[P. Compra]]*(1+ARTICULOS_GOLOMAX[[#This Row],[IVA]]%))/ARTICULOS_GOLOMAX[[#This Row],[UnidFact]])+ARTICULOS_GOLOMAX[[#This Row],[CostoFlete]]</f>
        <v>184.37</v>
      </c>
      <c r="M303" s="4">
        <v>30</v>
      </c>
      <c r="N303" s="63">
        <f t="shared" si="22"/>
        <v>250</v>
      </c>
      <c r="O303" s="23">
        <f>MROUND((ARTICULOS_GOLOMAX[[#This Row],[Precio]]/0.6),50)</f>
        <v>400</v>
      </c>
      <c r="P303" s="4" t="s">
        <v>8693</v>
      </c>
      <c r="Q303" s="4">
        <v>6</v>
      </c>
      <c r="R303" s="37">
        <v>30</v>
      </c>
      <c r="S303" t="s">
        <v>35</v>
      </c>
      <c r="T303" t="s">
        <v>27</v>
      </c>
      <c r="U303" t="s">
        <v>72</v>
      </c>
      <c r="V303" t="s">
        <v>10094</v>
      </c>
      <c r="W303" t="s">
        <v>8692</v>
      </c>
      <c r="X303">
        <v>1</v>
      </c>
      <c r="Y303">
        <v>0</v>
      </c>
      <c r="AB303" s="80" t="e">
        <f>ARTICULOS_OSLE[[#This Row],[Costo]]*ARTICULOS_OSLE[[#This Row],[Pedido]]</f>
        <v>#VALUE!</v>
      </c>
      <c r="AH303" s="2" t="e">
        <f>IF(AND(ARTICULOS_OSLE[[#This Row],[FechaVenc]]=0,ARTICULOS_OSLE[[#This Row],[DiasVenc]]=0),"",ARTICULOS_OSLE[[#This Row],[FechaVenc]]-ARTICULOS_OSLE[[#This Row],[DiasVenc]])</f>
        <v>#VALUE!</v>
      </c>
      <c r="AO303" s="30" t="s">
        <v>8689</v>
      </c>
    </row>
    <row r="304" spans="1:41" ht="15.75" hidden="1" x14ac:dyDescent="0.25">
      <c r="A304" s="24" t="s">
        <v>12607</v>
      </c>
      <c r="B304" s="1">
        <v>7181000</v>
      </c>
      <c r="C304" t="str">
        <f t="shared" si="21"/>
        <v>KIO43501578</v>
      </c>
      <c r="D304" t="s">
        <v>8689</v>
      </c>
      <c r="E304" s="133" t="s">
        <v>12606</v>
      </c>
      <c r="F304" s="109">
        <f>VLOOKUP(ARTICULOS_GOLOMAX[[#This Row],[CodigoProveedor]],'PRECIOS GOLOMAX'!$A$1:$C$10000,3,FALSE)</f>
        <v>15627.86</v>
      </c>
      <c r="G304" s="134">
        <v>0</v>
      </c>
      <c r="H304" s="31">
        <v>0</v>
      </c>
      <c r="I304" s="4">
        <v>12</v>
      </c>
      <c r="J304" s="31">
        <v>12</v>
      </c>
      <c r="K304" s="31"/>
      <c r="L304" s="65">
        <f>((ARTICULOS_GOLOMAX[[#This Row],[P. Compra]]*(1+ARTICULOS_GOLOMAX[[#This Row],[IVA]]%))/ARTICULOS_GOLOMAX[[#This Row],[UnidFact]])+ARTICULOS_GOLOMAX[[#This Row],[CostoFlete]]</f>
        <v>1302.3216666666667</v>
      </c>
      <c r="M304" s="4">
        <v>30</v>
      </c>
      <c r="N304" s="63">
        <f t="shared" si="22"/>
        <v>1850</v>
      </c>
      <c r="O304" s="23">
        <f>MROUND((ARTICULOS_GOLOMAX[[#This Row],[Precio]]/0.6),50)</f>
        <v>3100</v>
      </c>
      <c r="P304" s="4" t="s">
        <v>8693</v>
      </c>
      <c r="Q304" s="4">
        <v>4</v>
      </c>
      <c r="R304" s="37">
        <f>ARTICULOS_GOLOMAX[[#This Row],[Bulto]]+ARTICULOS_GOLOMAX[[#This Row],[Minimo]]</f>
        <v>16</v>
      </c>
      <c r="S304" t="s">
        <v>17</v>
      </c>
      <c r="T304" t="s">
        <v>27</v>
      </c>
      <c r="U304" t="s">
        <v>85</v>
      </c>
      <c r="V304" t="s">
        <v>10111</v>
      </c>
      <c r="W304" t="s">
        <v>8692</v>
      </c>
      <c r="X304">
        <v>1</v>
      </c>
      <c r="Y304">
        <v>0</v>
      </c>
      <c r="AB304" s="80" t="e">
        <f>ARTICULOS_OSLE[[#This Row],[Costo]]*ARTICULOS_OSLE[[#This Row],[Pedido]]</f>
        <v>#VALUE!</v>
      </c>
      <c r="AH304" s="2" t="e">
        <f>IF(AND(ARTICULOS_OSLE[[#This Row],[FechaVenc]]=0,ARTICULOS_OSLE[[#This Row],[DiasVenc]]=0),"",ARTICULOS_OSLE[[#This Row],[FechaVenc]]-ARTICULOS_OSLE[[#This Row],[DiasVenc]])</f>
        <v>#VALUE!</v>
      </c>
      <c r="AO304" s="30" t="s">
        <v>8689</v>
      </c>
    </row>
    <row r="305" spans="1:41" ht="15.75" hidden="1" x14ac:dyDescent="0.25">
      <c r="A305" s="135" t="s">
        <v>12608</v>
      </c>
      <c r="B305" s="24">
        <v>2140306</v>
      </c>
      <c r="C305" t="str">
        <f t="shared" si="21"/>
        <v>BEB13000067</v>
      </c>
      <c r="D305" t="s">
        <v>8689</v>
      </c>
      <c r="E305" s="133" t="s">
        <v>12609</v>
      </c>
      <c r="F305" s="109">
        <f>VLOOKUP(ARTICULOS_GOLOMAX[[#This Row],[CodigoProveedor]],'PRECIOS GOLOMAX'!$A$1:$C$10000,3,FALSE)</f>
        <v>257.01</v>
      </c>
      <c r="G305" s="134">
        <v>0</v>
      </c>
      <c r="H305" s="31">
        <v>0</v>
      </c>
      <c r="I305" s="4">
        <v>1</v>
      </c>
      <c r="J305" s="31">
        <v>1</v>
      </c>
      <c r="K305" s="31"/>
      <c r="L305" s="65">
        <f>((ARTICULOS_GOLOMAX[[#This Row],[P. Compra]]*(1+ARTICULOS_GOLOMAX[[#This Row],[IVA]]%))/ARTICULOS_GOLOMAX[[#This Row],[UnidFact]])+ARTICULOS_GOLOMAX[[#This Row],[CostoFlete]]</f>
        <v>257.01</v>
      </c>
      <c r="M305" s="4">
        <v>40</v>
      </c>
      <c r="N305" s="63">
        <f t="shared" si="22"/>
        <v>450</v>
      </c>
      <c r="O305" s="23">
        <f>MROUND((ARTICULOS_GOLOMAX[[#This Row],[Precio]]/0.6),50)</f>
        <v>750</v>
      </c>
      <c r="P305" s="4" t="s">
        <v>8693</v>
      </c>
      <c r="Q305" s="4">
        <v>12</v>
      </c>
      <c r="R305" s="37">
        <v>4</v>
      </c>
      <c r="S305" t="s">
        <v>23</v>
      </c>
      <c r="T305" t="s">
        <v>10</v>
      </c>
      <c r="U305" t="s">
        <v>5</v>
      </c>
      <c r="V305" t="s">
        <v>11074</v>
      </c>
      <c r="W305" t="s">
        <v>8692</v>
      </c>
      <c r="X305">
        <v>1</v>
      </c>
      <c r="Y305">
        <v>0</v>
      </c>
      <c r="AB305" s="80" t="e">
        <f>ARTICULOS_OSLE[[#This Row],[Costo]]*ARTICULOS_OSLE[[#This Row],[Pedido]]</f>
        <v>#VALUE!</v>
      </c>
      <c r="AH305" s="2" t="e">
        <f>IF(AND(ARTICULOS_OSLE[[#This Row],[FechaVenc]]=0,ARTICULOS_OSLE[[#This Row],[DiasVenc]]=0),"",ARTICULOS_OSLE[[#This Row],[FechaVenc]]-ARTICULOS_OSLE[[#This Row],[DiasVenc]])</f>
        <v>#VALUE!</v>
      </c>
      <c r="AO305" s="30" t="s">
        <v>8689</v>
      </c>
    </row>
    <row r="306" spans="1:41" ht="15.75" hidden="1" x14ac:dyDescent="0.25">
      <c r="A306" s="135" t="s">
        <v>12614</v>
      </c>
      <c r="C306" t="str">
        <f t="shared" si="21"/>
        <v>KIO60096634</v>
      </c>
      <c r="D306" t="s">
        <v>8689</v>
      </c>
      <c r="E306" s="133" t="s">
        <v>12615</v>
      </c>
      <c r="F306" s="109" t="e">
        <f>VLOOKUP(ARTICULOS_GOLOMAX[[#This Row],[CodigoProveedor]],'PRECIOS GOLOMAX'!$A$1:$C$10000,3,FALSE)</f>
        <v>#N/A</v>
      </c>
      <c r="G306" s="134">
        <v>0</v>
      </c>
      <c r="H306" s="31">
        <v>0</v>
      </c>
      <c r="I306" s="4">
        <v>1</v>
      </c>
      <c r="J306" s="31">
        <v>1</v>
      </c>
      <c r="K306" s="31"/>
      <c r="L306" s="65" t="e">
        <f>((ARTICULOS_GOLOMAX[[#This Row],[P. Compra]]*(1+ARTICULOS_GOLOMAX[[#This Row],[IVA]]%))/ARTICULOS_GOLOMAX[[#This Row],[UnidFact]])+ARTICULOS_GOLOMAX[[#This Row],[CostoFlete]]</f>
        <v>#N/A</v>
      </c>
      <c r="M306" s="4">
        <v>30</v>
      </c>
      <c r="N306" s="63" t="e">
        <f t="shared" si="22"/>
        <v>#N/A</v>
      </c>
      <c r="O306" s="23" t="e">
        <f>MROUND((ARTICULOS_GOLOMAX[[#This Row],[Precio]]/0.6),50)</f>
        <v>#N/A</v>
      </c>
      <c r="P306" s="4" t="s">
        <v>8693</v>
      </c>
      <c r="Q306" s="4">
        <v>6</v>
      </c>
      <c r="R306" s="37">
        <v>22</v>
      </c>
      <c r="S306" t="s">
        <v>17</v>
      </c>
      <c r="T306" t="s">
        <v>27</v>
      </c>
      <c r="U306" t="s">
        <v>28</v>
      </c>
      <c r="V306" t="s">
        <v>9819</v>
      </c>
      <c r="W306" t="s">
        <v>8692</v>
      </c>
      <c r="X306">
        <v>1</v>
      </c>
      <c r="Y306">
        <v>0</v>
      </c>
      <c r="AB306" s="80" t="e">
        <f>ARTICULOS_OSLE[[#This Row],[Costo]]*ARTICULOS_OSLE[[#This Row],[Pedido]]</f>
        <v>#VALUE!</v>
      </c>
      <c r="AH306" s="2" t="e">
        <f>IF(AND(ARTICULOS_OSLE[[#This Row],[FechaVenc]]=0,ARTICULOS_OSLE[[#This Row],[DiasVenc]]=0),"",ARTICULOS_OSLE[[#This Row],[FechaVenc]]-ARTICULOS_OSLE[[#This Row],[DiasVenc]])</f>
        <v>#VALUE!</v>
      </c>
      <c r="AO306" s="30" t="s">
        <v>8689</v>
      </c>
    </row>
    <row r="307" spans="1:41" ht="15.75" hidden="1" x14ac:dyDescent="0.25">
      <c r="A307" s="135" t="s">
        <v>12616</v>
      </c>
      <c r="C307" t="str">
        <f t="shared" ref="C307" si="23">CONCATENATE(LEFT(T307,3),RIGHT(A307,8))</f>
        <v>KIO60096597</v>
      </c>
      <c r="D307" t="s">
        <v>8689</v>
      </c>
      <c r="E307" s="133" t="s">
        <v>12615</v>
      </c>
      <c r="F307" s="109" t="e">
        <f>VLOOKUP(ARTICULOS_GOLOMAX[[#This Row],[CodigoProveedor]],'PRECIOS GOLOMAX'!$A$1:$C$10000,3,FALSE)</f>
        <v>#N/A</v>
      </c>
      <c r="G307" s="134">
        <v>0</v>
      </c>
      <c r="H307" s="31">
        <v>0</v>
      </c>
      <c r="I307" s="4">
        <v>1</v>
      </c>
      <c r="J307" s="31">
        <v>1</v>
      </c>
      <c r="K307" s="31"/>
      <c r="L307" s="65" t="e">
        <f>((ARTICULOS_GOLOMAX[[#This Row],[P. Compra]]*(1+ARTICULOS_GOLOMAX[[#This Row],[IVA]]%))/ARTICULOS_GOLOMAX[[#This Row],[UnidFact]])+ARTICULOS_GOLOMAX[[#This Row],[CostoFlete]]</f>
        <v>#N/A</v>
      </c>
      <c r="M307" s="4">
        <v>30</v>
      </c>
      <c r="N307" s="63" t="e">
        <f t="shared" ref="N307" si="24">IF(L307&gt;=10,MROUND(L307/(1-M307/100),50),20)</f>
        <v>#N/A</v>
      </c>
      <c r="O307" s="23" t="e">
        <f>MROUND((ARTICULOS_GOLOMAX[[#This Row],[Precio]]/0.6),50)</f>
        <v>#N/A</v>
      </c>
      <c r="P307" s="4" t="s">
        <v>8693</v>
      </c>
      <c r="Q307" s="4">
        <v>6</v>
      </c>
      <c r="R307" s="37">
        <v>22</v>
      </c>
      <c r="S307" t="s">
        <v>17</v>
      </c>
      <c r="T307" t="s">
        <v>27</v>
      </c>
      <c r="U307" t="s">
        <v>28</v>
      </c>
      <c r="V307" t="s">
        <v>9819</v>
      </c>
      <c r="W307" t="s">
        <v>8692</v>
      </c>
      <c r="X307">
        <v>1</v>
      </c>
      <c r="Y307">
        <v>0</v>
      </c>
      <c r="AB307" s="80" t="e">
        <f>ARTICULOS_OSLE[[#This Row],[Costo]]*ARTICULOS_OSLE[[#This Row],[Pedido]]</f>
        <v>#VALUE!</v>
      </c>
      <c r="AH307" s="2" t="e">
        <f>IF(AND(ARTICULOS_OSLE[[#This Row],[FechaVenc]]=0,ARTICULOS_OSLE[[#This Row],[DiasVenc]]=0),"",ARTICULOS_OSLE[[#This Row],[FechaVenc]]-ARTICULOS_OSLE[[#This Row],[DiasVenc]])</f>
        <v>#VALUE!</v>
      </c>
      <c r="AO307" s="30" t="s">
        <v>8689</v>
      </c>
    </row>
    <row r="308" spans="1:41" ht="15.75" hidden="1" x14ac:dyDescent="0.25">
      <c r="A308" s="135" t="s">
        <v>12618</v>
      </c>
      <c r="C308" t="str">
        <f t="shared" ref="C308:C312" si="25">CONCATENATE(LEFT(T308,3),RIGHT(A308,8))</f>
        <v>KIO60072423</v>
      </c>
      <c r="D308" t="s">
        <v>8689</v>
      </c>
      <c r="E308" s="138" t="s">
        <v>12619</v>
      </c>
      <c r="F308" s="109" t="e">
        <f>VLOOKUP(ARTICULOS_GOLOMAX[[#This Row],[CodigoProveedor]],'PRECIOS GOLOMAX'!$A$1:$C$10000,3,FALSE)</f>
        <v>#N/A</v>
      </c>
      <c r="G308" s="134">
        <v>0</v>
      </c>
      <c r="H308" s="31">
        <v>0</v>
      </c>
      <c r="I308" s="4">
        <v>1</v>
      </c>
      <c r="J308" s="31">
        <v>1</v>
      </c>
      <c r="K308" s="31"/>
      <c r="L308" s="65" t="e">
        <f>((ARTICULOS_GOLOMAX[[#This Row],[P. Compra]]*(1+ARTICULOS_GOLOMAX[[#This Row],[IVA]]%))/ARTICULOS_GOLOMAX[[#This Row],[UnidFact]])+ARTICULOS_GOLOMAX[[#This Row],[CostoFlete]]</f>
        <v>#N/A</v>
      </c>
      <c r="M308" s="4">
        <v>30</v>
      </c>
      <c r="N308" s="63" t="e">
        <f t="shared" ref="N308:N312" si="26">IF(L308&gt;=10,MROUND(L308/(1-M308/100),50),20)</f>
        <v>#N/A</v>
      </c>
      <c r="O308" s="23" t="e">
        <f>MROUND((ARTICULOS_GOLOMAX[[#This Row],[Precio]]/0.6),50)</f>
        <v>#N/A</v>
      </c>
      <c r="P308" s="4" t="s">
        <v>8693</v>
      </c>
      <c r="Q308" s="4">
        <v>6</v>
      </c>
      <c r="R308" s="37">
        <v>22</v>
      </c>
      <c r="S308" t="s">
        <v>17</v>
      </c>
      <c r="T308" t="s">
        <v>27</v>
      </c>
      <c r="U308" t="s">
        <v>28</v>
      </c>
      <c r="V308" t="s">
        <v>9819</v>
      </c>
      <c r="W308" t="s">
        <v>8692</v>
      </c>
      <c r="X308">
        <v>1</v>
      </c>
      <c r="Y308">
        <v>0</v>
      </c>
      <c r="AB308" s="80" t="e">
        <f>ARTICULOS_OSLE[[#This Row],[Costo]]*ARTICULOS_OSLE[[#This Row],[Pedido]]</f>
        <v>#VALUE!</v>
      </c>
      <c r="AH308" s="2" t="e">
        <f>IF(AND(ARTICULOS_OSLE[[#This Row],[FechaVenc]]=0,ARTICULOS_OSLE[[#This Row],[DiasVenc]]=0),"",ARTICULOS_OSLE[[#This Row],[FechaVenc]]-ARTICULOS_OSLE[[#This Row],[DiasVenc]])</f>
        <v>#VALUE!</v>
      </c>
      <c r="AO308" s="30" t="s">
        <v>8689</v>
      </c>
    </row>
    <row r="309" spans="1:41" ht="15.75" hidden="1" x14ac:dyDescent="0.25">
      <c r="A309" s="135" t="s">
        <v>12617</v>
      </c>
      <c r="C309" t="str">
        <f t="shared" si="25"/>
        <v>KIO60094906</v>
      </c>
      <c r="D309" t="s">
        <v>8689</v>
      </c>
      <c r="E309" s="138" t="s">
        <v>12620</v>
      </c>
      <c r="F309" s="109" t="e">
        <f>VLOOKUP(ARTICULOS_GOLOMAX[[#This Row],[CodigoProveedor]],'PRECIOS GOLOMAX'!$A$1:$C$10000,3,FALSE)</f>
        <v>#N/A</v>
      </c>
      <c r="G309" s="134">
        <v>0</v>
      </c>
      <c r="H309" s="31">
        <v>0</v>
      </c>
      <c r="I309" s="4">
        <v>1</v>
      </c>
      <c r="J309" s="31">
        <v>1</v>
      </c>
      <c r="K309" s="31"/>
      <c r="L309" s="65" t="e">
        <f>((ARTICULOS_GOLOMAX[[#This Row],[P. Compra]]*(1+ARTICULOS_GOLOMAX[[#This Row],[IVA]]%))/ARTICULOS_GOLOMAX[[#This Row],[UnidFact]])+ARTICULOS_GOLOMAX[[#This Row],[CostoFlete]]</f>
        <v>#N/A</v>
      </c>
      <c r="M309" s="4">
        <v>30</v>
      </c>
      <c r="N309" s="63" t="e">
        <f t="shared" si="26"/>
        <v>#N/A</v>
      </c>
      <c r="O309" s="23" t="e">
        <f>MROUND((ARTICULOS_GOLOMAX[[#This Row],[Precio]]/0.6),50)</f>
        <v>#N/A</v>
      </c>
      <c r="P309" s="4" t="s">
        <v>8693</v>
      </c>
      <c r="Q309" s="4">
        <v>6</v>
      </c>
      <c r="R309" s="37">
        <v>22</v>
      </c>
      <c r="S309" t="s">
        <v>17</v>
      </c>
      <c r="T309" t="s">
        <v>27</v>
      </c>
      <c r="U309" t="s">
        <v>28</v>
      </c>
      <c r="V309" t="s">
        <v>9819</v>
      </c>
      <c r="W309" t="s">
        <v>8692</v>
      </c>
      <c r="X309">
        <v>1</v>
      </c>
      <c r="Y309">
        <v>0</v>
      </c>
      <c r="AB309" s="80" t="e">
        <f>ARTICULOS_OSLE[[#This Row],[Costo]]*ARTICULOS_OSLE[[#This Row],[Pedido]]</f>
        <v>#VALUE!</v>
      </c>
      <c r="AH309" s="2" t="e">
        <f>IF(AND(ARTICULOS_OSLE[[#This Row],[FechaVenc]]=0,ARTICULOS_OSLE[[#This Row],[DiasVenc]]=0),"",ARTICULOS_OSLE[[#This Row],[FechaVenc]]-ARTICULOS_OSLE[[#This Row],[DiasVenc]])</f>
        <v>#VALUE!</v>
      </c>
      <c r="AO309" s="30" t="s">
        <v>8689</v>
      </c>
    </row>
    <row r="310" spans="1:41" ht="15.75" hidden="1" x14ac:dyDescent="0.25">
      <c r="A310" s="135" t="s">
        <v>12621</v>
      </c>
      <c r="B310" s="24"/>
      <c r="C310" t="str">
        <f t="shared" si="25"/>
        <v>KIO60095064</v>
      </c>
      <c r="D310" t="s">
        <v>8689</v>
      </c>
      <c r="E310" s="133" t="s">
        <v>12623</v>
      </c>
      <c r="F310" s="109" t="e">
        <f>VLOOKUP(ARTICULOS_GOLOMAX[[#This Row],[CodigoProveedor]],'PRECIOS GOLOMAX'!$A$1:$C$10000,3,FALSE)</f>
        <v>#N/A</v>
      </c>
      <c r="G310" s="134">
        <v>0</v>
      </c>
      <c r="H310" s="31">
        <v>0</v>
      </c>
      <c r="I310" s="4">
        <v>1</v>
      </c>
      <c r="J310" s="31">
        <v>1</v>
      </c>
      <c r="K310" s="31"/>
      <c r="L310" s="65" t="e">
        <f>((ARTICULOS_GOLOMAX[[#This Row],[P. Compra]]*(1+ARTICULOS_GOLOMAX[[#This Row],[IVA]]%))/ARTICULOS_GOLOMAX[[#This Row],[UnidFact]])+ARTICULOS_GOLOMAX[[#This Row],[CostoFlete]]</f>
        <v>#N/A</v>
      </c>
      <c r="M310" s="4">
        <v>30</v>
      </c>
      <c r="N310" s="63" t="e">
        <f t="shared" si="26"/>
        <v>#N/A</v>
      </c>
      <c r="O310" s="23" t="e">
        <f>MROUND((ARTICULOS_GOLOMAX[[#This Row],[Precio]]/0.6),50)</f>
        <v>#N/A</v>
      </c>
      <c r="P310" s="4" t="s">
        <v>8693</v>
      </c>
      <c r="Q310" s="4">
        <v>2</v>
      </c>
      <c r="R310" s="37">
        <v>6</v>
      </c>
      <c r="S310" t="s">
        <v>17</v>
      </c>
      <c r="T310" t="s">
        <v>27</v>
      </c>
      <c r="U310" t="s">
        <v>28</v>
      </c>
      <c r="V310" t="s">
        <v>9819</v>
      </c>
      <c r="W310" t="s">
        <v>8692</v>
      </c>
      <c r="X310">
        <v>1</v>
      </c>
      <c r="Y310">
        <v>0</v>
      </c>
      <c r="AB310" s="80" t="e">
        <f>ARTICULOS_OSLE[[#This Row],[Costo]]*ARTICULOS_OSLE[[#This Row],[Pedido]]</f>
        <v>#VALUE!</v>
      </c>
      <c r="AH310" s="2" t="e">
        <f>IF(AND(ARTICULOS_OSLE[[#This Row],[FechaVenc]]=0,ARTICULOS_OSLE[[#This Row],[DiasVenc]]=0),"",ARTICULOS_OSLE[[#This Row],[FechaVenc]]-ARTICULOS_OSLE[[#This Row],[DiasVenc]])</f>
        <v>#VALUE!</v>
      </c>
      <c r="AO310" s="30" t="s">
        <v>8689</v>
      </c>
    </row>
    <row r="311" spans="1:41" ht="15.75" hidden="1" x14ac:dyDescent="0.25">
      <c r="A311" s="136" t="s">
        <v>12622</v>
      </c>
      <c r="B311" s="24"/>
      <c r="C311" t="str">
        <f t="shared" si="25"/>
        <v>KIO60095002</v>
      </c>
      <c r="D311" t="s">
        <v>8689</v>
      </c>
      <c r="E311" s="133" t="s">
        <v>12624</v>
      </c>
      <c r="F311" s="98" t="e">
        <f>VLOOKUP(ARTICULOS_GOLOMAX[[#This Row],[CodigoProveedor]],'PRECIOS GOLOMAX'!$A$1:$C$10000,3,FALSE)</f>
        <v>#N/A</v>
      </c>
      <c r="G311" s="134">
        <v>0</v>
      </c>
      <c r="H311" s="46">
        <v>0</v>
      </c>
      <c r="I311" s="8">
        <v>1</v>
      </c>
      <c r="J311" s="46">
        <v>1</v>
      </c>
      <c r="K311" s="46"/>
      <c r="L311" s="65" t="e">
        <f>((ARTICULOS_GOLOMAX[[#This Row],[P. Compra]]*(1+ARTICULOS_GOLOMAX[[#This Row],[IVA]]%))/ARTICULOS_GOLOMAX[[#This Row],[UnidFact]])+ARTICULOS_GOLOMAX[[#This Row],[CostoFlete]]</f>
        <v>#N/A</v>
      </c>
      <c r="M311" s="8">
        <v>30</v>
      </c>
      <c r="N311" s="63" t="e">
        <f t="shared" si="26"/>
        <v>#N/A</v>
      </c>
      <c r="O311" s="51" t="e">
        <f>MROUND((ARTICULOS_GOLOMAX[[#This Row],[Precio]]/0.6),50)</f>
        <v>#N/A</v>
      </c>
      <c r="P311" s="8" t="s">
        <v>8693</v>
      </c>
      <c r="Q311" s="8">
        <v>2</v>
      </c>
      <c r="R311" s="73">
        <v>6</v>
      </c>
      <c r="S311" t="s">
        <v>17</v>
      </c>
      <c r="T311" t="s">
        <v>27</v>
      </c>
      <c r="U311" t="s">
        <v>28</v>
      </c>
      <c r="V311" t="s">
        <v>9819</v>
      </c>
      <c r="W311" t="s">
        <v>8692</v>
      </c>
      <c r="X311">
        <v>1</v>
      </c>
      <c r="Y311">
        <v>0</v>
      </c>
      <c r="AB311" s="80" t="e">
        <f>ARTICULOS_OSLE[[#This Row],[Costo]]*ARTICULOS_OSLE[[#This Row],[Pedido]]</f>
        <v>#VALUE!</v>
      </c>
      <c r="AH311" s="2" t="e">
        <f>IF(AND(ARTICULOS_OSLE[[#This Row],[FechaVenc]]=0,ARTICULOS_OSLE[[#This Row],[DiasVenc]]=0),"",ARTICULOS_OSLE[[#This Row],[FechaVenc]]-ARTICULOS_OSLE[[#This Row],[DiasVenc]])</f>
        <v>#VALUE!</v>
      </c>
      <c r="AO311" s="30" t="s">
        <v>8689</v>
      </c>
    </row>
    <row r="312" spans="1:41" ht="15.75" hidden="1" x14ac:dyDescent="0.25">
      <c r="A312" s="24" t="s">
        <v>12626</v>
      </c>
      <c r="C312" t="str">
        <f t="shared" si="25"/>
        <v>KIO500</v>
      </c>
      <c r="D312" t="s">
        <v>8689</v>
      </c>
      <c r="E312" s="133" t="s">
        <v>12625</v>
      </c>
      <c r="F312" s="98" t="e">
        <f>VLOOKUP(ARTICULOS_GOLOMAX[[#This Row],[CodigoProveedor]],'PRECIOS GOLOMAX'!$A$1:$C$10000,3,FALSE)</f>
        <v>#N/A</v>
      </c>
      <c r="G312" s="134">
        <v>0</v>
      </c>
      <c r="H312" s="46">
        <v>0</v>
      </c>
      <c r="I312" s="8">
        <v>8</v>
      </c>
      <c r="J312" s="46">
        <v>8</v>
      </c>
      <c r="K312" s="46"/>
      <c r="L312" s="65" t="e">
        <f>((ARTICULOS_GOLOMAX[[#This Row],[P. Compra]]*(1+ARTICULOS_GOLOMAX[[#This Row],[IVA]]%))/ARTICULOS_GOLOMAX[[#This Row],[UnidFact]])+ARTICULOS_GOLOMAX[[#This Row],[CostoFlete]]</f>
        <v>#N/A</v>
      </c>
      <c r="M312" s="8">
        <v>30</v>
      </c>
      <c r="N312" s="63" t="e">
        <f t="shared" si="26"/>
        <v>#N/A</v>
      </c>
      <c r="O312" s="51" t="e">
        <f>MROUND((ARTICULOS_GOLOMAX[[#This Row],[Precio]]/0.6),50)</f>
        <v>#N/A</v>
      </c>
      <c r="P312" s="8" t="s">
        <v>8693</v>
      </c>
      <c r="Q312" s="8">
        <v>2</v>
      </c>
      <c r="R312" s="73">
        <f>ARTICULOS_GOLOMAX[[#This Row],[Bulto]]+ARTICULOS_GOLOMAX[[#This Row],[Minimo]]</f>
        <v>10</v>
      </c>
      <c r="S312" t="s">
        <v>17</v>
      </c>
      <c r="T312" t="s">
        <v>27</v>
      </c>
      <c r="U312" t="s">
        <v>25</v>
      </c>
      <c r="V312" s="30" t="s">
        <v>12625</v>
      </c>
      <c r="W312" t="s">
        <v>8692</v>
      </c>
      <c r="X312">
        <v>1</v>
      </c>
      <c r="Y312">
        <v>14</v>
      </c>
      <c r="AB312" s="80" t="e">
        <f>ARTICULOS_OSLE[[#This Row],[Costo]]*ARTICULOS_OSLE[[#This Row],[Pedido]]</f>
        <v>#VALUE!</v>
      </c>
      <c r="AH312" s="2" t="e">
        <f>IF(AND(ARTICULOS_OSLE[[#This Row],[FechaVenc]]=0,ARTICULOS_OSLE[[#This Row],[DiasVenc]]=0),"",ARTICULOS_OSLE[[#This Row],[FechaVenc]]-ARTICULOS_OSLE[[#This Row],[DiasVenc]])</f>
        <v>#VALUE!</v>
      </c>
      <c r="AO312" s="30" t="s">
        <v>8689</v>
      </c>
    </row>
    <row r="313" spans="1:41" ht="15.75" hidden="1" x14ac:dyDescent="0.25">
      <c r="A313" s="24" t="s">
        <v>12627</v>
      </c>
      <c r="C313" t="str">
        <f>CONCATENATE(LEFT(VENEZOLANO!O349,3),RIGHT(VENEZOLANO!A349,8))</f>
        <v/>
      </c>
      <c r="E313" s="133" t="s">
        <v>12629</v>
      </c>
      <c r="F313" s="109" t="e">
        <f>VLOOKUP(ARTICULOS_GOLOMAX[[#This Row],[CodigoProveedor]],'PRECIOS GOLOMAX'!$A$1:$C$10000,3,FALSE)</f>
        <v>#N/A</v>
      </c>
      <c r="G313" s="134"/>
      <c r="H313" s="31"/>
      <c r="I313" s="4"/>
      <c r="J313" s="31"/>
      <c r="K313" s="31"/>
      <c r="L313" s="139" t="e">
        <f>((ARTICULOS_GOLOMAX[[#This Row],[P. Compra]]*(1+ARTICULOS_GOLOMAX[[#This Row],[IVA]]%))/ARTICULOS_GOLOMAX[[#This Row],[UnidFact]])+ARTICULOS_GOLOMAX[[#This Row],[CostoFlete]]</f>
        <v>#N/A</v>
      </c>
      <c r="M313" s="4"/>
      <c r="N313" s="140" t="e">
        <f t="shared" ref="N313:N315" si="27">IF(L313&gt;=10,MROUND(L313/(1-M313/100),50),20)</f>
        <v>#N/A</v>
      </c>
      <c r="O313" s="23" t="e">
        <f>MROUND((ARTICULOS_GOLOMAX[[#This Row],[Precio]]/0.6),50)</f>
        <v>#N/A</v>
      </c>
      <c r="P313" s="4"/>
      <c r="Q313" s="141"/>
      <c r="R313" s="37">
        <f>ARTICULOS_GOLOMAX[[#This Row],[Bulto]]+ARTICULOS_GOLOMAX[[#This Row],[Minimo]]</f>
        <v>0</v>
      </c>
      <c r="AB313" s="80" t="e">
        <f>ARTICULOS_OSLE[[#This Row],[Costo]]*ARTICULOS_OSLE[[#This Row],[Pedido]]</f>
        <v>#VALUE!</v>
      </c>
      <c r="AH313" s="2" t="e">
        <f>IF(AND(ARTICULOS_OSLE[[#This Row],[FechaVenc]]=0,ARTICULOS_OSLE[[#This Row],[DiasVenc]]=0),"",ARTICULOS_OSLE[[#This Row],[FechaVenc]]-ARTICULOS_OSLE[[#This Row],[DiasVenc]])</f>
        <v>#VALUE!</v>
      </c>
    </row>
    <row r="314" spans="1:41" ht="15.75" hidden="1" x14ac:dyDescent="0.25">
      <c r="A314" s="24" t="s">
        <v>12628</v>
      </c>
      <c r="C314" t="str">
        <f>CONCATENATE(LEFT(VENEZOLANO!O350,3),RIGHT(VENEZOLANO!A350,8))</f>
        <v/>
      </c>
      <c r="E314" s="133" t="s">
        <v>12630</v>
      </c>
      <c r="F314" s="98" t="e">
        <f>VLOOKUP(ARTICULOS_GOLOMAX[[#This Row],[CodigoProveedor]],'PRECIOS GOLOMAX'!$A$1:$C$10000,3,FALSE)</f>
        <v>#N/A</v>
      </c>
      <c r="G314" s="134"/>
      <c r="H314" s="46"/>
      <c r="I314" s="8"/>
      <c r="J314" s="46"/>
      <c r="K314" s="46"/>
      <c r="L314" s="65" t="e">
        <f>((ARTICULOS_GOLOMAX[[#This Row],[P. Compra]]*(1+ARTICULOS_GOLOMAX[[#This Row],[IVA]]%))/ARTICULOS_GOLOMAX[[#This Row],[UnidFact]])+ARTICULOS_GOLOMAX[[#This Row],[CostoFlete]]</f>
        <v>#N/A</v>
      </c>
      <c r="M314" s="8"/>
      <c r="N314" s="63" t="e">
        <f t="shared" si="27"/>
        <v>#N/A</v>
      </c>
      <c r="O314" s="51" t="e">
        <f>MROUND((ARTICULOS_GOLOMAX[[#This Row],[Precio]]/0.6),50)</f>
        <v>#N/A</v>
      </c>
      <c r="P314" s="8"/>
      <c r="Q314" s="142"/>
      <c r="R314" s="73">
        <f>ARTICULOS_GOLOMAX[[#This Row],[Bulto]]+ARTICULOS_GOLOMAX[[#This Row],[Minimo]]</f>
        <v>0</v>
      </c>
      <c r="S314" s="8"/>
      <c r="T314" s="7"/>
      <c r="U314" s="7"/>
      <c r="Y314" s="7"/>
      <c r="AB314" s="80" t="e">
        <f>ARTICULOS_OSLE[[#This Row],[Costo]]*ARTICULOS_OSLE[[#This Row],[Pedido]]</f>
        <v>#VALUE!</v>
      </c>
      <c r="AH314" s="2" t="e">
        <f>IF(AND(ARTICULOS_OSLE[[#This Row],[FechaVenc]]=0,ARTICULOS_OSLE[[#This Row],[DiasVenc]]=0),"",ARTICULOS_OSLE[[#This Row],[FechaVenc]]-ARTICULOS_OSLE[[#This Row],[DiasVenc]])</f>
        <v>#VALUE!</v>
      </c>
    </row>
    <row r="315" spans="1:41" ht="15" hidden="1" customHeight="1" x14ac:dyDescent="0.25">
      <c r="A315" s="24" t="s">
        <v>12633</v>
      </c>
      <c r="B315" s="24">
        <v>6321301</v>
      </c>
      <c r="C315" t="str">
        <f t="shared" ref="C315" si="28">CONCATENATE(LEFT(T315,3),RIGHT(A315,8))</f>
        <v>PER73035141</v>
      </c>
      <c r="D315" t="s">
        <v>8689</v>
      </c>
      <c r="E315" s="133" t="s">
        <v>12631</v>
      </c>
      <c r="F315" s="98">
        <f>VLOOKUP(ARTICULOS_GOLOMAX[[#This Row],[CodigoProveedor]],'PRECIOS GOLOMAX'!$A$1:$C$10000,3,FALSE)</f>
        <v>319.18</v>
      </c>
      <c r="G315" s="134">
        <v>0</v>
      </c>
      <c r="H315" s="46">
        <v>0</v>
      </c>
      <c r="I315" s="8">
        <v>1</v>
      </c>
      <c r="J315" s="46">
        <v>1</v>
      </c>
      <c r="K315" s="46"/>
      <c r="L315" s="65">
        <f>((ARTICULOS_GOLOMAX[[#This Row],[P. Compra]]*(1+ARTICULOS_GOLOMAX[[#This Row],[IVA]]%))/ARTICULOS_GOLOMAX[[#This Row],[UnidFact]])+ARTICULOS_GOLOMAX[[#This Row],[CostoFlete]]</f>
        <v>319.18</v>
      </c>
      <c r="M315" s="8">
        <v>30</v>
      </c>
      <c r="N315" s="63">
        <f t="shared" si="27"/>
        <v>450</v>
      </c>
      <c r="O315" s="51">
        <f>MROUND((ARTICULOS_GOLOMAX[[#This Row],[Precio]]/0.6),50)</f>
        <v>750</v>
      </c>
      <c r="P315" s="8" t="s">
        <v>8693</v>
      </c>
      <c r="Q315" s="8">
        <v>3</v>
      </c>
      <c r="R315" s="73">
        <v>10</v>
      </c>
      <c r="S315" t="s">
        <v>35</v>
      </c>
      <c r="T315" t="s">
        <v>33</v>
      </c>
      <c r="U315" t="s">
        <v>73</v>
      </c>
      <c r="V315" t="s">
        <v>8691</v>
      </c>
      <c r="W315" t="s">
        <v>8692</v>
      </c>
      <c r="X315">
        <v>1</v>
      </c>
      <c r="Y315">
        <v>0</v>
      </c>
      <c r="AB315" s="80" t="e">
        <f>ARTICULOS_OSLE[[#This Row],[Costo]]*ARTICULOS_OSLE[[#This Row],[Pedido]]</f>
        <v>#VALUE!</v>
      </c>
      <c r="AH315" s="2" t="e">
        <f>IF(AND(ARTICULOS_OSLE[[#This Row],[FechaVenc]]=0,ARTICULOS_OSLE[[#This Row],[DiasVenc]]=0),"",ARTICULOS_OSLE[[#This Row],[FechaVenc]]-ARTICULOS_OSLE[[#This Row],[DiasVenc]])</f>
        <v>#VALUE!</v>
      </c>
      <c r="AO315" s="30" t="s">
        <v>8689</v>
      </c>
    </row>
  </sheetData>
  <phoneticPr fontId="5" type="noConversion"/>
  <conditionalFormatting sqref="A1">
    <cfRule type="duplicateValues" dxfId="59" priority="10"/>
  </conditionalFormatting>
  <conditionalFormatting sqref="A76:A77 C76:C77 A2:C75 A236:C261 A78:C233 A299:C299 A301:C314 A316:C1048576">
    <cfRule type="duplicateValues" dxfId="58" priority="518"/>
    <cfRule type="duplicateValues" dxfId="57" priority="519"/>
  </conditionalFormatting>
  <conditionalFormatting sqref="A297:A298">
    <cfRule type="duplicateValues" dxfId="56" priority="7"/>
  </conditionalFormatting>
  <conditionalFormatting sqref="A240:C240">
    <cfRule type="duplicateValues" dxfId="55" priority="49"/>
    <cfRule type="duplicateValues" dxfId="54" priority="50"/>
  </conditionalFormatting>
  <conditionalFormatting sqref="A249:C249">
    <cfRule type="duplicateValues" dxfId="53" priority="28"/>
    <cfRule type="duplicateValues" dxfId="52" priority="29"/>
  </conditionalFormatting>
  <conditionalFormatting sqref="A250:C250">
    <cfRule type="duplicateValues" dxfId="51" priority="43"/>
    <cfRule type="duplicateValues" dxfId="50" priority="44"/>
  </conditionalFormatting>
  <conditionalFormatting sqref="A251:C251">
    <cfRule type="duplicateValues" dxfId="49" priority="40"/>
    <cfRule type="duplicateValues" dxfId="48" priority="41"/>
  </conditionalFormatting>
  <conditionalFormatting sqref="A252:C254">
    <cfRule type="duplicateValues" dxfId="47" priority="37"/>
    <cfRule type="duplicateValues" dxfId="46" priority="38"/>
  </conditionalFormatting>
  <conditionalFormatting sqref="A255:C255">
    <cfRule type="duplicateValues" dxfId="45" priority="34"/>
    <cfRule type="duplicateValues" dxfId="44" priority="35"/>
  </conditionalFormatting>
  <conditionalFormatting sqref="A256:C258 C259:C260">
    <cfRule type="duplicateValues" dxfId="43" priority="31"/>
    <cfRule type="duplicateValues" dxfId="42" priority="32"/>
  </conditionalFormatting>
  <conditionalFormatting sqref="A300:C300">
    <cfRule type="duplicateValues" dxfId="41" priority="4"/>
    <cfRule type="duplicateValues" dxfId="40" priority="5"/>
  </conditionalFormatting>
  <conditionalFormatting sqref="A315:C315">
    <cfRule type="duplicateValues" dxfId="39" priority="2"/>
    <cfRule type="duplicateValues" dxfId="38" priority="3"/>
  </conditionalFormatting>
  <conditionalFormatting sqref="B259:B261">
    <cfRule type="duplicateValues" dxfId="37" priority="26"/>
    <cfRule type="duplicateValues" dxfId="36" priority="27"/>
  </conditionalFormatting>
  <conditionalFormatting sqref="B297:B298 A262:C296">
    <cfRule type="duplicateValues" dxfId="35" priority="1158"/>
    <cfRule type="duplicateValues" dxfId="34" priority="1159"/>
  </conditionalFormatting>
  <conditionalFormatting sqref="C1">
    <cfRule type="duplicateValues" dxfId="33" priority="9"/>
  </conditionalFormatting>
  <conditionalFormatting sqref="C297:C298">
    <cfRule type="duplicateValues" dxfId="32" priority="6"/>
  </conditionalFormatting>
  <conditionalFormatting sqref="L1:L233 F313:F314 F316:F1048576">
    <cfRule type="cellIs" dxfId="31" priority="20" operator="greaterThan">
      <formula>0</formula>
    </cfRule>
  </conditionalFormatting>
  <conditionalFormatting sqref="L236:L315">
    <cfRule type="cellIs" dxfId="30" priority="1" operator="greaterThan">
      <formula>0</formula>
    </cfRule>
  </conditionalFormatting>
  <conditionalFormatting sqref="L316:L1048576">
    <cfRule type="cellIs" dxfId="29" priority="12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ignoredErrors>
    <ignoredError sqref="A314" numberStoredAsText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86E5EC3-57FC-4321-A936-D074E60F9D55}">
          <x14:formula1>
            <xm:f>LISTAS!$A:$A</xm:f>
          </x14:formula1>
          <xm:sqref>S236:S312 S1:S233 S315</xm:sqref>
        </x14:dataValidation>
        <x14:dataValidation type="list" allowBlank="1" showInputMessage="1" showErrorMessage="1" xr:uid="{A6D52449-15C2-419F-8637-4123C260A98E}">
          <x14:formula1>
            <xm:f>LISTAS!$E:$E</xm:f>
          </x14:formula1>
          <xm:sqref>U236:U312 U1:U233 U315</xm:sqref>
        </x14:dataValidation>
        <x14:dataValidation type="list" allowBlank="1" showInputMessage="1" showErrorMessage="1" xr:uid="{D8453D3B-1A15-4597-A68F-C19C87C3D94C}">
          <x14:formula1>
            <xm:f>LISTAS!$C:$C</xm:f>
          </x14:formula1>
          <xm:sqref>T236:T312 T2:T233 T315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CBD0-EEA1-4D41-8C18-7E367749B7B1}">
  <dimension ref="A1:AQ52"/>
  <sheetViews>
    <sheetView topLeftCell="A27" workbookViewId="0">
      <pane xSplit="5" topLeftCell="F1" activePane="topRight" state="frozen"/>
      <selection activeCell="AD34" sqref="AD34"/>
      <selection pane="topRight" activeCell="N3" sqref="N3"/>
    </sheetView>
  </sheetViews>
  <sheetFormatPr baseColWidth="10" defaultColWidth="11.42578125" defaultRowHeight="15.75" x14ac:dyDescent="0.25"/>
  <cols>
    <col min="1" max="1" width="14" style="1" bestFit="1" customWidth="1"/>
    <col min="2" max="2" width="10.42578125" style="1" customWidth="1"/>
    <col min="3" max="3" width="14.28515625" style="1" customWidth="1"/>
    <col min="4" max="4" width="7.42578125" customWidth="1"/>
    <col min="5" max="5" width="43.42578125" style="1" customWidth="1"/>
    <col min="6" max="6" width="10.42578125" style="50" bestFit="1" customWidth="1"/>
    <col min="7" max="7" width="7" bestFit="1" customWidth="1"/>
    <col min="8" max="8" width="5.140625" bestFit="1" customWidth="1"/>
    <col min="9" max="9" width="6.28515625" bestFit="1" customWidth="1"/>
    <col min="10" max="10" width="10.140625" style="34" bestFit="1" customWidth="1"/>
    <col min="11" max="11" width="10.7109375" bestFit="1" customWidth="1"/>
    <col min="12" max="12" width="10.42578125" style="93" bestFit="1" customWidth="1"/>
    <col min="13" max="13" width="11.140625" bestFit="1" customWidth="1"/>
    <col min="16" max="16" width="13.85546875" bestFit="1" customWidth="1"/>
    <col min="17" max="17" width="8.85546875" bestFit="1" customWidth="1"/>
    <col min="20" max="20" width="8.85546875" bestFit="1" customWidth="1"/>
    <col min="22" max="22" width="8" bestFit="1" customWidth="1"/>
    <col min="23" max="23" width="10" bestFit="1" customWidth="1"/>
    <col min="25" max="25" width="9.7109375" style="3" bestFit="1" customWidth="1"/>
    <col min="26" max="26" width="10.28515625" style="3" bestFit="1" customWidth="1"/>
    <col min="27" max="27" width="10.7109375" style="3" bestFit="1" customWidth="1"/>
    <col min="28" max="28" width="12.5703125" bestFit="1" customWidth="1"/>
    <col min="29" max="29" width="8.85546875" bestFit="1" customWidth="1"/>
  </cols>
  <sheetData>
    <row r="1" spans="1:43" s="59" customFormat="1" ht="25.1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90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s="11" customFormat="1" ht="16.5" customHeight="1" x14ac:dyDescent="0.25">
      <c r="A2" s="1" t="s">
        <v>10277</v>
      </c>
      <c r="B2" s="1" t="s">
        <v>10278</v>
      </c>
      <c r="C2" t="str">
        <f t="shared" ref="C2:C50" si="0">CONCATENATE(LEFT(T2,3),RIGHT(A2,8))</f>
        <v>ALM10983461</v>
      </c>
      <c r="D2" t="s">
        <v>8689</v>
      </c>
      <c r="E2" s="1" t="s">
        <v>10279</v>
      </c>
      <c r="F2" s="61">
        <v>615.38</v>
      </c>
      <c r="G2" s="3">
        <v>0</v>
      </c>
      <c r="H2" s="4" t="s">
        <v>8690</v>
      </c>
      <c r="I2">
        <v>6</v>
      </c>
      <c r="J2">
        <v>1</v>
      </c>
      <c r="K2"/>
      <c r="L2" s="94">
        <f>((ARTICULOS_POPSALADO[[#This Row],[P. Compra]]*(1+ARTICULOS_POPSALADO[[#This Row],[IVA]]%))/ARTICULOS_POPSALADO[[#This Row],[UnidFact]])+ARTICULOS_POPSALADO[[#This Row],[CostoFlete]]</f>
        <v>615.38</v>
      </c>
      <c r="M2">
        <v>30</v>
      </c>
      <c r="N2" s="32">
        <f>IF(L2&gt;=5,MROUND((L2*(1+(ARTICULOS_POPSALADO[[#This Row],[Util]]/100))),50),10)</f>
        <v>800</v>
      </c>
      <c r="O2" s="3">
        <f>MROUND((ARTICULOS_POPSALADO[[#This Row],[Precio]]/0.6),10)</f>
        <v>1330</v>
      </c>
      <c r="P2" t="s">
        <v>8693</v>
      </c>
      <c r="Q2">
        <v>3</v>
      </c>
      <c r="R2" s="22">
        <f>ARTICULOS_POPSALADO[[#This Row],[Bulto]]+ARTICULOS_POPSALADO[[#This Row],[Minimo]]</f>
        <v>9</v>
      </c>
      <c r="S2" t="s">
        <v>51</v>
      </c>
      <c r="T2" t="s">
        <v>4</v>
      </c>
      <c r="U2" t="s">
        <v>102</v>
      </c>
      <c r="V2" t="s">
        <v>10280</v>
      </c>
      <c r="W2" t="s">
        <v>8692</v>
      </c>
      <c r="X2">
        <v>1</v>
      </c>
      <c r="Y2" s="3">
        <v>0</v>
      </c>
      <c r="Z2" s="3"/>
      <c r="AA2"/>
      <c r="AB2" s="80">
        <f>ARTICULOS_POPSALADO[[#This Row],[Costo]]*ARTICULOS_POPSALADO[[#This Row],[Pedido]]</f>
        <v>0</v>
      </c>
      <c r="AC2"/>
      <c r="AD2"/>
      <c r="AE2"/>
      <c r="AF2" s="2"/>
      <c r="AG2"/>
      <c r="AH2" s="2" t="str">
        <f>IF(AND(ARTICULOS_POPSALADO[[#This Row],[FechaVenc]]=0,ARTICULOS_POPSALADO[[#This Row],[DiasVenc]]=0),"",ARTICULOS_POPSALADO[[#This Row],[FechaVenc]]-ARTICULOS_POPSALADO[[#This Row],[DiasVenc]])</f>
        <v/>
      </c>
      <c r="AI2"/>
      <c r="AJ2"/>
      <c r="AK2"/>
      <c r="AL2"/>
      <c r="AM2"/>
      <c r="AN2"/>
      <c r="AO2" s="30" t="s">
        <v>8689</v>
      </c>
      <c r="AP2"/>
      <c r="AQ2"/>
    </row>
    <row r="3" spans="1:43" s="12" customFormat="1" x14ac:dyDescent="0.25">
      <c r="A3" s="1" t="s">
        <v>10281</v>
      </c>
      <c r="B3" s="1" t="s">
        <v>10282</v>
      </c>
      <c r="C3" t="str">
        <f t="shared" si="0"/>
        <v>ALM10985113</v>
      </c>
      <c r="D3" t="s">
        <v>8689</v>
      </c>
      <c r="E3" s="1" t="s">
        <v>10283</v>
      </c>
      <c r="F3" s="61">
        <v>1038.46</v>
      </c>
      <c r="G3" s="3">
        <v>0</v>
      </c>
      <c r="H3" s="4" t="s">
        <v>8690</v>
      </c>
      <c r="I3">
        <v>6</v>
      </c>
      <c r="J3">
        <v>1</v>
      </c>
      <c r="K3"/>
      <c r="L3" s="91">
        <f>((ARTICULOS_POPSALADO[[#This Row],[P. Compra]]*(1+ARTICULOS_POPSALADO[[#This Row],[IVA]]%))/ARTICULOS_POPSALADO[[#This Row],[UnidFact]])+ARTICULOS_POPSALADO[[#This Row],[CostoFlete]]</f>
        <v>1038.46</v>
      </c>
      <c r="M3">
        <v>30</v>
      </c>
      <c r="N3" s="32">
        <f>IF(L3&gt;=5,MROUND((L3*(1+(ARTICULOS_POPSALADO[[#This Row],[Util]]/100))),50),10)</f>
        <v>1350</v>
      </c>
      <c r="O3" s="3">
        <f>MROUND((ARTICULOS_POPSALADO[[#This Row],[Precio]]/0.6),10)</f>
        <v>2250</v>
      </c>
      <c r="P3" t="s">
        <v>8693</v>
      </c>
      <c r="Q3">
        <v>3</v>
      </c>
      <c r="R3" s="22">
        <f>ARTICULOS_POPSALADO[[#This Row],[Bulto]]+ARTICULOS_POPSALADO[[#This Row],[Minimo]]</f>
        <v>9</v>
      </c>
      <c r="S3" t="s">
        <v>51</v>
      </c>
      <c r="T3" t="s">
        <v>4</v>
      </c>
      <c r="U3" t="s">
        <v>102</v>
      </c>
      <c r="V3" t="s">
        <v>10280</v>
      </c>
      <c r="W3" t="s">
        <v>8692</v>
      </c>
      <c r="X3">
        <v>1</v>
      </c>
      <c r="Y3" s="3">
        <v>5</v>
      </c>
      <c r="Z3" s="3"/>
      <c r="AB3" s="85">
        <f>ARTICULOS_POPSALADO[[#This Row],[Costo]]*ARTICULOS_POPSALADO[[#This Row],[Pedido]]</f>
        <v>0</v>
      </c>
      <c r="AH3" s="83" t="str">
        <f>IF(AND(ARTICULOS_POPSALADO[[#This Row],[FechaVenc]]=0,ARTICULOS_POPSALADO[[#This Row],[DiasVenc]]=0),"",ARTICULOS_POPSALADO[[#This Row],[FechaVenc]]-ARTICULOS_POPSALADO[[#This Row],[DiasVenc]])</f>
        <v/>
      </c>
      <c r="AO3" s="30" t="s">
        <v>8689</v>
      </c>
    </row>
    <row r="4" spans="1:43" x14ac:dyDescent="0.25">
      <c r="A4" s="1" t="s">
        <v>10284</v>
      </c>
      <c r="B4" s="1" t="s">
        <v>10285</v>
      </c>
      <c r="C4" t="str">
        <f t="shared" si="0"/>
        <v>ALM10985120</v>
      </c>
      <c r="D4" t="s">
        <v>8689</v>
      </c>
      <c r="E4" s="1" t="s">
        <v>10286</v>
      </c>
      <c r="F4" s="61">
        <v>1692.31</v>
      </c>
      <c r="G4" s="3">
        <v>0</v>
      </c>
      <c r="H4" s="4" t="s">
        <v>8690</v>
      </c>
      <c r="I4">
        <v>6</v>
      </c>
      <c r="J4">
        <v>1</v>
      </c>
      <c r="L4" s="91">
        <f>((ARTICULOS_POPSALADO[[#This Row],[P. Compra]]*(1+ARTICULOS_POPSALADO[[#This Row],[IVA]]%))/ARTICULOS_POPSALADO[[#This Row],[UnidFact]])+ARTICULOS_POPSALADO[[#This Row],[CostoFlete]]</f>
        <v>1692.31</v>
      </c>
      <c r="M4">
        <v>30</v>
      </c>
      <c r="N4" s="32">
        <f>IF(L4&gt;=5,MROUND((L4*(1+(ARTICULOS_POPSALADO[[#This Row],[Util]]/100))),50),10)</f>
        <v>2200</v>
      </c>
      <c r="O4" s="3">
        <f>MROUND((ARTICULOS_POPSALADO[[#This Row],[Precio]]/0.6),10)</f>
        <v>3670</v>
      </c>
      <c r="P4" t="s">
        <v>8693</v>
      </c>
      <c r="Q4">
        <v>3</v>
      </c>
      <c r="R4" s="22">
        <f>ARTICULOS_POPSALADO[[#This Row],[Bulto]]+ARTICULOS_POPSALADO[[#This Row],[Minimo]]</f>
        <v>9</v>
      </c>
      <c r="S4" t="s">
        <v>51</v>
      </c>
      <c r="T4" t="s">
        <v>4</v>
      </c>
      <c r="U4" t="s">
        <v>102</v>
      </c>
      <c r="V4" t="s">
        <v>10280</v>
      </c>
      <c r="W4" t="s">
        <v>8692</v>
      </c>
      <c r="X4">
        <v>1</v>
      </c>
      <c r="Y4" s="3">
        <v>3</v>
      </c>
      <c r="AA4"/>
      <c r="AB4" s="80">
        <f>ARTICULOS_POPSALADO[[#This Row],[Costo]]*ARTICULOS_POPSALADO[[#This Row],[Pedido]]</f>
        <v>0</v>
      </c>
      <c r="AH4" s="2" t="str">
        <f>IF(AND(ARTICULOS_POPSALADO[[#This Row],[FechaVenc]]=0,ARTICULOS_POPSALADO[[#This Row],[DiasVenc]]=0),"",ARTICULOS_POPSALADO[[#This Row],[FechaVenc]]-ARTICULOS_POPSALADO[[#This Row],[DiasVenc]])</f>
        <v/>
      </c>
      <c r="AO4" s="30" t="s">
        <v>8689</v>
      </c>
    </row>
    <row r="5" spans="1:43" ht="16.5" thickBot="1" x14ac:dyDescent="0.3">
      <c r="A5" s="25" t="s">
        <v>10287</v>
      </c>
      <c r="B5" s="25" t="s">
        <v>10288</v>
      </c>
      <c r="C5" s="26" t="str">
        <f t="shared" si="0"/>
        <v>ALM10985137</v>
      </c>
      <c r="D5" s="26" t="s">
        <v>8689</v>
      </c>
      <c r="E5" s="25" t="s">
        <v>10289</v>
      </c>
      <c r="F5" s="95">
        <v>2846.15</v>
      </c>
      <c r="G5" s="27">
        <v>0</v>
      </c>
      <c r="H5" s="28" t="s">
        <v>8690</v>
      </c>
      <c r="I5" s="26">
        <v>6</v>
      </c>
      <c r="J5" s="26">
        <v>1</v>
      </c>
      <c r="K5" s="26"/>
      <c r="L5" s="92">
        <f>((ARTICULOS_POPSALADO[[#This Row],[P. Compra]]*(1+ARTICULOS_POPSALADO[[#This Row],[IVA]]%))/ARTICULOS_POPSALADO[[#This Row],[UnidFact]])+ARTICULOS_POPSALADO[[#This Row],[CostoFlete]]</f>
        <v>2846.15</v>
      </c>
      <c r="M5" s="26">
        <v>30</v>
      </c>
      <c r="N5" s="33">
        <f>IF(L5&gt;=5,MROUND((L5*(1+(ARTICULOS_POPSALADO[[#This Row],[Util]]/100))),50),10)</f>
        <v>3700</v>
      </c>
      <c r="O5" s="27">
        <f>MROUND((ARTICULOS_POPSALADO[[#This Row],[Precio]]/0.6),10)</f>
        <v>6170</v>
      </c>
      <c r="P5" s="26" t="s">
        <v>8693</v>
      </c>
      <c r="Q5" s="26">
        <v>3</v>
      </c>
      <c r="R5" s="29">
        <f>ARTICULOS_POPSALADO[[#This Row],[Bulto]]+ARTICULOS_POPSALADO[[#This Row],[Minimo]]</f>
        <v>9</v>
      </c>
      <c r="S5" s="26" t="s">
        <v>51</v>
      </c>
      <c r="T5" s="26" t="s">
        <v>4</v>
      </c>
      <c r="U5" s="26" t="s">
        <v>102</v>
      </c>
      <c r="V5" s="26" t="s">
        <v>10280</v>
      </c>
      <c r="W5" s="26" t="s">
        <v>8692</v>
      </c>
      <c r="X5" s="26">
        <v>1</v>
      </c>
      <c r="Y5" s="27">
        <v>2</v>
      </c>
      <c r="Z5" s="27"/>
      <c r="AA5"/>
      <c r="AB5" s="80">
        <f>ARTICULOS_POPSALADO[[#This Row],[Costo]]*ARTICULOS_POPSALADO[[#This Row],[Pedido]]</f>
        <v>0</v>
      </c>
      <c r="AH5" s="2" t="str">
        <f>IF(AND(ARTICULOS_POPSALADO[[#This Row],[FechaVenc]]=0,ARTICULOS_POPSALADO[[#This Row],[DiasVenc]]=0),"",ARTICULOS_POPSALADO[[#This Row],[FechaVenc]]-ARTICULOS_POPSALADO[[#This Row],[DiasVenc]])</f>
        <v/>
      </c>
      <c r="AO5" s="30" t="s">
        <v>8689</v>
      </c>
    </row>
    <row r="6" spans="1:43" x14ac:dyDescent="0.25">
      <c r="A6" s="1" t="s">
        <v>11426</v>
      </c>
      <c r="B6" s="1" t="s">
        <v>11427</v>
      </c>
      <c r="C6" t="str">
        <f>CONCATENATE(LEFT(T6,3),RIGHT(A6,8))</f>
        <v>ALM10985359</v>
      </c>
      <c r="D6" t="s">
        <v>8689</v>
      </c>
      <c r="E6" s="24" t="s">
        <v>11832</v>
      </c>
      <c r="F6" s="61">
        <f>F3</f>
        <v>1038.46</v>
      </c>
      <c r="G6" s="3">
        <v>0</v>
      </c>
      <c r="H6" s="4" t="s">
        <v>8690</v>
      </c>
      <c r="I6">
        <v>6</v>
      </c>
      <c r="J6">
        <v>1</v>
      </c>
      <c r="L6" s="91">
        <f>((ARTICULOS_POPSALADO[[#This Row],[P. Compra]]*(1+ARTICULOS_POPSALADO[[#This Row],[IVA]]%))/ARTICULOS_POPSALADO[[#This Row],[UnidFact]])+ARTICULOS_POPSALADO[[#This Row],[CostoFlete]]</f>
        <v>1038.46</v>
      </c>
      <c r="M6">
        <v>30</v>
      </c>
      <c r="N6" s="32">
        <f>IF(L6&gt;=5,MROUND((L6*(1+(ARTICULOS_POPSALADO[[#This Row],[Util]]/100))),50),10)</f>
        <v>1350</v>
      </c>
      <c r="O6" s="3">
        <f>MROUND((ARTICULOS_POPSALADO[[#This Row],[Precio]]/0.6),10)</f>
        <v>2250</v>
      </c>
      <c r="P6" t="s">
        <v>8693</v>
      </c>
      <c r="Q6">
        <v>3</v>
      </c>
      <c r="R6" s="22">
        <f>ARTICULOS_POPSALADO[[#This Row],[Bulto]]+ARTICULOS_POPSALADO[[#This Row],[Minimo]]</f>
        <v>9</v>
      </c>
      <c r="S6" t="s">
        <v>51</v>
      </c>
      <c r="T6" t="s">
        <v>4</v>
      </c>
      <c r="U6" t="s">
        <v>102</v>
      </c>
      <c r="V6" t="s">
        <v>10293</v>
      </c>
      <c r="W6" t="s">
        <v>8692</v>
      </c>
      <c r="X6">
        <v>1</v>
      </c>
      <c r="Y6" s="3">
        <v>4</v>
      </c>
      <c r="AA6"/>
      <c r="AB6" s="80">
        <f>ARTICULOS_POPSALADO[[#This Row],[Costo]]*ARTICULOS_POPSALADO[[#This Row],[Pedido]]</f>
        <v>0</v>
      </c>
      <c r="AH6" s="2" t="str">
        <f>IF(AND(ARTICULOS_POPSALADO[[#This Row],[FechaVenc]]=0,ARTICULOS_POPSALADO[[#This Row],[DiasVenc]]=0),"",ARTICULOS_POPSALADO[[#This Row],[FechaVenc]]-ARTICULOS_POPSALADO[[#This Row],[DiasVenc]])</f>
        <v/>
      </c>
      <c r="AO6" s="30" t="s">
        <v>8689</v>
      </c>
    </row>
    <row r="7" spans="1:43" x14ac:dyDescent="0.25">
      <c r="A7" s="1" t="s">
        <v>11848</v>
      </c>
      <c r="B7" s="1" t="s">
        <v>11427</v>
      </c>
      <c r="C7" t="str">
        <f>CONCATENATE(LEFT(T7,3),RIGHT(A7,8))</f>
        <v>ALM31098535</v>
      </c>
      <c r="D7" t="s">
        <v>8689</v>
      </c>
      <c r="E7" s="24" t="s">
        <v>11878</v>
      </c>
      <c r="F7" s="61">
        <f>F4</f>
        <v>1692.31</v>
      </c>
      <c r="G7" s="3">
        <v>0</v>
      </c>
      <c r="H7" s="4" t="s">
        <v>8690</v>
      </c>
      <c r="I7">
        <v>6</v>
      </c>
      <c r="J7">
        <v>1</v>
      </c>
      <c r="L7" s="91">
        <f>((ARTICULOS_POPSALADO[[#This Row],[P. Compra]]*(1+ARTICULOS_POPSALADO[[#This Row],[IVA]]%))/ARTICULOS_POPSALADO[[#This Row],[UnidFact]])+ARTICULOS_POPSALADO[[#This Row],[CostoFlete]]</f>
        <v>1692.31</v>
      </c>
      <c r="M7">
        <v>30</v>
      </c>
      <c r="N7" s="32">
        <f>IF(L7&gt;=5,MROUND((L7*(1+(ARTICULOS_POPSALADO[[#This Row],[Util]]/100))),50),10)</f>
        <v>2200</v>
      </c>
      <c r="O7" s="3">
        <f>MROUND((ARTICULOS_POPSALADO[[#This Row],[Precio]]/0.6),10)</f>
        <v>3670</v>
      </c>
      <c r="P7" t="s">
        <v>8693</v>
      </c>
      <c r="Q7">
        <v>3</v>
      </c>
      <c r="R7" s="22">
        <f>ARTICULOS_POPSALADO[[#This Row],[Bulto]]+ARTICULOS_POPSALADO[[#This Row],[Minimo]]</f>
        <v>9</v>
      </c>
      <c r="S7" t="s">
        <v>51</v>
      </c>
      <c r="T7" t="s">
        <v>4</v>
      </c>
      <c r="U7" t="s">
        <v>102</v>
      </c>
      <c r="V7" t="s">
        <v>10293</v>
      </c>
      <c r="W7" t="s">
        <v>8692</v>
      </c>
      <c r="X7">
        <v>1</v>
      </c>
      <c r="Y7" s="3">
        <v>4</v>
      </c>
      <c r="AA7"/>
      <c r="AB7" s="80">
        <f>ARTICULOS_POPSALADO[[#This Row],[Costo]]*ARTICULOS_POPSALADO[[#This Row],[Pedido]]</f>
        <v>0</v>
      </c>
      <c r="AH7" s="2" t="str">
        <f>IF(AND(ARTICULOS_POPSALADO[[#This Row],[FechaVenc]]=0,ARTICULOS_POPSALADO[[#This Row],[DiasVenc]]=0),"",ARTICULOS_POPSALADO[[#This Row],[FechaVenc]]-ARTICULOS_POPSALADO[[#This Row],[DiasVenc]])</f>
        <v/>
      </c>
      <c r="AO7" s="30" t="s">
        <v>8689</v>
      </c>
    </row>
    <row r="8" spans="1:43" x14ac:dyDescent="0.25">
      <c r="A8" s="1" t="s">
        <v>10290</v>
      </c>
      <c r="B8" s="1" t="s">
        <v>10291</v>
      </c>
      <c r="C8" t="str">
        <f t="shared" si="0"/>
        <v>ALM10983157</v>
      </c>
      <c r="D8" t="s">
        <v>8689</v>
      </c>
      <c r="E8" s="1" t="s">
        <v>10292</v>
      </c>
      <c r="F8" s="61">
        <f>F2</f>
        <v>615.38</v>
      </c>
      <c r="G8" s="3">
        <v>0</v>
      </c>
      <c r="H8" s="4" t="s">
        <v>8690</v>
      </c>
      <c r="I8">
        <v>6</v>
      </c>
      <c r="J8">
        <v>1</v>
      </c>
      <c r="L8" s="91">
        <f>((ARTICULOS_POPSALADO[[#This Row],[P. Compra]]*(1+ARTICULOS_POPSALADO[[#This Row],[IVA]]%))/ARTICULOS_POPSALADO[[#This Row],[UnidFact]])+ARTICULOS_POPSALADO[[#This Row],[CostoFlete]]</f>
        <v>615.38</v>
      </c>
      <c r="M8">
        <v>30</v>
      </c>
      <c r="N8" s="32">
        <f>IF(L8&gt;=5,MROUND((L8*(1+(ARTICULOS_POPSALADO[[#This Row],[Util]]/100))),50),10)</f>
        <v>800</v>
      </c>
      <c r="O8" s="3">
        <f>MROUND((ARTICULOS_POPSALADO[[#This Row],[Precio]]/0.6),10)</f>
        <v>1330</v>
      </c>
      <c r="P8" t="s">
        <v>8693</v>
      </c>
      <c r="Q8">
        <v>3</v>
      </c>
      <c r="R8" s="22">
        <f>ARTICULOS_POPSALADO[[#This Row],[Bulto]]+ARTICULOS_POPSALADO[[#This Row],[Minimo]]</f>
        <v>9</v>
      </c>
      <c r="S8" t="s">
        <v>51</v>
      </c>
      <c r="T8" t="s">
        <v>4</v>
      </c>
      <c r="U8" t="s">
        <v>102</v>
      </c>
      <c r="V8" s="30" t="s">
        <v>10293</v>
      </c>
      <c r="W8" t="s">
        <v>8692</v>
      </c>
      <c r="X8">
        <v>1</v>
      </c>
      <c r="Y8" s="3">
        <v>0</v>
      </c>
      <c r="AA8"/>
      <c r="AB8" s="80">
        <f>ARTICULOS_POPSALADO[[#This Row],[Costo]]*ARTICULOS_POPSALADO[[#This Row],[Pedido]]</f>
        <v>0</v>
      </c>
      <c r="AH8" s="2" t="str">
        <f>IF(AND(ARTICULOS_POPSALADO[[#This Row],[FechaVenc]]=0,ARTICULOS_POPSALADO[[#This Row],[DiasVenc]]=0),"",ARTICULOS_POPSALADO[[#This Row],[FechaVenc]]-ARTICULOS_POPSALADO[[#This Row],[DiasVenc]])</f>
        <v/>
      </c>
      <c r="AO8" s="30" t="s">
        <v>8689</v>
      </c>
    </row>
    <row r="9" spans="1:43" x14ac:dyDescent="0.25">
      <c r="A9" s="1" t="s">
        <v>10294</v>
      </c>
      <c r="B9" s="1" t="s">
        <v>10295</v>
      </c>
      <c r="C9" t="str">
        <f t="shared" si="0"/>
        <v>ALM10985274</v>
      </c>
      <c r="D9" t="s">
        <v>8689</v>
      </c>
      <c r="E9" s="1" t="s">
        <v>10296</v>
      </c>
      <c r="F9" s="61">
        <f t="shared" ref="F9:F11" si="1">F3</f>
        <v>1038.46</v>
      </c>
      <c r="G9" s="3">
        <v>0</v>
      </c>
      <c r="H9" s="4" t="s">
        <v>8690</v>
      </c>
      <c r="I9">
        <v>6</v>
      </c>
      <c r="J9">
        <v>1</v>
      </c>
      <c r="L9" s="91">
        <f>((ARTICULOS_POPSALADO[[#This Row],[P. Compra]]*(1+ARTICULOS_POPSALADO[[#This Row],[IVA]]%))/ARTICULOS_POPSALADO[[#This Row],[UnidFact]])+ARTICULOS_POPSALADO[[#This Row],[CostoFlete]]</f>
        <v>1038.46</v>
      </c>
      <c r="M9">
        <v>30</v>
      </c>
      <c r="N9" s="32">
        <f>IF(L9&gt;=5,MROUND((L9*(1+(ARTICULOS_POPSALADO[[#This Row],[Util]]/100))),50),10)</f>
        <v>1350</v>
      </c>
      <c r="O9" s="3">
        <f>MROUND((ARTICULOS_POPSALADO[[#This Row],[Precio]]/0.6),10)</f>
        <v>2250</v>
      </c>
      <c r="P9" t="s">
        <v>8693</v>
      </c>
      <c r="Q9">
        <v>3</v>
      </c>
      <c r="R9" s="22">
        <f>ARTICULOS_POPSALADO[[#This Row],[Bulto]]+ARTICULOS_POPSALADO[[#This Row],[Minimo]]</f>
        <v>9</v>
      </c>
      <c r="S9" t="s">
        <v>51</v>
      </c>
      <c r="T9" t="s">
        <v>4</v>
      </c>
      <c r="U9" t="s">
        <v>102</v>
      </c>
      <c r="V9" s="30" t="s">
        <v>10293</v>
      </c>
      <c r="W9" t="s">
        <v>8692</v>
      </c>
      <c r="X9">
        <v>1</v>
      </c>
      <c r="Y9" s="3">
        <v>1</v>
      </c>
      <c r="AA9"/>
      <c r="AB9" s="80">
        <f>ARTICULOS_POPSALADO[[#This Row],[Costo]]*ARTICULOS_POPSALADO[[#This Row],[Pedido]]</f>
        <v>0</v>
      </c>
      <c r="AH9" s="2" t="str">
        <f>IF(AND(ARTICULOS_POPSALADO[[#This Row],[FechaVenc]]=0,ARTICULOS_POPSALADO[[#This Row],[DiasVenc]]=0),"",ARTICULOS_POPSALADO[[#This Row],[FechaVenc]]-ARTICULOS_POPSALADO[[#This Row],[DiasVenc]])</f>
        <v/>
      </c>
      <c r="AO9" s="30" t="s">
        <v>8689</v>
      </c>
    </row>
    <row r="10" spans="1:43" x14ac:dyDescent="0.25">
      <c r="A10" s="1" t="s">
        <v>11425</v>
      </c>
      <c r="B10" s="1" t="s">
        <v>10297</v>
      </c>
      <c r="C10" t="str">
        <f t="shared" si="0"/>
        <v>ALM10985809</v>
      </c>
      <c r="D10" t="s">
        <v>8689</v>
      </c>
      <c r="E10" s="1" t="s">
        <v>11424</v>
      </c>
      <c r="F10" s="61">
        <f t="shared" si="1"/>
        <v>1692.31</v>
      </c>
      <c r="G10" s="3">
        <v>0</v>
      </c>
      <c r="H10" s="4" t="s">
        <v>8690</v>
      </c>
      <c r="I10">
        <v>6</v>
      </c>
      <c r="J10">
        <v>1</v>
      </c>
      <c r="L10" s="91">
        <f>((ARTICULOS_POPSALADO[[#This Row],[P. Compra]]*(1+ARTICULOS_POPSALADO[[#This Row],[IVA]]%))/ARTICULOS_POPSALADO[[#This Row],[UnidFact]])+ARTICULOS_POPSALADO[[#This Row],[CostoFlete]]</f>
        <v>1692.31</v>
      </c>
      <c r="M10">
        <v>30</v>
      </c>
      <c r="N10" s="32">
        <f>IF(L10&gt;=5,MROUND((L10*(1+(ARTICULOS_POPSALADO[[#This Row],[Util]]/100))),50),10)</f>
        <v>2200</v>
      </c>
      <c r="O10" s="3">
        <f>MROUND((ARTICULOS_POPSALADO[[#This Row],[Precio]]/0.6),10)</f>
        <v>3670</v>
      </c>
      <c r="P10" t="s">
        <v>8693</v>
      </c>
      <c r="Q10">
        <v>3</v>
      </c>
      <c r="R10" s="22">
        <f>ARTICULOS_POPSALADO[[#This Row],[Bulto]]+ARTICULOS_POPSALADO[[#This Row],[Minimo]]</f>
        <v>9</v>
      </c>
      <c r="S10" t="s">
        <v>51</v>
      </c>
      <c r="T10" t="s">
        <v>4</v>
      </c>
      <c r="U10" t="s">
        <v>102</v>
      </c>
      <c r="V10" t="s">
        <v>10293</v>
      </c>
      <c r="W10" t="s">
        <v>8692</v>
      </c>
      <c r="X10">
        <v>1</v>
      </c>
      <c r="Y10" s="3">
        <v>3</v>
      </c>
      <c r="AA10"/>
      <c r="AB10" s="80">
        <f>ARTICULOS_POPSALADO[[#This Row],[Costo]]*ARTICULOS_POPSALADO[[#This Row],[Pedido]]</f>
        <v>0</v>
      </c>
      <c r="AH10" s="2" t="str">
        <f>IF(AND(ARTICULOS_POPSALADO[[#This Row],[FechaVenc]]=0,ARTICULOS_POPSALADO[[#This Row],[DiasVenc]]=0),"",ARTICULOS_POPSALADO[[#This Row],[FechaVenc]]-ARTICULOS_POPSALADO[[#This Row],[DiasVenc]])</f>
        <v/>
      </c>
      <c r="AO10" s="30" t="s">
        <v>8689</v>
      </c>
    </row>
    <row r="11" spans="1:43" x14ac:dyDescent="0.25">
      <c r="A11" s="1" t="s">
        <v>11429</v>
      </c>
      <c r="B11" s="1" t="s">
        <v>10298</v>
      </c>
      <c r="C11" t="str">
        <f t="shared" si="0"/>
        <v>ALM10985793</v>
      </c>
      <c r="D11" t="s">
        <v>8689</v>
      </c>
      <c r="E11" s="1" t="s">
        <v>11428</v>
      </c>
      <c r="F11" s="61">
        <f t="shared" si="1"/>
        <v>2846.15</v>
      </c>
      <c r="G11" s="3">
        <v>0</v>
      </c>
      <c r="H11" s="4" t="s">
        <v>8690</v>
      </c>
      <c r="I11">
        <v>6</v>
      </c>
      <c r="J11">
        <v>1</v>
      </c>
      <c r="L11" s="91">
        <f>((ARTICULOS_POPSALADO[[#This Row],[P. Compra]]*(1+ARTICULOS_POPSALADO[[#This Row],[IVA]]%))/ARTICULOS_POPSALADO[[#This Row],[UnidFact]])+ARTICULOS_POPSALADO[[#This Row],[CostoFlete]]</f>
        <v>2846.15</v>
      </c>
      <c r="M11">
        <v>30</v>
      </c>
      <c r="N11" s="32">
        <f>IF(L11&gt;=5,MROUND((L11*(1+(ARTICULOS_POPSALADO[[#This Row],[Util]]/100))),50),10)</f>
        <v>3700</v>
      </c>
      <c r="O11" s="3">
        <f>MROUND((ARTICULOS_POPSALADO[[#This Row],[Precio]]/0.6),10)</f>
        <v>6170</v>
      </c>
      <c r="P11" t="s">
        <v>8693</v>
      </c>
      <c r="Q11">
        <v>3</v>
      </c>
      <c r="R11" s="22">
        <f>ARTICULOS_POPSALADO[[#This Row],[Bulto]]+ARTICULOS_POPSALADO[[#This Row],[Minimo]]</f>
        <v>9</v>
      </c>
      <c r="S11" t="s">
        <v>51</v>
      </c>
      <c r="T11" t="s">
        <v>4</v>
      </c>
      <c r="U11" t="s">
        <v>102</v>
      </c>
      <c r="V11" t="s">
        <v>10293</v>
      </c>
      <c r="W11" t="s">
        <v>8692</v>
      </c>
      <c r="X11">
        <v>1</v>
      </c>
      <c r="Y11" s="3">
        <v>4</v>
      </c>
      <c r="AA11"/>
      <c r="AB11" s="80">
        <f>ARTICULOS_POPSALADO[[#This Row],[Costo]]*ARTICULOS_POPSALADO[[#This Row],[Pedido]]</f>
        <v>0</v>
      </c>
      <c r="AH11" s="2" t="str">
        <f>IF(AND(ARTICULOS_POPSALADO[[#This Row],[FechaVenc]]=0,ARTICULOS_POPSALADO[[#This Row],[DiasVenc]]=0),"",ARTICULOS_POPSALADO[[#This Row],[FechaVenc]]-ARTICULOS_POPSALADO[[#This Row],[DiasVenc]])</f>
        <v/>
      </c>
      <c r="AO11" s="30" t="s">
        <v>8689</v>
      </c>
    </row>
    <row r="12" spans="1:43" ht="16.5" thickBot="1" x14ac:dyDescent="0.3">
      <c r="A12" s="25" t="s">
        <v>10299</v>
      </c>
      <c r="B12" s="25" t="s">
        <v>10300</v>
      </c>
      <c r="C12" s="26" t="str">
        <f t="shared" si="0"/>
        <v>ALM10984512</v>
      </c>
      <c r="D12" s="26" t="s">
        <v>8689</v>
      </c>
      <c r="E12" s="25" t="s">
        <v>11877</v>
      </c>
      <c r="F12" s="95">
        <v>3938.47</v>
      </c>
      <c r="G12" s="27">
        <v>0</v>
      </c>
      <c r="H12" s="28" t="s">
        <v>8690</v>
      </c>
      <c r="I12" s="26">
        <v>6</v>
      </c>
      <c r="J12" s="26">
        <v>1</v>
      </c>
      <c r="K12" s="26"/>
      <c r="L12" s="92">
        <f>((ARTICULOS_POPSALADO[[#This Row],[P. Compra]]*(1+ARTICULOS_POPSALADO[[#This Row],[IVA]]%))/ARTICULOS_POPSALADO[[#This Row],[UnidFact]])+ARTICULOS_POPSALADO[[#This Row],[CostoFlete]]</f>
        <v>3938.47</v>
      </c>
      <c r="M12" s="26">
        <v>30</v>
      </c>
      <c r="N12" s="33">
        <f>IF(L12&gt;=5,MROUND((L12*(1+(ARTICULOS_POPSALADO[[#This Row],[Util]]/100))),50),10)</f>
        <v>5100</v>
      </c>
      <c r="O12" s="27">
        <f>MROUND((ARTICULOS_POPSALADO[[#This Row],[Precio]]/0.6),10)</f>
        <v>8500</v>
      </c>
      <c r="P12" s="26" t="s">
        <v>8693</v>
      </c>
      <c r="Q12" s="26">
        <v>3</v>
      </c>
      <c r="R12" s="29">
        <f>ARTICULOS_POPSALADO[[#This Row],[Bulto]]+ARTICULOS_POPSALADO[[#This Row],[Minimo]]</f>
        <v>9</v>
      </c>
      <c r="S12" s="26" t="s">
        <v>51</v>
      </c>
      <c r="T12" s="26" t="s">
        <v>4</v>
      </c>
      <c r="U12" s="26" t="s">
        <v>102</v>
      </c>
      <c r="V12" s="26" t="s">
        <v>10293</v>
      </c>
      <c r="W12" s="26" t="s">
        <v>8692</v>
      </c>
      <c r="X12" s="26">
        <v>1</v>
      </c>
      <c r="Y12" s="27">
        <v>0</v>
      </c>
      <c r="Z12" s="27"/>
      <c r="AA12"/>
      <c r="AB12" s="80">
        <f>ARTICULOS_POPSALADO[[#This Row],[Costo]]*ARTICULOS_POPSALADO[[#This Row],[Pedido]]</f>
        <v>0</v>
      </c>
      <c r="AH12" s="2" t="str">
        <f>IF(AND(ARTICULOS_POPSALADO[[#This Row],[FechaVenc]]=0,ARTICULOS_POPSALADO[[#This Row],[DiasVenc]]=0),"",ARTICULOS_POPSALADO[[#This Row],[FechaVenc]]-ARTICULOS_POPSALADO[[#This Row],[DiasVenc]])</f>
        <v/>
      </c>
      <c r="AO12" s="30" t="s">
        <v>8689</v>
      </c>
    </row>
    <row r="13" spans="1:43" x14ac:dyDescent="0.25">
      <c r="A13" s="24" t="s">
        <v>10301</v>
      </c>
      <c r="B13" s="1" t="s">
        <v>10302</v>
      </c>
      <c r="C13" t="str">
        <f t="shared" si="0"/>
        <v>ALM10985267</v>
      </c>
      <c r="D13" t="s">
        <v>8689</v>
      </c>
      <c r="E13" s="1" t="s">
        <v>10303</v>
      </c>
      <c r="F13" s="61">
        <f>F9</f>
        <v>1038.46</v>
      </c>
      <c r="G13" s="3">
        <v>0</v>
      </c>
      <c r="H13" s="4" t="s">
        <v>8690</v>
      </c>
      <c r="I13">
        <v>6</v>
      </c>
      <c r="J13">
        <v>1</v>
      </c>
      <c r="L13" s="91">
        <f>((ARTICULOS_POPSALADO[[#This Row],[P. Compra]]*(1+ARTICULOS_POPSALADO[[#This Row],[IVA]]%))/ARTICULOS_POPSALADO[[#This Row],[UnidFact]])+ARTICULOS_POPSALADO[[#This Row],[CostoFlete]]</f>
        <v>1038.46</v>
      </c>
      <c r="M13">
        <v>30</v>
      </c>
      <c r="N13" s="32">
        <f>IF(L13&gt;=5,MROUND((L13*(1+(ARTICULOS_POPSALADO[[#This Row],[Util]]/100))),50),10)</f>
        <v>1350</v>
      </c>
      <c r="O13" s="3">
        <f>MROUND((ARTICULOS_POPSALADO[[#This Row],[Precio]]/0.6),10)</f>
        <v>2250</v>
      </c>
      <c r="P13" t="s">
        <v>8693</v>
      </c>
      <c r="Q13">
        <v>3</v>
      </c>
      <c r="R13" s="22">
        <f>ARTICULOS_POPSALADO[[#This Row],[Bulto]]+ARTICULOS_POPSALADO[[#This Row],[Minimo]]</f>
        <v>9</v>
      </c>
      <c r="S13" t="s">
        <v>51</v>
      </c>
      <c r="T13" t="s">
        <v>4</v>
      </c>
      <c r="U13" t="s">
        <v>102</v>
      </c>
      <c r="V13" s="30" t="s">
        <v>10304</v>
      </c>
      <c r="W13" t="s">
        <v>8692</v>
      </c>
      <c r="X13">
        <v>1</v>
      </c>
      <c r="Y13" s="3">
        <v>3</v>
      </c>
      <c r="AA13"/>
      <c r="AB13" s="80">
        <f>ARTICULOS_POPSALADO[[#This Row],[Costo]]*ARTICULOS_POPSALADO[[#This Row],[Pedido]]</f>
        <v>0</v>
      </c>
      <c r="AH13" s="2" t="str">
        <f>IF(AND(ARTICULOS_POPSALADO[[#This Row],[FechaVenc]]=0,ARTICULOS_POPSALADO[[#This Row],[DiasVenc]]=0),"",ARTICULOS_POPSALADO[[#This Row],[FechaVenc]]-ARTICULOS_POPSALADO[[#This Row],[DiasVenc]])</f>
        <v/>
      </c>
      <c r="AO13" s="30" t="s">
        <v>8689</v>
      </c>
    </row>
    <row r="14" spans="1:43" x14ac:dyDescent="0.25">
      <c r="A14" s="24" t="s">
        <v>11829</v>
      </c>
      <c r="B14" s="1" t="s">
        <v>10305</v>
      </c>
      <c r="C14" t="str">
        <f t="shared" si="0"/>
        <v>ALM10985649</v>
      </c>
      <c r="D14" t="s">
        <v>8689</v>
      </c>
      <c r="E14" s="24" t="s">
        <v>11828</v>
      </c>
      <c r="F14" s="61">
        <f t="shared" ref="F14:F15" si="2">F10</f>
        <v>1692.31</v>
      </c>
      <c r="G14" s="3">
        <v>0</v>
      </c>
      <c r="H14" s="4" t="s">
        <v>8690</v>
      </c>
      <c r="I14">
        <v>6</v>
      </c>
      <c r="J14">
        <v>1</v>
      </c>
      <c r="L14" s="91">
        <f>((ARTICULOS_POPSALADO[[#This Row],[P. Compra]]*(1+ARTICULOS_POPSALADO[[#This Row],[IVA]]%))/ARTICULOS_POPSALADO[[#This Row],[UnidFact]])+ARTICULOS_POPSALADO[[#This Row],[CostoFlete]]</f>
        <v>1692.31</v>
      </c>
      <c r="M14">
        <v>30</v>
      </c>
      <c r="N14" s="32">
        <f>IF(L14&gt;=5,MROUND((L14*(1+(ARTICULOS_POPSALADO[[#This Row],[Util]]/100))),50),10)</f>
        <v>2200</v>
      </c>
      <c r="O14" s="3">
        <f>MROUND((ARTICULOS_POPSALADO[[#This Row],[Precio]]/0.6),10)</f>
        <v>3670</v>
      </c>
      <c r="P14" t="s">
        <v>8693</v>
      </c>
      <c r="Q14">
        <v>3</v>
      </c>
      <c r="R14" s="22">
        <f>ARTICULOS_POPSALADO[[#This Row],[Bulto]]+ARTICULOS_POPSALADO[[#This Row],[Minimo]]</f>
        <v>9</v>
      </c>
      <c r="S14" t="s">
        <v>51</v>
      </c>
      <c r="T14" t="s">
        <v>4</v>
      </c>
      <c r="U14" t="s">
        <v>102</v>
      </c>
      <c r="V14" s="30" t="s">
        <v>10304</v>
      </c>
      <c r="W14" t="s">
        <v>8692</v>
      </c>
      <c r="X14">
        <v>1</v>
      </c>
      <c r="Y14" s="3">
        <v>4</v>
      </c>
      <c r="AA14"/>
      <c r="AB14" s="80">
        <f>ARTICULOS_POPSALADO[[#This Row],[Costo]]*ARTICULOS_POPSALADO[[#This Row],[Pedido]]</f>
        <v>0</v>
      </c>
      <c r="AH14" s="2" t="str">
        <f>IF(AND(ARTICULOS_POPSALADO[[#This Row],[FechaVenc]]=0,ARTICULOS_POPSALADO[[#This Row],[DiasVenc]]=0),"",ARTICULOS_POPSALADO[[#This Row],[FechaVenc]]-ARTICULOS_POPSALADO[[#This Row],[DiasVenc]])</f>
        <v/>
      </c>
      <c r="AO14" s="30" t="s">
        <v>8689</v>
      </c>
    </row>
    <row r="15" spans="1:43" x14ac:dyDescent="0.25">
      <c r="A15" s="24" t="s">
        <v>11831</v>
      </c>
      <c r="B15" s="1" t="s">
        <v>10306</v>
      </c>
      <c r="C15" t="str">
        <f t="shared" si="0"/>
        <v>ALM10985656</v>
      </c>
      <c r="D15" t="s">
        <v>8689</v>
      </c>
      <c r="E15" s="24" t="s">
        <v>11830</v>
      </c>
      <c r="F15" s="61">
        <f t="shared" si="2"/>
        <v>2846.15</v>
      </c>
      <c r="G15" s="3">
        <v>0</v>
      </c>
      <c r="H15" s="4" t="s">
        <v>8690</v>
      </c>
      <c r="I15">
        <v>6</v>
      </c>
      <c r="J15">
        <v>1</v>
      </c>
      <c r="L15" s="91">
        <f>((ARTICULOS_POPSALADO[[#This Row],[P. Compra]]*(1+ARTICULOS_POPSALADO[[#This Row],[IVA]]%))/ARTICULOS_POPSALADO[[#This Row],[UnidFact]])+ARTICULOS_POPSALADO[[#This Row],[CostoFlete]]</f>
        <v>2846.15</v>
      </c>
      <c r="M15">
        <v>30</v>
      </c>
      <c r="N15" s="32">
        <f>IF(L15&gt;=5,MROUND((L15*(1+(ARTICULOS_POPSALADO[[#This Row],[Util]]/100))),50),10)</f>
        <v>3700</v>
      </c>
      <c r="O15" s="3">
        <f>MROUND((ARTICULOS_POPSALADO[[#This Row],[Precio]]/0.6),10)</f>
        <v>6170</v>
      </c>
      <c r="P15" t="s">
        <v>8693</v>
      </c>
      <c r="Q15">
        <v>3</v>
      </c>
      <c r="R15" s="22">
        <f>ARTICULOS_POPSALADO[[#This Row],[Bulto]]+ARTICULOS_POPSALADO[[#This Row],[Minimo]]</f>
        <v>9</v>
      </c>
      <c r="S15" t="s">
        <v>51</v>
      </c>
      <c r="T15" t="s">
        <v>4</v>
      </c>
      <c r="U15" t="s">
        <v>102</v>
      </c>
      <c r="V15" t="s">
        <v>10304</v>
      </c>
      <c r="W15" t="s">
        <v>8692</v>
      </c>
      <c r="X15">
        <v>1</v>
      </c>
      <c r="Y15" s="3">
        <v>5</v>
      </c>
      <c r="AA15"/>
      <c r="AB15" s="80">
        <f>ARTICULOS_POPSALADO[[#This Row],[Costo]]*ARTICULOS_POPSALADO[[#This Row],[Pedido]]</f>
        <v>0</v>
      </c>
      <c r="AH15" s="2" t="str">
        <f>IF(AND(ARTICULOS_POPSALADO[[#This Row],[FechaVenc]]=0,ARTICULOS_POPSALADO[[#This Row],[DiasVenc]]=0),"",ARTICULOS_POPSALADO[[#This Row],[FechaVenc]]-ARTICULOS_POPSALADO[[#This Row],[DiasVenc]])</f>
        <v/>
      </c>
      <c r="AO15" s="30" t="s">
        <v>8689</v>
      </c>
    </row>
    <row r="16" spans="1:43" x14ac:dyDescent="0.25">
      <c r="A16" s="1" t="s">
        <v>10307</v>
      </c>
      <c r="B16" s="1" t="s">
        <v>10308</v>
      </c>
      <c r="C16" t="str">
        <f t="shared" si="0"/>
        <v>ALM10984215</v>
      </c>
      <c r="D16" t="s">
        <v>8689</v>
      </c>
      <c r="E16" s="1" t="s">
        <v>10309</v>
      </c>
      <c r="F16" s="61">
        <v>4423.08</v>
      </c>
      <c r="G16" s="3">
        <v>0</v>
      </c>
      <c r="H16" s="4" t="s">
        <v>8690</v>
      </c>
      <c r="I16">
        <v>6</v>
      </c>
      <c r="J16">
        <v>1</v>
      </c>
      <c r="L16" s="91">
        <f>((ARTICULOS_POPSALADO[[#This Row],[P. Compra]]*(1+ARTICULOS_POPSALADO[[#This Row],[IVA]]%))/ARTICULOS_POPSALADO[[#This Row],[UnidFact]])+ARTICULOS_POPSALADO[[#This Row],[CostoFlete]]</f>
        <v>4423.08</v>
      </c>
      <c r="M16">
        <v>30</v>
      </c>
      <c r="N16" s="32">
        <f>IF(L16&gt;=5,MROUND((L16*(1+(ARTICULOS_POPSALADO[[#This Row],[Util]]/100))),50),10)</f>
        <v>5750</v>
      </c>
      <c r="O16" s="3">
        <f>MROUND((ARTICULOS_POPSALADO[[#This Row],[Precio]]/0.6),10)</f>
        <v>9580</v>
      </c>
      <c r="P16" t="s">
        <v>8693</v>
      </c>
      <c r="Q16">
        <v>3</v>
      </c>
      <c r="R16" s="22">
        <f>ARTICULOS_POPSALADO[[#This Row],[Bulto]]+ARTICULOS_POPSALADO[[#This Row],[Minimo]]</f>
        <v>9</v>
      </c>
      <c r="S16" t="s">
        <v>51</v>
      </c>
      <c r="T16" t="s">
        <v>4</v>
      </c>
      <c r="U16" t="s">
        <v>102</v>
      </c>
      <c r="V16" t="s">
        <v>10304</v>
      </c>
      <c r="W16" t="s">
        <v>8692</v>
      </c>
      <c r="X16">
        <v>1</v>
      </c>
      <c r="Y16" s="3">
        <v>0</v>
      </c>
      <c r="AA16"/>
      <c r="AB16" s="80">
        <f>ARTICULOS_POPSALADO[[#This Row],[Costo]]*ARTICULOS_POPSALADO[[#This Row],[Pedido]]</f>
        <v>0</v>
      </c>
      <c r="AH16" s="2" t="str">
        <f>IF(AND(ARTICULOS_POPSALADO[[#This Row],[FechaVenc]]=0,ARTICULOS_POPSALADO[[#This Row],[DiasVenc]]=0),"",ARTICULOS_POPSALADO[[#This Row],[FechaVenc]]-ARTICULOS_POPSALADO[[#This Row],[DiasVenc]])</f>
        <v/>
      </c>
      <c r="AO16" s="30" t="s">
        <v>8689</v>
      </c>
    </row>
    <row r="17" spans="1:41" x14ac:dyDescent="0.25">
      <c r="A17" s="1" t="s">
        <v>10310</v>
      </c>
      <c r="B17" s="1" t="s">
        <v>10311</v>
      </c>
      <c r="C17" t="str">
        <f t="shared" si="0"/>
        <v>ALM10985472</v>
      </c>
      <c r="D17" t="s">
        <v>8689</v>
      </c>
      <c r="E17" s="1" t="s">
        <v>10312</v>
      </c>
      <c r="F17" s="61">
        <v>1076.92</v>
      </c>
      <c r="G17" s="7">
        <v>0</v>
      </c>
      <c r="H17" s="8" t="s">
        <v>8690</v>
      </c>
      <c r="I17">
        <v>6</v>
      </c>
      <c r="J17">
        <v>1</v>
      </c>
      <c r="L17" s="57">
        <f>((ARTICULOS_POPSALADO[[#This Row],[P. Compra]]*(1+ARTICULOS_POPSALADO[[#This Row],[IVA]]%))/ARTICULOS_POPSALADO[[#This Row],[UnidFact]])+ARTICULOS_POPSALADO[[#This Row],[CostoFlete]]</f>
        <v>1076.92</v>
      </c>
      <c r="M17">
        <v>30</v>
      </c>
      <c r="N17" s="39">
        <f>IF(L17&gt;=5,MROUND((L17*(1+(ARTICULOS_POPSALADO[[#This Row],[Util]]/100))),50),10)</f>
        <v>1400</v>
      </c>
      <c r="O17" s="7">
        <f>MROUND((ARTICULOS_POPSALADO[[#This Row],[Precio]]/0.6),10)</f>
        <v>2330</v>
      </c>
      <c r="P17" t="s">
        <v>8693</v>
      </c>
      <c r="Q17">
        <v>3</v>
      </c>
      <c r="R17" s="40">
        <f>ARTICULOS_POPSALADO[[#This Row],[Bulto]]+ARTICULOS_POPSALADO[[#This Row],[Minimo]]</f>
        <v>9</v>
      </c>
      <c r="S17" t="s">
        <v>51</v>
      </c>
      <c r="T17" t="s">
        <v>4</v>
      </c>
      <c r="U17" t="s">
        <v>102</v>
      </c>
      <c r="V17" t="s">
        <v>10304</v>
      </c>
      <c r="W17" t="s">
        <v>8692</v>
      </c>
      <c r="X17">
        <v>1</v>
      </c>
      <c r="Y17" s="7">
        <v>2</v>
      </c>
      <c r="Z17" s="7"/>
      <c r="AA17"/>
      <c r="AB17" s="80">
        <f>ARTICULOS_POPSALADO[[#This Row],[Costo]]*ARTICULOS_POPSALADO[[#This Row],[Pedido]]</f>
        <v>0</v>
      </c>
      <c r="AH17" s="2" t="str">
        <f>IF(AND(ARTICULOS_POPSALADO[[#This Row],[FechaVenc]]=0,ARTICULOS_POPSALADO[[#This Row],[DiasVenc]]=0),"",ARTICULOS_POPSALADO[[#This Row],[FechaVenc]]-ARTICULOS_POPSALADO[[#This Row],[DiasVenc]])</f>
        <v/>
      </c>
      <c r="AO17" s="30" t="s">
        <v>8689</v>
      </c>
    </row>
    <row r="18" spans="1:41" ht="16.5" thickBot="1" x14ac:dyDescent="0.3">
      <c r="A18" s="25" t="s">
        <v>10313</v>
      </c>
      <c r="B18" s="25" t="s">
        <v>10314</v>
      </c>
      <c r="C18" s="26" t="str">
        <f t="shared" si="0"/>
        <v>ALM10985489</v>
      </c>
      <c r="D18" s="26" t="s">
        <v>8689</v>
      </c>
      <c r="E18" s="25" t="s">
        <v>10315</v>
      </c>
      <c r="F18" s="95">
        <v>1769.23</v>
      </c>
      <c r="G18" s="27">
        <v>0</v>
      </c>
      <c r="H18" s="28" t="s">
        <v>8690</v>
      </c>
      <c r="I18" s="26">
        <v>6</v>
      </c>
      <c r="J18" s="26">
        <v>1</v>
      </c>
      <c r="K18" s="26"/>
      <c r="L18" s="92">
        <f>((ARTICULOS_POPSALADO[[#This Row],[P. Compra]]*(1+ARTICULOS_POPSALADO[[#This Row],[IVA]]%))/ARTICULOS_POPSALADO[[#This Row],[UnidFact]])+ARTICULOS_POPSALADO[[#This Row],[CostoFlete]]</f>
        <v>1769.23</v>
      </c>
      <c r="M18" s="26">
        <v>30</v>
      </c>
      <c r="N18" s="33">
        <f>IF(L18&gt;=5,MROUND((L18*(1+(ARTICULOS_POPSALADO[[#This Row],[Util]]/100))),50),10)</f>
        <v>2300</v>
      </c>
      <c r="O18" s="27">
        <f>MROUND((ARTICULOS_POPSALADO[[#This Row],[Precio]]/0.6),10)</f>
        <v>3830</v>
      </c>
      <c r="P18" s="26" t="s">
        <v>8693</v>
      </c>
      <c r="Q18" s="26">
        <v>3</v>
      </c>
      <c r="R18" s="29">
        <f>ARTICULOS_POPSALADO[[#This Row],[Bulto]]+ARTICULOS_POPSALADO[[#This Row],[Minimo]]</f>
        <v>9</v>
      </c>
      <c r="S18" s="26" t="s">
        <v>51</v>
      </c>
      <c r="T18" s="26" t="s">
        <v>4</v>
      </c>
      <c r="U18" s="26" t="s">
        <v>102</v>
      </c>
      <c r="V18" s="26" t="s">
        <v>10304</v>
      </c>
      <c r="W18" s="26" t="s">
        <v>8692</v>
      </c>
      <c r="X18" s="26">
        <v>1</v>
      </c>
      <c r="Y18" s="27">
        <v>0</v>
      </c>
      <c r="Z18" s="27"/>
      <c r="AA18"/>
      <c r="AB18" s="80">
        <f>ARTICULOS_POPSALADO[[#This Row],[Costo]]*ARTICULOS_POPSALADO[[#This Row],[Pedido]]</f>
        <v>0</v>
      </c>
      <c r="AH18" s="2" t="str">
        <f>IF(AND(ARTICULOS_POPSALADO[[#This Row],[FechaVenc]]=0,ARTICULOS_POPSALADO[[#This Row],[DiasVenc]]=0),"",ARTICULOS_POPSALADO[[#This Row],[FechaVenc]]-ARTICULOS_POPSALADO[[#This Row],[DiasVenc]])</f>
        <v/>
      </c>
      <c r="AO18" s="30" t="s">
        <v>8689</v>
      </c>
    </row>
    <row r="19" spans="1:41" x14ac:dyDescent="0.25">
      <c r="A19" s="1" t="s">
        <v>10316</v>
      </c>
      <c r="B19" s="1" t="s">
        <v>10317</v>
      </c>
      <c r="C19" t="str">
        <f t="shared" si="0"/>
        <v>ALM10983614</v>
      </c>
      <c r="D19" t="s">
        <v>8689</v>
      </c>
      <c r="E19" s="1" t="s">
        <v>10318</v>
      </c>
      <c r="F19" s="61">
        <f>F8</f>
        <v>615.38</v>
      </c>
      <c r="G19" s="3">
        <v>0</v>
      </c>
      <c r="H19" s="4" t="s">
        <v>8690</v>
      </c>
      <c r="I19">
        <v>6</v>
      </c>
      <c r="J19">
        <v>1</v>
      </c>
      <c r="L19" s="91">
        <f>((ARTICULOS_POPSALADO[[#This Row],[P. Compra]]*(1+ARTICULOS_POPSALADO[[#This Row],[IVA]]%))/ARTICULOS_POPSALADO[[#This Row],[UnidFact]])+ARTICULOS_POPSALADO[[#This Row],[CostoFlete]]</f>
        <v>615.38</v>
      </c>
      <c r="M19">
        <v>30</v>
      </c>
      <c r="N19" s="32">
        <f>IF(L19&gt;=5,MROUND((L19*(1+(ARTICULOS_POPSALADO[[#This Row],[Util]]/100))),50),10)</f>
        <v>800</v>
      </c>
      <c r="O19" s="3">
        <f>MROUND((ARTICULOS_POPSALADO[[#This Row],[Precio]]/0.6),10)</f>
        <v>1330</v>
      </c>
      <c r="P19" t="s">
        <v>8693</v>
      </c>
      <c r="Q19">
        <v>3</v>
      </c>
      <c r="R19" s="22">
        <f>ARTICULOS_POPSALADO[[#This Row],[Bulto]]+ARTICULOS_POPSALADO[[#This Row],[Minimo]]</f>
        <v>9</v>
      </c>
      <c r="S19" t="s">
        <v>51</v>
      </c>
      <c r="T19" t="s">
        <v>4</v>
      </c>
      <c r="U19" t="s">
        <v>102</v>
      </c>
      <c r="V19" s="30" t="s">
        <v>10319</v>
      </c>
      <c r="W19" t="s">
        <v>8692</v>
      </c>
      <c r="X19">
        <v>1</v>
      </c>
      <c r="Y19" s="3">
        <v>0</v>
      </c>
      <c r="AA19"/>
      <c r="AB19" s="80">
        <f>ARTICULOS_POPSALADO[[#This Row],[Costo]]*ARTICULOS_POPSALADO[[#This Row],[Pedido]]</f>
        <v>0</v>
      </c>
      <c r="AH19" s="2" t="str">
        <f>IF(AND(ARTICULOS_POPSALADO[[#This Row],[FechaVenc]]=0,ARTICULOS_POPSALADO[[#This Row],[DiasVenc]]=0),"",ARTICULOS_POPSALADO[[#This Row],[FechaVenc]]-ARTICULOS_POPSALADO[[#This Row],[DiasVenc]])</f>
        <v/>
      </c>
      <c r="AO19" s="30" t="s">
        <v>8689</v>
      </c>
    </row>
    <row r="20" spans="1:41" x14ac:dyDescent="0.25">
      <c r="A20" s="24" t="s">
        <v>10320</v>
      </c>
      <c r="B20" s="1" t="s">
        <v>10321</v>
      </c>
      <c r="C20" t="str">
        <f t="shared" si="0"/>
        <v>ALM10985236</v>
      </c>
      <c r="D20" t="s">
        <v>8689</v>
      </c>
      <c r="E20" s="1" t="s">
        <v>10322</v>
      </c>
      <c r="F20" s="61">
        <f t="shared" ref="F20:F22" si="3">F9</f>
        <v>1038.46</v>
      </c>
      <c r="G20" s="3">
        <v>0</v>
      </c>
      <c r="H20" s="4" t="s">
        <v>8690</v>
      </c>
      <c r="I20">
        <v>6</v>
      </c>
      <c r="J20">
        <v>1</v>
      </c>
      <c r="L20" s="91">
        <f>((ARTICULOS_POPSALADO[[#This Row],[P. Compra]]*(1+ARTICULOS_POPSALADO[[#This Row],[IVA]]%))/ARTICULOS_POPSALADO[[#This Row],[UnidFact]])+ARTICULOS_POPSALADO[[#This Row],[CostoFlete]]</f>
        <v>1038.46</v>
      </c>
      <c r="M20">
        <v>30</v>
      </c>
      <c r="N20" s="32">
        <f>IF(L20&gt;=5,MROUND((L20*(1+(ARTICULOS_POPSALADO[[#This Row],[Util]]/100))),50),10)</f>
        <v>1350</v>
      </c>
      <c r="O20" s="3">
        <f>MROUND((ARTICULOS_POPSALADO[[#This Row],[Precio]]/0.6),10)</f>
        <v>2250</v>
      </c>
      <c r="P20" t="s">
        <v>8693</v>
      </c>
      <c r="Q20">
        <v>3</v>
      </c>
      <c r="R20" s="22">
        <f>ARTICULOS_POPSALADO[[#This Row],[Bulto]]+ARTICULOS_POPSALADO[[#This Row],[Minimo]]</f>
        <v>9</v>
      </c>
      <c r="S20" t="s">
        <v>51</v>
      </c>
      <c r="T20" t="s">
        <v>4</v>
      </c>
      <c r="U20" t="s">
        <v>102</v>
      </c>
      <c r="V20" t="s">
        <v>10319</v>
      </c>
      <c r="W20" t="s">
        <v>8692</v>
      </c>
      <c r="X20">
        <v>1</v>
      </c>
      <c r="Y20" s="3">
        <v>6</v>
      </c>
      <c r="AA20"/>
      <c r="AB20" s="80">
        <f>ARTICULOS_POPSALADO[[#This Row],[Costo]]*ARTICULOS_POPSALADO[[#This Row],[Pedido]]</f>
        <v>0</v>
      </c>
      <c r="AH20" s="2" t="str">
        <f>IF(AND(ARTICULOS_POPSALADO[[#This Row],[FechaVenc]]=0,ARTICULOS_POPSALADO[[#This Row],[DiasVenc]]=0),"",ARTICULOS_POPSALADO[[#This Row],[FechaVenc]]-ARTICULOS_POPSALADO[[#This Row],[DiasVenc]])</f>
        <v/>
      </c>
      <c r="AO20" s="30" t="s">
        <v>8689</v>
      </c>
    </row>
    <row r="21" spans="1:41" x14ac:dyDescent="0.25">
      <c r="A21" s="24" t="s">
        <v>11825</v>
      </c>
      <c r="B21" s="1" t="s">
        <v>10323</v>
      </c>
      <c r="C21" t="str">
        <f t="shared" si="0"/>
        <v>ALM10985458</v>
      </c>
      <c r="D21" t="s">
        <v>8689</v>
      </c>
      <c r="E21" s="24" t="s">
        <v>11824</v>
      </c>
      <c r="F21" s="61">
        <f t="shared" si="3"/>
        <v>1692.31</v>
      </c>
      <c r="G21" s="3">
        <v>0</v>
      </c>
      <c r="H21" s="4" t="s">
        <v>8690</v>
      </c>
      <c r="I21">
        <v>6</v>
      </c>
      <c r="J21">
        <v>1</v>
      </c>
      <c r="L21" s="91">
        <f>((ARTICULOS_POPSALADO[[#This Row],[P. Compra]]*(1+ARTICULOS_POPSALADO[[#This Row],[IVA]]%))/ARTICULOS_POPSALADO[[#This Row],[UnidFact]])+ARTICULOS_POPSALADO[[#This Row],[CostoFlete]]</f>
        <v>1692.31</v>
      </c>
      <c r="M21">
        <v>30</v>
      </c>
      <c r="N21" s="32">
        <f>IF(L21&gt;=5,MROUND((L21*(1+(ARTICULOS_POPSALADO[[#This Row],[Util]]/100))),50),10)</f>
        <v>2200</v>
      </c>
      <c r="O21" s="3">
        <f>MROUND((ARTICULOS_POPSALADO[[#This Row],[Precio]]/0.6),10)</f>
        <v>3670</v>
      </c>
      <c r="P21" t="s">
        <v>8693</v>
      </c>
      <c r="Q21">
        <v>3</v>
      </c>
      <c r="R21" s="22">
        <f>ARTICULOS_POPSALADO[[#This Row],[Bulto]]+ARTICULOS_POPSALADO[[#This Row],[Minimo]]</f>
        <v>9</v>
      </c>
      <c r="S21" t="s">
        <v>51</v>
      </c>
      <c r="T21" t="s">
        <v>4</v>
      </c>
      <c r="U21" t="s">
        <v>102</v>
      </c>
      <c r="V21" t="s">
        <v>10319</v>
      </c>
      <c r="W21" t="s">
        <v>8692</v>
      </c>
      <c r="X21">
        <v>1</v>
      </c>
      <c r="Y21" s="3">
        <v>5</v>
      </c>
      <c r="AA21"/>
      <c r="AB21" s="80">
        <f>ARTICULOS_POPSALADO[[#This Row],[Costo]]*ARTICULOS_POPSALADO[[#This Row],[Pedido]]</f>
        <v>0</v>
      </c>
      <c r="AH21" s="2" t="str">
        <f>IF(AND(ARTICULOS_POPSALADO[[#This Row],[FechaVenc]]=0,ARTICULOS_POPSALADO[[#This Row],[DiasVenc]]=0),"",ARTICULOS_POPSALADO[[#This Row],[FechaVenc]]-ARTICULOS_POPSALADO[[#This Row],[DiasVenc]])</f>
        <v/>
      </c>
      <c r="AO21" s="30" t="s">
        <v>8689</v>
      </c>
    </row>
    <row r="22" spans="1:41" x14ac:dyDescent="0.25">
      <c r="A22" s="24" t="s">
        <v>11827</v>
      </c>
      <c r="B22" s="1" t="s">
        <v>10324</v>
      </c>
      <c r="C22" t="str">
        <f t="shared" si="0"/>
        <v>ALM10985465</v>
      </c>
      <c r="D22" t="s">
        <v>8689</v>
      </c>
      <c r="E22" s="24" t="s">
        <v>11826</v>
      </c>
      <c r="F22" s="61">
        <f t="shared" si="3"/>
        <v>2846.15</v>
      </c>
      <c r="G22" s="3">
        <v>0</v>
      </c>
      <c r="H22" s="4" t="s">
        <v>8690</v>
      </c>
      <c r="I22">
        <v>6</v>
      </c>
      <c r="J22">
        <v>1</v>
      </c>
      <c r="L22" s="91">
        <f>((ARTICULOS_POPSALADO[[#This Row],[P. Compra]]*(1+ARTICULOS_POPSALADO[[#This Row],[IVA]]%))/ARTICULOS_POPSALADO[[#This Row],[UnidFact]])+ARTICULOS_POPSALADO[[#This Row],[CostoFlete]]</f>
        <v>2846.15</v>
      </c>
      <c r="M22">
        <v>30</v>
      </c>
      <c r="N22" s="32">
        <f>IF(L22&gt;=5,MROUND((L22*(1+(ARTICULOS_POPSALADO[[#This Row],[Util]]/100))),50),10)</f>
        <v>3700</v>
      </c>
      <c r="O22" s="3">
        <f>MROUND((ARTICULOS_POPSALADO[[#This Row],[Precio]]/0.6),10)</f>
        <v>6170</v>
      </c>
      <c r="P22" t="s">
        <v>8693</v>
      </c>
      <c r="Q22">
        <v>3</v>
      </c>
      <c r="R22" s="22">
        <f>ARTICULOS_POPSALADO[[#This Row],[Bulto]]+ARTICULOS_POPSALADO[[#This Row],[Minimo]]</f>
        <v>9</v>
      </c>
      <c r="S22" t="s">
        <v>51</v>
      </c>
      <c r="T22" t="s">
        <v>4</v>
      </c>
      <c r="U22" t="s">
        <v>102</v>
      </c>
      <c r="V22" t="s">
        <v>10319</v>
      </c>
      <c r="W22" t="s">
        <v>8692</v>
      </c>
      <c r="X22">
        <v>1</v>
      </c>
      <c r="Y22" s="3">
        <v>6</v>
      </c>
      <c r="AA22"/>
      <c r="AB22" s="80">
        <f>ARTICULOS_POPSALADO[[#This Row],[Costo]]*ARTICULOS_POPSALADO[[#This Row],[Pedido]]</f>
        <v>0</v>
      </c>
      <c r="AH22" s="2" t="str">
        <f>IF(AND(ARTICULOS_POPSALADO[[#This Row],[FechaVenc]]=0,ARTICULOS_POPSALADO[[#This Row],[DiasVenc]]=0),"",ARTICULOS_POPSALADO[[#This Row],[FechaVenc]]-ARTICULOS_POPSALADO[[#This Row],[DiasVenc]])</f>
        <v/>
      </c>
      <c r="AO22" s="30" t="s">
        <v>8689</v>
      </c>
    </row>
    <row r="23" spans="1:41" x14ac:dyDescent="0.25">
      <c r="A23" s="1" t="s">
        <v>10325</v>
      </c>
      <c r="B23" s="1" t="s">
        <v>10326</v>
      </c>
      <c r="C23" t="str">
        <f t="shared" si="0"/>
        <v>ALM10984017</v>
      </c>
      <c r="D23" t="s">
        <v>8689</v>
      </c>
      <c r="E23" s="1" t="s">
        <v>10327</v>
      </c>
      <c r="F23" s="61">
        <f>F16</f>
        <v>4423.08</v>
      </c>
      <c r="G23" s="3">
        <v>0</v>
      </c>
      <c r="H23" s="4" t="s">
        <v>8690</v>
      </c>
      <c r="I23">
        <v>6</v>
      </c>
      <c r="J23">
        <v>1</v>
      </c>
      <c r="L23" s="91">
        <f>((ARTICULOS_POPSALADO[[#This Row],[P. Compra]]*(1+ARTICULOS_POPSALADO[[#This Row],[IVA]]%))/ARTICULOS_POPSALADO[[#This Row],[UnidFact]])+ARTICULOS_POPSALADO[[#This Row],[CostoFlete]]</f>
        <v>4423.08</v>
      </c>
      <c r="M23">
        <v>30</v>
      </c>
      <c r="N23" s="32">
        <f>IF(L23&gt;=5,MROUND((L23*(1+(ARTICULOS_POPSALADO[[#This Row],[Util]]/100))),50),10)</f>
        <v>5750</v>
      </c>
      <c r="O23" s="3">
        <f>MROUND((ARTICULOS_POPSALADO[[#This Row],[Precio]]/0.6),10)</f>
        <v>9580</v>
      </c>
      <c r="P23" t="s">
        <v>8693</v>
      </c>
      <c r="Q23">
        <v>3</v>
      </c>
      <c r="R23" s="22">
        <f>ARTICULOS_POPSALADO[[#This Row],[Bulto]]+ARTICULOS_POPSALADO[[#This Row],[Minimo]]</f>
        <v>9</v>
      </c>
      <c r="S23" t="s">
        <v>51</v>
      </c>
      <c r="T23" t="s">
        <v>4</v>
      </c>
      <c r="U23" t="s">
        <v>102</v>
      </c>
      <c r="V23" t="s">
        <v>10319</v>
      </c>
      <c r="W23" t="s">
        <v>8692</v>
      </c>
      <c r="X23">
        <v>1</v>
      </c>
      <c r="Y23" s="3">
        <v>0</v>
      </c>
      <c r="AA23"/>
      <c r="AB23" s="80">
        <f>ARTICULOS_POPSALADO[[#This Row],[Costo]]*ARTICULOS_POPSALADO[[#This Row],[Pedido]]</f>
        <v>0</v>
      </c>
      <c r="AH23" s="2" t="str">
        <f>IF(AND(ARTICULOS_POPSALADO[[#This Row],[FechaVenc]]=0,ARTICULOS_POPSALADO[[#This Row],[DiasVenc]]=0),"",ARTICULOS_POPSALADO[[#This Row],[FechaVenc]]-ARTICULOS_POPSALADO[[#This Row],[DiasVenc]])</f>
        <v/>
      </c>
      <c r="AO23" s="30" t="s">
        <v>8689</v>
      </c>
    </row>
    <row r="24" spans="1:41" x14ac:dyDescent="0.25">
      <c r="A24" s="1" t="s">
        <v>10328</v>
      </c>
      <c r="B24" s="1" t="s">
        <v>10329</v>
      </c>
      <c r="C24" t="str">
        <f t="shared" si="0"/>
        <v>ALM10983942</v>
      </c>
      <c r="D24" t="s">
        <v>8689</v>
      </c>
      <c r="E24" s="1" t="s">
        <v>10330</v>
      </c>
      <c r="F24" s="61">
        <f>F20</f>
        <v>1038.46</v>
      </c>
      <c r="G24" s="3">
        <v>0</v>
      </c>
      <c r="H24" s="4" t="s">
        <v>8690</v>
      </c>
      <c r="I24">
        <v>6</v>
      </c>
      <c r="J24">
        <v>1</v>
      </c>
      <c r="L24" s="91">
        <f>((ARTICULOS_POPSALADO[[#This Row],[P. Compra]]*(1+ARTICULOS_POPSALADO[[#This Row],[IVA]]%))/ARTICULOS_POPSALADO[[#This Row],[UnidFact]])+ARTICULOS_POPSALADO[[#This Row],[CostoFlete]]</f>
        <v>1038.46</v>
      </c>
      <c r="M24">
        <v>30</v>
      </c>
      <c r="N24" s="32">
        <f>IF(L24&gt;=5,MROUND((L24*(1+(ARTICULOS_POPSALADO[[#This Row],[Util]]/100))),50),10)</f>
        <v>1350</v>
      </c>
      <c r="O24" s="3">
        <f>MROUND((ARTICULOS_POPSALADO[[#This Row],[Precio]]/0.6),10)</f>
        <v>2250</v>
      </c>
      <c r="P24" t="s">
        <v>8693</v>
      </c>
      <c r="Q24">
        <v>3</v>
      </c>
      <c r="R24" s="22">
        <f>ARTICULOS_POPSALADO[[#This Row],[Bulto]]+ARTICULOS_POPSALADO[[#This Row],[Minimo]]</f>
        <v>9</v>
      </c>
      <c r="S24" t="s">
        <v>51</v>
      </c>
      <c r="T24" t="s">
        <v>4</v>
      </c>
      <c r="U24" t="s">
        <v>102</v>
      </c>
      <c r="V24" t="s">
        <v>10319</v>
      </c>
      <c r="W24" t="s">
        <v>8692</v>
      </c>
      <c r="X24">
        <v>1</v>
      </c>
      <c r="Y24" s="3">
        <v>0</v>
      </c>
      <c r="AA24"/>
      <c r="AB24" s="80">
        <f>ARTICULOS_POPSALADO[[#This Row],[Costo]]*ARTICULOS_POPSALADO[[#This Row],[Pedido]]</f>
        <v>0</v>
      </c>
      <c r="AH24" s="2" t="str">
        <f>IF(AND(ARTICULOS_POPSALADO[[#This Row],[FechaVenc]]=0,ARTICULOS_POPSALADO[[#This Row],[DiasVenc]]=0),"",ARTICULOS_POPSALADO[[#This Row],[FechaVenc]]-ARTICULOS_POPSALADO[[#This Row],[DiasVenc]])</f>
        <v/>
      </c>
      <c r="AO24" s="30" t="s">
        <v>8689</v>
      </c>
    </row>
    <row r="25" spans="1:41" x14ac:dyDescent="0.25">
      <c r="A25" s="24" t="s">
        <v>10331</v>
      </c>
      <c r="B25" s="1" t="s">
        <v>10332</v>
      </c>
      <c r="C25" t="str">
        <f t="shared" si="0"/>
        <v>ALM10985434</v>
      </c>
      <c r="D25" t="s">
        <v>8689</v>
      </c>
      <c r="E25" s="24" t="s">
        <v>10333</v>
      </c>
      <c r="F25" s="61">
        <f>F21</f>
        <v>1692.31</v>
      </c>
      <c r="G25" s="3">
        <v>0</v>
      </c>
      <c r="H25" s="4" t="s">
        <v>8690</v>
      </c>
      <c r="I25">
        <v>6</v>
      </c>
      <c r="J25">
        <v>1</v>
      </c>
      <c r="L25" s="91">
        <f>((ARTICULOS_POPSALADO[[#This Row],[P. Compra]]*(1+ARTICULOS_POPSALADO[[#This Row],[IVA]]%))/ARTICULOS_POPSALADO[[#This Row],[UnidFact]])+ARTICULOS_POPSALADO[[#This Row],[CostoFlete]]</f>
        <v>1692.31</v>
      </c>
      <c r="M25">
        <v>30</v>
      </c>
      <c r="N25" s="32">
        <f>IF(L25&gt;=5,MROUND((L25*(1+(ARTICULOS_POPSALADO[[#This Row],[Util]]/100))),50),10)</f>
        <v>2200</v>
      </c>
      <c r="O25" s="3">
        <f>MROUND((ARTICULOS_POPSALADO[[#This Row],[Precio]]/0.6),10)</f>
        <v>3670</v>
      </c>
      <c r="P25" t="s">
        <v>8693</v>
      </c>
      <c r="Q25">
        <v>3</v>
      </c>
      <c r="R25" s="22">
        <f>ARTICULOS_POPSALADO[[#This Row],[Bulto]]+ARTICULOS_POPSALADO[[#This Row],[Minimo]]</f>
        <v>9</v>
      </c>
      <c r="S25" t="s">
        <v>51</v>
      </c>
      <c r="T25" t="s">
        <v>4</v>
      </c>
      <c r="U25" t="s">
        <v>102</v>
      </c>
      <c r="V25" t="s">
        <v>10319</v>
      </c>
      <c r="W25" t="s">
        <v>8692</v>
      </c>
      <c r="X25">
        <v>1</v>
      </c>
      <c r="Y25" s="3">
        <v>2</v>
      </c>
      <c r="AA25"/>
      <c r="AB25" s="80">
        <f>ARTICULOS_POPSALADO[[#This Row],[Costo]]*ARTICULOS_POPSALADO[[#This Row],[Pedido]]</f>
        <v>0</v>
      </c>
      <c r="AH25" s="2" t="str">
        <f>IF(AND(ARTICULOS_POPSALADO[[#This Row],[FechaVenc]]=0,ARTICULOS_POPSALADO[[#This Row],[DiasVenc]]=0),"",ARTICULOS_POPSALADO[[#This Row],[FechaVenc]]-ARTICULOS_POPSALADO[[#This Row],[DiasVenc]])</f>
        <v/>
      </c>
      <c r="AO25" s="30" t="s">
        <v>8689</v>
      </c>
    </row>
    <row r="26" spans="1:41" x14ac:dyDescent="0.25">
      <c r="A26" s="1" t="s">
        <v>11850</v>
      </c>
      <c r="B26" s="1" t="s">
        <v>10335</v>
      </c>
      <c r="C26" t="str">
        <f t="shared" ref="C26" si="4">CONCATENATE(LEFT(T26,3),RIGHT(A26,8))</f>
        <v>ALM31098397</v>
      </c>
      <c r="D26" t="s">
        <v>8689</v>
      </c>
      <c r="E26" s="1" t="s">
        <v>11851</v>
      </c>
      <c r="F26" s="61">
        <f>F24</f>
        <v>1038.46</v>
      </c>
      <c r="G26" s="3">
        <v>0</v>
      </c>
      <c r="H26" s="4" t="s">
        <v>8690</v>
      </c>
      <c r="I26">
        <v>6</v>
      </c>
      <c r="J26">
        <v>1</v>
      </c>
      <c r="L26" s="91">
        <f>((ARTICULOS_POPSALADO[[#This Row],[P. Compra]]*(1+ARTICULOS_POPSALADO[[#This Row],[IVA]]%))/ARTICULOS_POPSALADO[[#This Row],[UnidFact]])+ARTICULOS_POPSALADO[[#This Row],[CostoFlete]]</f>
        <v>1038.46</v>
      </c>
      <c r="M26">
        <v>30</v>
      </c>
      <c r="N26" s="32">
        <f>IF(L26&gt;=5,MROUND((L26*(1+(ARTICULOS_POPSALADO[[#This Row],[Util]]/100))),50),10)</f>
        <v>1350</v>
      </c>
      <c r="O26" s="3">
        <f>MROUND((ARTICULOS_POPSALADO[[#This Row],[Precio]]/0.6),10)</f>
        <v>2250</v>
      </c>
      <c r="P26" t="s">
        <v>8693</v>
      </c>
      <c r="Q26">
        <v>3</v>
      </c>
      <c r="R26" s="22">
        <f>ARTICULOS_POPSALADO[[#This Row],[Bulto]]+ARTICULOS_POPSALADO[[#This Row],[Minimo]]</f>
        <v>9</v>
      </c>
      <c r="S26" t="s">
        <v>51</v>
      </c>
      <c r="T26" t="s">
        <v>4</v>
      </c>
      <c r="U26" t="s">
        <v>102</v>
      </c>
      <c r="V26" t="s">
        <v>10319</v>
      </c>
      <c r="W26" t="s">
        <v>8692</v>
      </c>
      <c r="X26">
        <v>1</v>
      </c>
      <c r="Y26" s="3">
        <v>1</v>
      </c>
      <c r="AA26"/>
      <c r="AB26" s="80">
        <f>ARTICULOS_POPSALADO[[#This Row],[Costo]]*ARTICULOS_POPSALADO[[#This Row],[Pedido]]</f>
        <v>0</v>
      </c>
      <c r="AH26" s="2" t="str">
        <f>IF(AND(ARTICULOS_POPSALADO[[#This Row],[FechaVenc]]=0,ARTICULOS_POPSALADO[[#This Row],[DiasVenc]]=0),"",ARTICULOS_POPSALADO[[#This Row],[FechaVenc]]-ARTICULOS_POPSALADO[[#This Row],[DiasVenc]])</f>
        <v/>
      </c>
      <c r="AO26" s="30" t="s">
        <v>8689</v>
      </c>
    </row>
    <row r="27" spans="1:41" x14ac:dyDescent="0.25">
      <c r="A27" s="1" t="s">
        <v>10334</v>
      </c>
      <c r="B27" s="1" t="s">
        <v>10335</v>
      </c>
      <c r="C27" t="str">
        <f t="shared" si="0"/>
        <v>ALM10983973</v>
      </c>
      <c r="D27" t="s">
        <v>8689</v>
      </c>
      <c r="E27" s="1" t="s">
        <v>11849</v>
      </c>
      <c r="F27" s="61">
        <f>F25</f>
        <v>1692.31</v>
      </c>
      <c r="G27" s="3">
        <v>0</v>
      </c>
      <c r="H27" s="4" t="s">
        <v>8690</v>
      </c>
      <c r="I27">
        <v>6</v>
      </c>
      <c r="J27">
        <v>1</v>
      </c>
      <c r="L27" s="91">
        <f>((ARTICULOS_POPSALADO[[#This Row],[P. Compra]]*(1+ARTICULOS_POPSALADO[[#This Row],[IVA]]%))/ARTICULOS_POPSALADO[[#This Row],[UnidFact]])+ARTICULOS_POPSALADO[[#This Row],[CostoFlete]]</f>
        <v>1692.31</v>
      </c>
      <c r="M27">
        <v>30</v>
      </c>
      <c r="N27" s="32">
        <f>IF(L27&gt;=5,MROUND((L27*(1+(ARTICULOS_POPSALADO[[#This Row],[Util]]/100))),50),10)</f>
        <v>2200</v>
      </c>
      <c r="O27" s="3">
        <f>MROUND((ARTICULOS_POPSALADO[[#This Row],[Precio]]/0.6),10)</f>
        <v>3670</v>
      </c>
      <c r="P27" t="s">
        <v>8693</v>
      </c>
      <c r="Q27">
        <v>3</v>
      </c>
      <c r="R27" s="22">
        <f>ARTICULOS_POPSALADO[[#This Row],[Bulto]]+ARTICULOS_POPSALADO[[#This Row],[Minimo]]</f>
        <v>9</v>
      </c>
      <c r="S27" t="s">
        <v>51</v>
      </c>
      <c r="T27" t="s">
        <v>4</v>
      </c>
      <c r="U27" t="s">
        <v>102</v>
      </c>
      <c r="V27" t="s">
        <v>10319</v>
      </c>
      <c r="W27" t="s">
        <v>8692</v>
      </c>
      <c r="X27">
        <v>1</v>
      </c>
      <c r="Y27" s="3">
        <v>1</v>
      </c>
      <c r="AA27"/>
      <c r="AB27" s="80">
        <f>ARTICULOS_POPSALADO[[#This Row],[Costo]]*ARTICULOS_POPSALADO[[#This Row],[Pedido]]</f>
        <v>0</v>
      </c>
      <c r="AH27" s="2" t="str">
        <f>IF(AND(ARTICULOS_POPSALADO[[#This Row],[FechaVenc]]=0,ARTICULOS_POPSALADO[[#This Row],[DiasVenc]]=0),"",ARTICULOS_POPSALADO[[#This Row],[FechaVenc]]-ARTICULOS_POPSALADO[[#This Row],[DiasVenc]])</f>
        <v/>
      </c>
      <c r="AO27" s="30" t="s">
        <v>8689</v>
      </c>
    </row>
    <row r="28" spans="1:41" x14ac:dyDescent="0.25">
      <c r="A28" s="1" t="s">
        <v>11855</v>
      </c>
      <c r="B28" s="1" t="s">
        <v>10337</v>
      </c>
      <c r="C28" t="str">
        <f t="shared" ref="C28" si="5">CONCATENATE(LEFT(T28,3),RIGHT(A28,8))</f>
        <v>ALM31000273</v>
      </c>
      <c r="D28" t="s">
        <v>8689</v>
      </c>
      <c r="E28" s="1" t="s">
        <v>11856</v>
      </c>
      <c r="F28" s="61">
        <f t="shared" ref="F28:F33" si="6">F26</f>
        <v>1038.46</v>
      </c>
      <c r="G28" s="3">
        <v>0</v>
      </c>
      <c r="H28" s="4" t="s">
        <v>8690</v>
      </c>
      <c r="I28">
        <v>6</v>
      </c>
      <c r="J28">
        <v>1</v>
      </c>
      <c r="L28" s="91">
        <f>((ARTICULOS_POPSALADO[[#This Row],[P. Compra]]*(1+ARTICULOS_POPSALADO[[#This Row],[IVA]]%))/ARTICULOS_POPSALADO[[#This Row],[UnidFact]])+ARTICULOS_POPSALADO[[#This Row],[CostoFlete]]</f>
        <v>1038.46</v>
      </c>
      <c r="M28">
        <v>30</v>
      </c>
      <c r="N28" s="32">
        <f>IF(L28&gt;=5,MROUND((L28*(1+(ARTICULOS_POPSALADO[[#This Row],[Util]]/100))),50),10)</f>
        <v>1350</v>
      </c>
      <c r="O28" s="3">
        <f>MROUND((ARTICULOS_POPSALADO[[#This Row],[Precio]]/0.6),10)</f>
        <v>2250</v>
      </c>
      <c r="P28" t="s">
        <v>8693</v>
      </c>
      <c r="Q28">
        <v>3</v>
      </c>
      <c r="R28" s="22">
        <f>ARTICULOS_POPSALADO[[#This Row],[Bulto]]+ARTICULOS_POPSALADO[[#This Row],[Minimo]]</f>
        <v>9</v>
      </c>
      <c r="S28" t="s">
        <v>51</v>
      </c>
      <c r="T28" t="s">
        <v>4</v>
      </c>
      <c r="U28" t="s">
        <v>102</v>
      </c>
      <c r="V28" s="30" t="s">
        <v>10319</v>
      </c>
      <c r="W28" t="s">
        <v>8692</v>
      </c>
      <c r="X28">
        <v>1</v>
      </c>
      <c r="Y28" s="3">
        <v>0</v>
      </c>
      <c r="AA28"/>
      <c r="AB28" s="80">
        <f>ARTICULOS_POPSALADO[[#This Row],[Costo]]*ARTICULOS_POPSALADO[[#This Row],[Pedido]]</f>
        <v>0</v>
      </c>
      <c r="AH28" s="2" t="str">
        <f>IF(AND(ARTICULOS_POPSALADO[[#This Row],[FechaVenc]]=0,ARTICULOS_POPSALADO[[#This Row],[DiasVenc]]=0),"",ARTICULOS_POPSALADO[[#This Row],[FechaVenc]]-ARTICULOS_POPSALADO[[#This Row],[DiasVenc]])</f>
        <v/>
      </c>
      <c r="AO28" s="30" t="s">
        <v>8689</v>
      </c>
    </row>
    <row r="29" spans="1:41" x14ac:dyDescent="0.25">
      <c r="A29" s="1" t="s">
        <v>10336</v>
      </c>
      <c r="B29" s="1" t="s">
        <v>10337</v>
      </c>
      <c r="C29" t="str">
        <f t="shared" si="0"/>
        <v>ALM10002735</v>
      </c>
      <c r="D29" t="s">
        <v>8689</v>
      </c>
      <c r="E29" s="1" t="s">
        <v>11852</v>
      </c>
      <c r="F29" s="61">
        <f t="shared" si="6"/>
        <v>1692.31</v>
      </c>
      <c r="G29" s="3">
        <v>0</v>
      </c>
      <c r="H29" s="4" t="s">
        <v>8690</v>
      </c>
      <c r="I29">
        <v>6</v>
      </c>
      <c r="J29">
        <v>1</v>
      </c>
      <c r="L29" s="91">
        <f>((ARTICULOS_POPSALADO[[#This Row],[P. Compra]]*(1+ARTICULOS_POPSALADO[[#This Row],[IVA]]%))/ARTICULOS_POPSALADO[[#This Row],[UnidFact]])+ARTICULOS_POPSALADO[[#This Row],[CostoFlete]]</f>
        <v>1692.31</v>
      </c>
      <c r="M29">
        <v>30</v>
      </c>
      <c r="N29" s="32">
        <f>IF(L29&gt;=5,MROUND((L29*(1+(ARTICULOS_POPSALADO[[#This Row],[Util]]/100))),50),10)</f>
        <v>2200</v>
      </c>
      <c r="O29" s="3">
        <f>MROUND((ARTICULOS_POPSALADO[[#This Row],[Precio]]/0.6),10)</f>
        <v>3670</v>
      </c>
      <c r="P29" t="s">
        <v>8693</v>
      </c>
      <c r="Q29">
        <v>3</v>
      </c>
      <c r="R29" s="22">
        <f>ARTICULOS_POPSALADO[[#This Row],[Bulto]]+ARTICULOS_POPSALADO[[#This Row],[Minimo]]</f>
        <v>9</v>
      </c>
      <c r="S29" t="s">
        <v>51</v>
      </c>
      <c r="T29" t="s">
        <v>4</v>
      </c>
      <c r="U29" t="s">
        <v>102</v>
      </c>
      <c r="V29" s="30" t="s">
        <v>10319</v>
      </c>
      <c r="W29" t="s">
        <v>8692</v>
      </c>
      <c r="X29">
        <v>1</v>
      </c>
      <c r="Y29" s="3">
        <v>0</v>
      </c>
      <c r="AA29"/>
      <c r="AB29" s="80">
        <f>ARTICULOS_POPSALADO[[#This Row],[Costo]]*ARTICULOS_POPSALADO[[#This Row],[Pedido]]</f>
        <v>0</v>
      </c>
      <c r="AH29" s="2" t="str">
        <f>IF(AND(ARTICULOS_POPSALADO[[#This Row],[FechaVenc]]=0,ARTICULOS_POPSALADO[[#This Row],[DiasVenc]]=0),"",ARTICULOS_POPSALADO[[#This Row],[FechaVenc]]-ARTICULOS_POPSALADO[[#This Row],[DiasVenc]])</f>
        <v/>
      </c>
      <c r="AO29" s="30" t="s">
        <v>8689</v>
      </c>
    </row>
    <row r="30" spans="1:41" x14ac:dyDescent="0.25">
      <c r="A30" s="24" t="s">
        <v>11858</v>
      </c>
      <c r="B30" s="1" t="s">
        <v>10339</v>
      </c>
      <c r="C30" t="str">
        <f t="shared" ref="C30" si="7">CONCATENATE(LEFT(T30,3),RIGHT(A30,8))</f>
        <v>ALM31098559</v>
      </c>
      <c r="D30" t="s">
        <v>8689</v>
      </c>
      <c r="E30" s="1" t="s">
        <v>11857</v>
      </c>
      <c r="F30" s="61">
        <f t="shared" si="6"/>
        <v>1038.46</v>
      </c>
      <c r="G30" s="3">
        <v>0</v>
      </c>
      <c r="H30" s="4" t="s">
        <v>8690</v>
      </c>
      <c r="I30">
        <v>6</v>
      </c>
      <c r="J30">
        <v>1</v>
      </c>
      <c r="L30" s="91">
        <f>((ARTICULOS_POPSALADO[[#This Row],[P. Compra]]*(1+ARTICULOS_POPSALADO[[#This Row],[IVA]]%))/ARTICULOS_POPSALADO[[#This Row],[UnidFact]])+ARTICULOS_POPSALADO[[#This Row],[CostoFlete]]</f>
        <v>1038.46</v>
      </c>
      <c r="M30">
        <v>30</v>
      </c>
      <c r="N30" s="32">
        <f>IF(L30&gt;=5,MROUND((L30*(1+(ARTICULOS_POPSALADO[[#This Row],[Util]]/100))),50),10)</f>
        <v>1350</v>
      </c>
      <c r="O30" s="3">
        <f>MROUND((ARTICULOS_POPSALADO[[#This Row],[Precio]]/0.6),10)</f>
        <v>2250</v>
      </c>
      <c r="P30" t="s">
        <v>8693</v>
      </c>
      <c r="Q30">
        <v>3</v>
      </c>
      <c r="R30" s="22">
        <f>ARTICULOS_POPSALADO[[#This Row],[Bulto]]+ARTICULOS_POPSALADO[[#This Row],[Minimo]]</f>
        <v>9</v>
      </c>
      <c r="S30" t="s">
        <v>51</v>
      </c>
      <c r="T30" t="s">
        <v>4</v>
      </c>
      <c r="U30" t="s">
        <v>102</v>
      </c>
      <c r="V30" s="30" t="s">
        <v>10319</v>
      </c>
      <c r="W30" t="s">
        <v>8692</v>
      </c>
      <c r="X30">
        <v>1</v>
      </c>
      <c r="Y30" s="3">
        <v>0</v>
      </c>
      <c r="AA30"/>
      <c r="AB30" s="80">
        <f>ARTICULOS_POPSALADO[[#This Row],[Costo]]*ARTICULOS_POPSALADO[[#This Row],[Pedido]]</f>
        <v>0</v>
      </c>
      <c r="AH30" s="2" t="str">
        <f>IF(AND(ARTICULOS_POPSALADO[[#This Row],[FechaVenc]]=0,ARTICULOS_POPSALADO[[#This Row],[DiasVenc]]=0),"",ARTICULOS_POPSALADO[[#This Row],[FechaVenc]]-ARTICULOS_POPSALADO[[#This Row],[DiasVenc]])</f>
        <v/>
      </c>
      <c r="AO30" s="30" t="s">
        <v>8689</v>
      </c>
    </row>
    <row r="31" spans="1:41" x14ac:dyDescent="0.25">
      <c r="A31" s="24" t="s">
        <v>10338</v>
      </c>
      <c r="B31" s="1" t="s">
        <v>10339</v>
      </c>
      <c r="C31" t="str">
        <f t="shared" si="0"/>
        <v>ALM10985595</v>
      </c>
      <c r="D31" t="s">
        <v>8689</v>
      </c>
      <c r="E31" s="1" t="s">
        <v>11853</v>
      </c>
      <c r="F31" s="61">
        <f t="shared" si="6"/>
        <v>1692.31</v>
      </c>
      <c r="G31" s="3">
        <v>0</v>
      </c>
      <c r="H31" s="4" t="s">
        <v>8690</v>
      </c>
      <c r="I31">
        <v>6</v>
      </c>
      <c r="J31">
        <v>1</v>
      </c>
      <c r="L31" s="91">
        <f>((ARTICULOS_POPSALADO[[#This Row],[P. Compra]]*(1+ARTICULOS_POPSALADO[[#This Row],[IVA]]%))/ARTICULOS_POPSALADO[[#This Row],[UnidFact]])+ARTICULOS_POPSALADO[[#This Row],[CostoFlete]]</f>
        <v>1692.31</v>
      </c>
      <c r="M31">
        <v>30</v>
      </c>
      <c r="N31" s="32">
        <f>IF(L31&gt;=5,MROUND((L31*(1+(ARTICULOS_POPSALADO[[#This Row],[Util]]/100))),50),10)</f>
        <v>2200</v>
      </c>
      <c r="O31" s="3">
        <f>MROUND((ARTICULOS_POPSALADO[[#This Row],[Precio]]/0.6),10)</f>
        <v>3670</v>
      </c>
      <c r="P31" t="s">
        <v>8693</v>
      </c>
      <c r="Q31">
        <v>3</v>
      </c>
      <c r="R31" s="22">
        <f>ARTICULOS_POPSALADO[[#This Row],[Bulto]]+ARTICULOS_POPSALADO[[#This Row],[Minimo]]</f>
        <v>9</v>
      </c>
      <c r="S31" t="s">
        <v>51</v>
      </c>
      <c r="T31" t="s">
        <v>4</v>
      </c>
      <c r="U31" t="s">
        <v>102</v>
      </c>
      <c r="V31" s="30" t="s">
        <v>10319</v>
      </c>
      <c r="W31" t="s">
        <v>8692</v>
      </c>
      <c r="X31">
        <v>1</v>
      </c>
      <c r="Y31" s="3">
        <v>0</v>
      </c>
      <c r="AA31"/>
      <c r="AB31" s="80">
        <f>ARTICULOS_POPSALADO[[#This Row],[Costo]]*ARTICULOS_POPSALADO[[#This Row],[Pedido]]</f>
        <v>0</v>
      </c>
      <c r="AH31" s="2" t="str">
        <f>IF(AND(ARTICULOS_POPSALADO[[#This Row],[FechaVenc]]=0,ARTICULOS_POPSALADO[[#This Row],[DiasVenc]]=0),"",ARTICULOS_POPSALADO[[#This Row],[FechaVenc]]-ARTICULOS_POPSALADO[[#This Row],[DiasVenc]])</f>
        <v/>
      </c>
      <c r="AO31" s="30" t="s">
        <v>8689</v>
      </c>
    </row>
    <row r="32" spans="1:41" x14ac:dyDescent="0.25">
      <c r="A32" s="24" t="s">
        <v>11430</v>
      </c>
      <c r="B32" s="1" t="s">
        <v>10341</v>
      </c>
      <c r="C32" t="str">
        <f t="shared" si="0"/>
        <v>ALM10985335</v>
      </c>
      <c r="D32" t="s">
        <v>8689</v>
      </c>
      <c r="E32" s="24" t="s">
        <v>11431</v>
      </c>
      <c r="F32" s="61">
        <f t="shared" si="6"/>
        <v>1038.46</v>
      </c>
      <c r="G32" s="3">
        <v>0</v>
      </c>
      <c r="H32" s="4" t="s">
        <v>8690</v>
      </c>
      <c r="I32">
        <v>6</v>
      </c>
      <c r="J32">
        <v>1</v>
      </c>
      <c r="L32" s="91">
        <f>((ARTICULOS_POPSALADO[[#This Row],[P. Compra]]*(1+ARTICULOS_POPSALADO[[#This Row],[IVA]]%))/ARTICULOS_POPSALADO[[#This Row],[UnidFact]])+ARTICULOS_POPSALADO[[#This Row],[CostoFlete]]</f>
        <v>1038.46</v>
      </c>
      <c r="M32">
        <v>30</v>
      </c>
      <c r="N32" s="32">
        <f>IF(L32&gt;=5,MROUND((L32*(1+(ARTICULOS_POPSALADO[[#This Row],[Util]]/100))),50),10)</f>
        <v>1350</v>
      </c>
      <c r="O32" s="3">
        <f>MROUND((ARTICULOS_POPSALADO[[#This Row],[Precio]]/0.6),10)</f>
        <v>2250</v>
      </c>
      <c r="P32" t="s">
        <v>8693</v>
      </c>
      <c r="Q32">
        <v>3</v>
      </c>
      <c r="R32" s="22">
        <f>ARTICULOS_POPSALADO[[#This Row],[Bulto]]+ARTICULOS_POPSALADO[[#This Row],[Minimo]]</f>
        <v>9</v>
      </c>
      <c r="S32" t="s">
        <v>51</v>
      </c>
      <c r="T32" t="s">
        <v>4</v>
      </c>
      <c r="U32" t="s">
        <v>102</v>
      </c>
      <c r="V32" t="s">
        <v>10319</v>
      </c>
      <c r="W32" t="s">
        <v>8692</v>
      </c>
      <c r="X32">
        <v>1</v>
      </c>
      <c r="Y32" s="3">
        <v>3</v>
      </c>
      <c r="AA32"/>
      <c r="AB32" s="80">
        <f>ARTICULOS_POPSALADO[[#This Row],[Costo]]*ARTICULOS_POPSALADO[[#This Row],[Pedido]]</f>
        <v>0</v>
      </c>
      <c r="AH32" s="2" t="str">
        <f>IF(AND(ARTICULOS_POPSALADO[[#This Row],[FechaVenc]]=0,ARTICULOS_POPSALADO[[#This Row],[DiasVenc]]=0),"",ARTICULOS_POPSALADO[[#This Row],[FechaVenc]]-ARTICULOS_POPSALADO[[#This Row],[DiasVenc]])</f>
        <v/>
      </c>
      <c r="AO32" s="30" t="s">
        <v>8689</v>
      </c>
    </row>
    <row r="33" spans="1:41" x14ac:dyDescent="0.25">
      <c r="A33" s="24" t="s">
        <v>10340</v>
      </c>
      <c r="B33" s="1" t="s">
        <v>11432</v>
      </c>
      <c r="C33" t="str">
        <f t="shared" si="0"/>
        <v>ALM10985328</v>
      </c>
      <c r="D33" t="s">
        <v>8689</v>
      </c>
      <c r="E33" s="24" t="s">
        <v>10342</v>
      </c>
      <c r="F33" s="61">
        <f t="shared" si="6"/>
        <v>1692.31</v>
      </c>
      <c r="G33" s="3">
        <v>0</v>
      </c>
      <c r="H33" s="4" t="s">
        <v>8690</v>
      </c>
      <c r="I33">
        <v>6</v>
      </c>
      <c r="J33">
        <v>1</v>
      </c>
      <c r="L33" s="91">
        <f>((ARTICULOS_POPSALADO[[#This Row],[P. Compra]]*(1+ARTICULOS_POPSALADO[[#This Row],[IVA]]%))/ARTICULOS_POPSALADO[[#This Row],[UnidFact]])+ARTICULOS_POPSALADO[[#This Row],[CostoFlete]]</f>
        <v>1692.31</v>
      </c>
      <c r="M33">
        <v>30</v>
      </c>
      <c r="N33" s="32">
        <f>IF(L33&gt;=5,MROUND((L33*(1+(ARTICULOS_POPSALADO[[#This Row],[Util]]/100))),50),10)</f>
        <v>2200</v>
      </c>
      <c r="O33" s="3">
        <f>MROUND((ARTICULOS_POPSALADO[[#This Row],[Precio]]/0.6),10)</f>
        <v>3670</v>
      </c>
      <c r="P33" t="s">
        <v>8693</v>
      </c>
      <c r="Q33">
        <v>3</v>
      </c>
      <c r="R33" s="22">
        <f>ARTICULOS_POPSALADO[[#This Row],[Bulto]]+ARTICULOS_POPSALADO[[#This Row],[Minimo]]</f>
        <v>9</v>
      </c>
      <c r="S33" t="s">
        <v>51</v>
      </c>
      <c r="T33" t="s">
        <v>4</v>
      </c>
      <c r="U33" t="s">
        <v>102</v>
      </c>
      <c r="V33" t="s">
        <v>10319</v>
      </c>
      <c r="W33" t="s">
        <v>8692</v>
      </c>
      <c r="X33">
        <v>1</v>
      </c>
      <c r="Y33" s="3">
        <v>0</v>
      </c>
      <c r="AA33"/>
      <c r="AB33" s="80">
        <f>ARTICULOS_POPSALADO[[#This Row],[Costo]]*ARTICULOS_POPSALADO[[#This Row],[Pedido]]</f>
        <v>0</v>
      </c>
      <c r="AH33" s="2" t="str">
        <f>IF(AND(ARTICULOS_POPSALADO[[#This Row],[FechaVenc]]=0,ARTICULOS_POPSALADO[[#This Row],[DiasVenc]]=0),"",ARTICULOS_POPSALADO[[#This Row],[FechaVenc]]-ARTICULOS_POPSALADO[[#This Row],[DiasVenc]])</f>
        <v/>
      </c>
      <c r="AO33" s="30" t="s">
        <v>8689</v>
      </c>
    </row>
    <row r="34" spans="1:41" ht="16.5" thickBot="1" x14ac:dyDescent="0.3">
      <c r="A34" s="25" t="s">
        <v>10343</v>
      </c>
      <c r="B34" s="25" t="s">
        <v>10344</v>
      </c>
      <c r="C34" s="26" t="str">
        <f t="shared" si="0"/>
        <v>ALM10985007</v>
      </c>
      <c r="D34" s="26" t="s">
        <v>8689</v>
      </c>
      <c r="E34" s="25" t="s">
        <v>11854</v>
      </c>
      <c r="F34" s="95">
        <f>F33</f>
        <v>1692.31</v>
      </c>
      <c r="G34" s="27">
        <v>0</v>
      </c>
      <c r="H34" s="28" t="s">
        <v>8690</v>
      </c>
      <c r="I34" s="26">
        <v>6</v>
      </c>
      <c r="J34" s="26">
        <v>1</v>
      </c>
      <c r="K34" s="26"/>
      <c r="L34" s="92">
        <f>((ARTICULOS_POPSALADO[[#This Row],[P. Compra]]*(1+ARTICULOS_POPSALADO[[#This Row],[IVA]]%))/ARTICULOS_POPSALADO[[#This Row],[UnidFact]])+ARTICULOS_POPSALADO[[#This Row],[CostoFlete]]</f>
        <v>1692.31</v>
      </c>
      <c r="M34" s="26">
        <v>30</v>
      </c>
      <c r="N34" s="33">
        <f>IF(L34&gt;=5,MROUND((L34*(1+(ARTICULOS_POPSALADO[[#This Row],[Util]]/100))),50),10)</f>
        <v>2200</v>
      </c>
      <c r="O34" s="27">
        <f>MROUND((ARTICULOS_POPSALADO[[#This Row],[Precio]]/0.6),10)</f>
        <v>3670</v>
      </c>
      <c r="P34" s="26" t="s">
        <v>8693</v>
      </c>
      <c r="Q34" s="26">
        <v>3</v>
      </c>
      <c r="R34" s="29">
        <f>ARTICULOS_POPSALADO[[#This Row],[Bulto]]+ARTICULOS_POPSALADO[[#This Row],[Minimo]]</f>
        <v>9</v>
      </c>
      <c r="S34" s="26" t="s">
        <v>51</v>
      </c>
      <c r="T34" s="26" t="s">
        <v>4</v>
      </c>
      <c r="U34" s="26" t="s">
        <v>102</v>
      </c>
      <c r="V34" s="52" t="s">
        <v>10319</v>
      </c>
      <c r="W34" s="26" t="s">
        <v>8692</v>
      </c>
      <c r="X34" s="26">
        <v>1</v>
      </c>
      <c r="Y34" s="27">
        <v>0</v>
      </c>
      <c r="Z34" s="27"/>
      <c r="AA34"/>
      <c r="AB34" s="80">
        <f>ARTICULOS_POPSALADO[[#This Row],[Costo]]*ARTICULOS_POPSALADO[[#This Row],[Pedido]]</f>
        <v>0</v>
      </c>
      <c r="AH34" s="2" t="str">
        <f>IF(AND(ARTICULOS_POPSALADO[[#This Row],[FechaVenc]]=0,ARTICULOS_POPSALADO[[#This Row],[DiasVenc]]=0),"",ARTICULOS_POPSALADO[[#This Row],[FechaVenc]]-ARTICULOS_POPSALADO[[#This Row],[DiasVenc]])</f>
        <v/>
      </c>
      <c r="AO34" s="30" t="s">
        <v>8689</v>
      </c>
    </row>
    <row r="35" spans="1:41" x14ac:dyDescent="0.25">
      <c r="A35" s="1" t="s">
        <v>10345</v>
      </c>
      <c r="B35" s="1" t="s">
        <v>10346</v>
      </c>
      <c r="C35" t="str">
        <f t="shared" si="0"/>
        <v>ALM10006818</v>
      </c>
      <c r="D35" t="s">
        <v>8689</v>
      </c>
      <c r="E35" s="1" t="s">
        <v>10347</v>
      </c>
      <c r="F35" s="61">
        <v>730.77</v>
      </c>
      <c r="G35" s="3">
        <v>0</v>
      </c>
      <c r="H35" s="4" t="s">
        <v>8690</v>
      </c>
      <c r="I35">
        <v>6</v>
      </c>
      <c r="J35">
        <v>1</v>
      </c>
      <c r="L35" s="91">
        <f>((ARTICULOS_POPSALADO[[#This Row],[P. Compra]]*(1+ARTICULOS_POPSALADO[[#This Row],[IVA]]%))/ARTICULOS_POPSALADO[[#This Row],[UnidFact]])+ARTICULOS_POPSALADO[[#This Row],[CostoFlete]]</f>
        <v>730.77</v>
      </c>
      <c r="M35">
        <v>30</v>
      </c>
      <c r="N35" s="32">
        <f>IF(L35&gt;=5,MROUND((L35*(1+(ARTICULOS_POPSALADO[[#This Row],[Util]]/100))),50),10)</f>
        <v>950</v>
      </c>
      <c r="O35" s="3">
        <f>MROUND((ARTICULOS_POPSALADO[[#This Row],[Precio]]/0.6),10)</f>
        <v>1580</v>
      </c>
      <c r="P35" t="s">
        <v>8693</v>
      </c>
      <c r="Q35">
        <v>3</v>
      </c>
      <c r="R35" s="22">
        <f>ARTICULOS_POPSALADO[[#This Row],[Bulto]]+ARTICULOS_POPSALADO[[#This Row],[Minimo]]</f>
        <v>9</v>
      </c>
      <c r="S35" t="s">
        <v>51</v>
      </c>
      <c r="T35" t="s">
        <v>4</v>
      </c>
      <c r="U35" t="s">
        <v>102</v>
      </c>
      <c r="V35" t="s">
        <v>10348</v>
      </c>
      <c r="W35" t="s">
        <v>8692</v>
      </c>
      <c r="X35">
        <v>1</v>
      </c>
      <c r="Y35" s="3">
        <v>0</v>
      </c>
      <c r="AA35"/>
      <c r="AB35" s="80">
        <f>ARTICULOS_POPSALADO[[#This Row],[Costo]]*ARTICULOS_POPSALADO[[#This Row],[Pedido]]</f>
        <v>0</v>
      </c>
      <c r="AH35" s="2" t="str">
        <f>IF(AND(ARTICULOS_POPSALADO[[#This Row],[FechaVenc]]=0,ARTICULOS_POPSALADO[[#This Row],[DiasVenc]]=0),"",ARTICULOS_POPSALADO[[#This Row],[FechaVenc]]-ARTICULOS_POPSALADO[[#This Row],[DiasVenc]])</f>
        <v/>
      </c>
      <c r="AO35" s="30" t="s">
        <v>8689</v>
      </c>
    </row>
    <row r="36" spans="1:41" x14ac:dyDescent="0.25">
      <c r="A36" s="1" t="s">
        <v>12184</v>
      </c>
      <c r="B36" s="1" t="s">
        <v>10349</v>
      </c>
      <c r="C36" t="str">
        <f t="shared" si="0"/>
        <v>ALM10984291</v>
      </c>
      <c r="D36" t="s">
        <v>8689</v>
      </c>
      <c r="E36" s="1" t="s">
        <v>12185</v>
      </c>
      <c r="F36" s="61">
        <v>1269.23</v>
      </c>
      <c r="G36" s="3">
        <v>0</v>
      </c>
      <c r="H36" s="4" t="s">
        <v>8690</v>
      </c>
      <c r="I36">
        <v>6</v>
      </c>
      <c r="J36">
        <v>1</v>
      </c>
      <c r="L36" s="91">
        <f>((ARTICULOS_POPSALADO[[#This Row],[P. Compra]]*(1+ARTICULOS_POPSALADO[[#This Row],[IVA]]%))/ARTICULOS_POPSALADO[[#This Row],[UnidFact]])+ARTICULOS_POPSALADO[[#This Row],[CostoFlete]]</f>
        <v>1269.23</v>
      </c>
      <c r="M36">
        <v>30</v>
      </c>
      <c r="N36" s="32">
        <f>IF(L36&gt;=5,MROUND((L36*(1+(ARTICULOS_POPSALADO[[#This Row],[Util]]/100))),50),10)</f>
        <v>1650</v>
      </c>
      <c r="O36" s="3">
        <f>MROUND((ARTICULOS_POPSALADO[[#This Row],[Precio]]/0.6),10)</f>
        <v>2750</v>
      </c>
      <c r="P36" t="s">
        <v>8693</v>
      </c>
      <c r="Q36">
        <v>3</v>
      </c>
      <c r="R36" s="22">
        <f>ARTICULOS_POPSALADO[[#This Row],[Bulto]]+ARTICULOS_POPSALADO[[#This Row],[Minimo]]</f>
        <v>9</v>
      </c>
      <c r="S36" t="s">
        <v>51</v>
      </c>
      <c r="T36" t="s">
        <v>4</v>
      </c>
      <c r="U36" t="s">
        <v>102</v>
      </c>
      <c r="V36" s="30" t="s">
        <v>10348</v>
      </c>
      <c r="W36" t="s">
        <v>8692</v>
      </c>
      <c r="X36">
        <v>1</v>
      </c>
      <c r="Y36" s="3">
        <v>0</v>
      </c>
      <c r="AA36"/>
      <c r="AB36" s="80">
        <f>ARTICULOS_POPSALADO[[#This Row],[Costo]]*ARTICULOS_POPSALADO[[#This Row],[Pedido]]</f>
        <v>0</v>
      </c>
      <c r="AH36" s="2" t="str">
        <f>IF(AND(ARTICULOS_POPSALADO[[#This Row],[FechaVenc]]=0,ARTICULOS_POPSALADO[[#This Row],[DiasVenc]]=0),"",ARTICULOS_POPSALADO[[#This Row],[FechaVenc]]-ARTICULOS_POPSALADO[[#This Row],[DiasVenc]])</f>
        <v/>
      </c>
      <c r="AO36" s="30" t="s">
        <v>8689</v>
      </c>
    </row>
    <row r="37" spans="1:41" x14ac:dyDescent="0.25">
      <c r="A37" s="1" t="s">
        <v>10350</v>
      </c>
      <c r="B37" s="1" t="s">
        <v>10351</v>
      </c>
      <c r="C37" t="str">
        <f t="shared" si="0"/>
        <v>ALM10920398</v>
      </c>
      <c r="D37" t="s">
        <v>8689</v>
      </c>
      <c r="E37" s="1" t="s">
        <v>10352</v>
      </c>
      <c r="F37" s="61">
        <f>F35</f>
        <v>730.77</v>
      </c>
      <c r="G37" s="3">
        <v>0</v>
      </c>
      <c r="H37" s="4" t="s">
        <v>8690</v>
      </c>
      <c r="I37">
        <v>6</v>
      </c>
      <c r="J37">
        <v>1</v>
      </c>
      <c r="L37" s="91">
        <f>((ARTICULOS_POPSALADO[[#This Row],[P. Compra]]*(1+ARTICULOS_POPSALADO[[#This Row],[IVA]]%))/ARTICULOS_POPSALADO[[#This Row],[UnidFact]])+ARTICULOS_POPSALADO[[#This Row],[CostoFlete]]</f>
        <v>730.77</v>
      </c>
      <c r="M37">
        <v>30</v>
      </c>
      <c r="N37" s="32">
        <f>IF(L37&gt;=5,MROUND((L37*(1+(ARTICULOS_POPSALADO[[#This Row],[Util]]/100))),50),10)</f>
        <v>950</v>
      </c>
      <c r="O37" s="3">
        <f>MROUND((ARTICULOS_POPSALADO[[#This Row],[Precio]]/0.6),10)</f>
        <v>1580</v>
      </c>
      <c r="P37" t="s">
        <v>8693</v>
      </c>
      <c r="Q37">
        <v>3</v>
      </c>
      <c r="R37" s="22">
        <f>ARTICULOS_POPSALADO[[#This Row],[Bulto]]+ARTICULOS_POPSALADO[[#This Row],[Minimo]]</f>
        <v>9</v>
      </c>
      <c r="S37" t="s">
        <v>51</v>
      </c>
      <c r="T37" t="s">
        <v>4</v>
      </c>
      <c r="U37" t="s">
        <v>102</v>
      </c>
      <c r="V37" t="s">
        <v>10348</v>
      </c>
      <c r="W37" t="s">
        <v>8692</v>
      </c>
      <c r="X37">
        <v>1</v>
      </c>
      <c r="Y37" s="3">
        <v>5</v>
      </c>
      <c r="AA37"/>
      <c r="AB37" s="80">
        <f>ARTICULOS_POPSALADO[[#This Row],[Costo]]*ARTICULOS_POPSALADO[[#This Row],[Pedido]]</f>
        <v>0</v>
      </c>
      <c r="AH37" s="2" t="str">
        <f>IF(AND(ARTICULOS_POPSALADO[[#This Row],[FechaVenc]]=0,ARTICULOS_POPSALADO[[#This Row],[DiasVenc]]=0),"",ARTICULOS_POPSALADO[[#This Row],[FechaVenc]]-ARTICULOS_POPSALADO[[#This Row],[DiasVenc]])</f>
        <v/>
      </c>
      <c r="AO37" s="30" t="s">
        <v>8689</v>
      </c>
    </row>
    <row r="38" spans="1:41" x14ac:dyDescent="0.25">
      <c r="A38" s="1" t="s">
        <v>11403</v>
      </c>
      <c r="B38" s="1" t="s">
        <v>10353</v>
      </c>
      <c r="C38" t="str">
        <f t="shared" si="0"/>
        <v>ALM10984314</v>
      </c>
      <c r="D38" t="s">
        <v>8689</v>
      </c>
      <c r="E38" s="1" t="s">
        <v>11404</v>
      </c>
      <c r="F38" s="61">
        <f t="shared" ref="F38:F40" si="8">F36</f>
        <v>1269.23</v>
      </c>
      <c r="G38" s="3">
        <v>0</v>
      </c>
      <c r="H38" s="4" t="s">
        <v>8690</v>
      </c>
      <c r="I38">
        <v>6</v>
      </c>
      <c r="J38">
        <v>1</v>
      </c>
      <c r="L38" s="91">
        <f>((ARTICULOS_POPSALADO[[#This Row],[P. Compra]]*(1+ARTICULOS_POPSALADO[[#This Row],[IVA]]%))/ARTICULOS_POPSALADO[[#This Row],[UnidFact]])+ARTICULOS_POPSALADO[[#This Row],[CostoFlete]]</f>
        <v>1269.23</v>
      </c>
      <c r="M38">
        <v>30</v>
      </c>
      <c r="N38" s="32">
        <f>IF(L38&gt;=5,MROUND((L38*(1+(ARTICULOS_POPSALADO[[#This Row],[Util]]/100))),50),10)</f>
        <v>1650</v>
      </c>
      <c r="O38" s="3">
        <f>MROUND((ARTICULOS_POPSALADO[[#This Row],[Precio]]/0.6),10)</f>
        <v>2750</v>
      </c>
      <c r="P38" t="s">
        <v>8693</v>
      </c>
      <c r="Q38">
        <v>3</v>
      </c>
      <c r="R38" s="22">
        <f>ARTICULOS_POPSALADO[[#This Row],[Bulto]]+ARTICULOS_POPSALADO[[#This Row],[Minimo]]</f>
        <v>9</v>
      </c>
      <c r="S38" t="s">
        <v>51</v>
      </c>
      <c r="T38" t="s">
        <v>4</v>
      </c>
      <c r="U38" t="s">
        <v>102</v>
      </c>
      <c r="V38" t="s">
        <v>10348</v>
      </c>
      <c r="W38" t="s">
        <v>8692</v>
      </c>
      <c r="X38">
        <v>1</v>
      </c>
      <c r="Y38" s="3">
        <v>1</v>
      </c>
      <c r="AA38"/>
      <c r="AB38" s="80">
        <f>ARTICULOS_POPSALADO[[#This Row],[Costo]]*ARTICULOS_POPSALADO[[#This Row],[Pedido]]</f>
        <v>0</v>
      </c>
      <c r="AH38" s="2" t="str">
        <f>IF(AND(ARTICULOS_POPSALADO[[#This Row],[FechaVenc]]=0,ARTICULOS_POPSALADO[[#This Row],[DiasVenc]]=0),"",ARTICULOS_POPSALADO[[#This Row],[FechaVenc]]-ARTICULOS_POPSALADO[[#This Row],[DiasVenc]])</f>
        <v/>
      </c>
      <c r="AO38" s="30" t="s">
        <v>8689</v>
      </c>
    </row>
    <row r="39" spans="1:41" x14ac:dyDescent="0.25">
      <c r="A39" s="1" t="s">
        <v>10354</v>
      </c>
      <c r="B39" s="1" t="s">
        <v>10355</v>
      </c>
      <c r="C39" t="str">
        <f t="shared" si="0"/>
        <v>ALM10985168</v>
      </c>
      <c r="D39" t="s">
        <v>8689</v>
      </c>
      <c r="E39" s="1" t="s">
        <v>10356</v>
      </c>
      <c r="F39" s="61">
        <f t="shared" si="8"/>
        <v>730.77</v>
      </c>
      <c r="G39" s="3">
        <v>0</v>
      </c>
      <c r="H39" s="4" t="s">
        <v>8690</v>
      </c>
      <c r="I39">
        <v>6</v>
      </c>
      <c r="J39">
        <v>1</v>
      </c>
      <c r="L39" s="91">
        <f>((ARTICULOS_POPSALADO[[#This Row],[P. Compra]]*(1+ARTICULOS_POPSALADO[[#This Row],[IVA]]%))/ARTICULOS_POPSALADO[[#This Row],[UnidFact]])+ARTICULOS_POPSALADO[[#This Row],[CostoFlete]]</f>
        <v>730.77</v>
      </c>
      <c r="M39">
        <v>30</v>
      </c>
      <c r="N39" s="32">
        <f>IF(L39&gt;=5,MROUND((L39*(1+(ARTICULOS_POPSALADO[[#This Row],[Util]]/100))),50),10)</f>
        <v>950</v>
      </c>
      <c r="O39" s="3">
        <f>MROUND((ARTICULOS_POPSALADO[[#This Row],[Precio]]/0.6),10)</f>
        <v>1580</v>
      </c>
      <c r="P39" t="s">
        <v>8693</v>
      </c>
      <c r="Q39">
        <v>3</v>
      </c>
      <c r="R39" s="22">
        <f>ARTICULOS_POPSALADO[[#This Row],[Bulto]]+ARTICULOS_POPSALADO[[#This Row],[Minimo]]</f>
        <v>9</v>
      </c>
      <c r="S39" t="s">
        <v>51</v>
      </c>
      <c r="T39" t="s">
        <v>4</v>
      </c>
      <c r="U39" t="s">
        <v>102</v>
      </c>
      <c r="V39" t="s">
        <v>10348</v>
      </c>
      <c r="W39" t="s">
        <v>8692</v>
      </c>
      <c r="X39">
        <v>1</v>
      </c>
      <c r="Y39" s="3">
        <v>0</v>
      </c>
      <c r="AA39"/>
      <c r="AB39" s="80">
        <f>ARTICULOS_POPSALADO[[#This Row],[Costo]]*ARTICULOS_POPSALADO[[#This Row],[Pedido]]</f>
        <v>0</v>
      </c>
      <c r="AH39" s="2" t="str">
        <f>IF(AND(ARTICULOS_POPSALADO[[#This Row],[FechaVenc]]=0,ARTICULOS_POPSALADO[[#This Row],[DiasVenc]]=0),"",ARTICULOS_POPSALADO[[#This Row],[FechaVenc]]-ARTICULOS_POPSALADO[[#This Row],[DiasVenc]])</f>
        <v/>
      </c>
      <c r="AO39" s="30" t="s">
        <v>8689</v>
      </c>
    </row>
    <row r="40" spans="1:41" ht="16.5" thickBot="1" x14ac:dyDescent="0.3">
      <c r="A40" s="25" t="s">
        <v>10357</v>
      </c>
      <c r="B40" s="25" t="s">
        <v>10358</v>
      </c>
      <c r="C40" s="26" t="str">
        <f t="shared" si="0"/>
        <v>ALM10985182</v>
      </c>
      <c r="D40" s="26" t="s">
        <v>8689</v>
      </c>
      <c r="E40" s="25" t="s">
        <v>10359</v>
      </c>
      <c r="F40" s="95">
        <f t="shared" si="8"/>
        <v>1269.23</v>
      </c>
      <c r="G40" s="27">
        <v>0</v>
      </c>
      <c r="H40" s="28" t="s">
        <v>8690</v>
      </c>
      <c r="I40" s="26">
        <v>6</v>
      </c>
      <c r="J40" s="26">
        <v>1</v>
      </c>
      <c r="K40" s="26"/>
      <c r="L40" s="92">
        <f>((ARTICULOS_POPSALADO[[#This Row],[P. Compra]]*(1+ARTICULOS_POPSALADO[[#This Row],[IVA]]%))/ARTICULOS_POPSALADO[[#This Row],[UnidFact]])+ARTICULOS_POPSALADO[[#This Row],[CostoFlete]]</f>
        <v>1269.23</v>
      </c>
      <c r="M40" s="26">
        <v>30</v>
      </c>
      <c r="N40" s="33">
        <f>IF(L40&gt;=5,MROUND((L40*(1+(ARTICULOS_POPSALADO[[#This Row],[Util]]/100))),50),10)</f>
        <v>1650</v>
      </c>
      <c r="O40" s="27">
        <f>MROUND((ARTICULOS_POPSALADO[[#This Row],[Precio]]/0.6),10)</f>
        <v>2750</v>
      </c>
      <c r="P40" s="26" t="s">
        <v>8693</v>
      </c>
      <c r="Q40" s="26">
        <v>3</v>
      </c>
      <c r="R40" s="29">
        <f>ARTICULOS_POPSALADO[[#This Row],[Bulto]]+ARTICULOS_POPSALADO[[#This Row],[Minimo]]</f>
        <v>9</v>
      </c>
      <c r="S40" s="26" t="s">
        <v>51</v>
      </c>
      <c r="T40" s="26" t="s">
        <v>4</v>
      </c>
      <c r="U40" s="26" t="s">
        <v>102</v>
      </c>
      <c r="V40" s="52" t="s">
        <v>10348</v>
      </c>
      <c r="W40" s="26" t="s">
        <v>8692</v>
      </c>
      <c r="X40" s="26">
        <v>1</v>
      </c>
      <c r="Y40" s="27">
        <v>0</v>
      </c>
      <c r="Z40" s="27"/>
      <c r="AA40"/>
      <c r="AB40" s="80">
        <f>ARTICULOS_POPSALADO[[#This Row],[Costo]]*ARTICULOS_POPSALADO[[#This Row],[Pedido]]</f>
        <v>0</v>
      </c>
      <c r="AH40" s="2" t="str">
        <f>IF(AND(ARTICULOS_POPSALADO[[#This Row],[FechaVenc]]=0,ARTICULOS_POPSALADO[[#This Row],[DiasVenc]]=0),"",ARTICULOS_POPSALADO[[#This Row],[FechaVenc]]-ARTICULOS_POPSALADO[[#This Row],[DiasVenc]])</f>
        <v/>
      </c>
      <c r="AO40" s="30" t="s">
        <v>8689</v>
      </c>
    </row>
    <row r="41" spans="1:41" x14ac:dyDescent="0.25">
      <c r="A41" s="1" t="s">
        <v>10360</v>
      </c>
      <c r="B41" s="1" t="s">
        <v>10361</v>
      </c>
      <c r="C41" t="str">
        <f t="shared" si="0"/>
        <v>ALM10984451</v>
      </c>
      <c r="D41" t="s">
        <v>8689</v>
      </c>
      <c r="E41" s="1" t="s">
        <v>10362</v>
      </c>
      <c r="F41" s="61">
        <v>1000</v>
      </c>
      <c r="G41" s="3">
        <v>0</v>
      </c>
      <c r="H41" s="4" t="s">
        <v>8690</v>
      </c>
      <c r="I41">
        <v>6</v>
      </c>
      <c r="J41">
        <v>1</v>
      </c>
      <c r="L41" s="91">
        <f>((ARTICULOS_POPSALADO[[#This Row],[P. Compra]]*(1+ARTICULOS_POPSALADO[[#This Row],[IVA]]%))/ARTICULOS_POPSALADO[[#This Row],[UnidFact]])+ARTICULOS_POPSALADO[[#This Row],[CostoFlete]]</f>
        <v>1000</v>
      </c>
      <c r="M41">
        <v>30</v>
      </c>
      <c r="N41" s="32">
        <f>IF(L41&gt;=5,MROUND((L41*(1+(ARTICULOS_POPSALADO[[#This Row],[Util]]/100))),50),10)</f>
        <v>1300</v>
      </c>
      <c r="O41" s="3">
        <f>MROUND((ARTICULOS_POPSALADO[[#This Row],[Precio]]/0.6),10)</f>
        <v>2170</v>
      </c>
      <c r="P41" t="s">
        <v>8693</v>
      </c>
      <c r="Q41">
        <v>3</v>
      </c>
      <c r="R41" s="22">
        <f>ARTICULOS_POPSALADO[[#This Row],[Bulto]]+ARTICULOS_POPSALADO[[#This Row],[Minimo]]</f>
        <v>9</v>
      </c>
      <c r="S41" t="s">
        <v>51</v>
      </c>
      <c r="T41" t="s">
        <v>4</v>
      </c>
      <c r="U41" t="s">
        <v>102</v>
      </c>
      <c r="V41" t="s">
        <v>10363</v>
      </c>
      <c r="W41" t="s">
        <v>8692</v>
      </c>
      <c r="X41">
        <v>1</v>
      </c>
      <c r="AA41"/>
      <c r="AB41" s="80">
        <f>ARTICULOS_POPSALADO[[#This Row],[Costo]]*ARTICULOS_POPSALADO[[#This Row],[Pedido]]</f>
        <v>0</v>
      </c>
      <c r="AH41" s="2" t="str">
        <f>IF(AND(ARTICULOS_POPSALADO[[#This Row],[FechaVenc]]=0,ARTICULOS_POPSALADO[[#This Row],[DiasVenc]]=0),"",ARTICULOS_POPSALADO[[#This Row],[FechaVenc]]-ARTICULOS_POPSALADO[[#This Row],[DiasVenc]])</f>
        <v/>
      </c>
      <c r="AO41" s="30" t="s">
        <v>8689</v>
      </c>
    </row>
    <row r="42" spans="1:41" x14ac:dyDescent="0.25">
      <c r="A42" s="1" t="s">
        <v>10364</v>
      </c>
      <c r="B42" s="1" t="s">
        <v>10365</v>
      </c>
      <c r="C42" t="str">
        <f t="shared" si="0"/>
        <v>ALM10984420</v>
      </c>
      <c r="D42" t="s">
        <v>8689</v>
      </c>
      <c r="E42" s="1" t="s">
        <v>10366</v>
      </c>
      <c r="F42" s="61">
        <f>F41</f>
        <v>1000</v>
      </c>
      <c r="G42" s="3">
        <v>0</v>
      </c>
      <c r="H42" s="4" t="s">
        <v>8690</v>
      </c>
      <c r="I42">
        <v>6</v>
      </c>
      <c r="J42">
        <v>1</v>
      </c>
      <c r="L42" s="91">
        <f>((ARTICULOS_POPSALADO[[#This Row],[P. Compra]]*(1+ARTICULOS_POPSALADO[[#This Row],[IVA]]%))/ARTICULOS_POPSALADO[[#This Row],[UnidFact]])+ARTICULOS_POPSALADO[[#This Row],[CostoFlete]]</f>
        <v>1000</v>
      </c>
      <c r="M42">
        <v>30</v>
      </c>
      <c r="N42" s="32">
        <f>IF(L42&gt;=5,MROUND((L42*(1+(ARTICULOS_POPSALADO[[#This Row],[Util]]/100))),50),10)</f>
        <v>1300</v>
      </c>
      <c r="O42" s="3">
        <f>MROUND((ARTICULOS_POPSALADO[[#This Row],[Precio]]/0.6),10)</f>
        <v>2170</v>
      </c>
      <c r="P42" t="s">
        <v>8693</v>
      </c>
      <c r="Q42">
        <v>3</v>
      </c>
      <c r="R42" s="22">
        <f>ARTICULOS_POPSALADO[[#This Row],[Bulto]]+ARTICULOS_POPSALADO[[#This Row],[Minimo]]</f>
        <v>9</v>
      </c>
      <c r="S42" t="s">
        <v>51</v>
      </c>
      <c r="T42" t="s">
        <v>4</v>
      </c>
      <c r="U42" t="s">
        <v>102</v>
      </c>
      <c r="V42" t="s">
        <v>10363</v>
      </c>
      <c r="W42" t="s">
        <v>8692</v>
      </c>
      <c r="X42">
        <v>1</v>
      </c>
      <c r="AA42"/>
      <c r="AB42" s="80">
        <f>ARTICULOS_POPSALADO[[#This Row],[Costo]]*ARTICULOS_POPSALADO[[#This Row],[Pedido]]</f>
        <v>0</v>
      </c>
      <c r="AH42" s="2" t="str">
        <f>IF(AND(ARTICULOS_POPSALADO[[#This Row],[FechaVenc]]=0,ARTICULOS_POPSALADO[[#This Row],[DiasVenc]]=0),"",ARTICULOS_POPSALADO[[#This Row],[FechaVenc]]-ARTICULOS_POPSALADO[[#This Row],[DiasVenc]])</f>
        <v/>
      </c>
      <c r="AO42" s="30" t="s">
        <v>8689</v>
      </c>
    </row>
    <row r="43" spans="1:41" x14ac:dyDescent="0.25">
      <c r="A43" s="1" t="s">
        <v>10367</v>
      </c>
      <c r="B43" s="1" t="s">
        <v>10368</v>
      </c>
      <c r="C43" t="str">
        <f t="shared" si="0"/>
        <v>ALM10984468</v>
      </c>
      <c r="D43" t="s">
        <v>8689</v>
      </c>
      <c r="E43" s="1" t="s">
        <v>10369</v>
      </c>
      <c r="F43" s="61">
        <v>1653.85</v>
      </c>
      <c r="G43" s="3">
        <v>0</v>
      </c>
      <c r="H43" s="4" t="s">
        <v>8690</v>
      </c>
      <c r="I43">
        <v>6</v>
      </c>
      <c r="J43">
        <v>1</v>
      </c>
      <c r="L43" s="91">
        <f>((ARTICULOS_POPSALADO[[#This Row],[P. Compra]]*(1+ARTICULOS_POPSALADO[[#This Row],[IVA]]%))/ARTICULOS_POPSALADO[[#This Row],[UnidFact]])+ARTICULOS_POPSALADO[[#This Row],[CostoFlete]]</f>
        <v>1653.85</v>
      </c>
      <c r="M43">
        <v>30</v>
      </c>
      <c r="N43" s="32">
        <f>IF(L43&gt;=5,MROUND((L43*(1+(ARTICULOS_POPSALADO[[#This Row],[Util]]/100))),50),10)</f>
        <v>2150</v>
      </c>
      <c r="O43" s="3">
        <f>MROUND((ARTICULOS_POPSALADO[[#This Row],[Precio]]/0.6),10)</f>
        <v>3580</v>
      </c>
      <c r="P43" t="s">
        <v>8693</v>
      </c>
      <c r="Q43">
        <v>3</v>
      </c>
      <c r="R43" s="22">
        <f>ARTICULOS_POPSALADO[[#This Row],[Bulto]]+ARTICULOS_POPSALADO[[#This Row],[Minimo]]</f>
        <v>9</v>
      </c>
      <c r="S43" t="s">
        <v>51</v>
      </c>
      <c r="T43" t="s">
        <v>4</v>
      </c>
      <c r="U43" t="s">
        <v>102</v>
      </c>
      <c r="V43" t="s">
        <v>10363</v>
      </c>
      <c r="W43" t="s">
        <v>8692</v>
      </c>
      <c r="X43">
        <v>1</v>
      </c>
      <c r="AA43"/>
      <c r="AB43" s="80">
        <f>ARTICULOS_POPSALADO[[#This Row],[Costo]]*ARTICULOS_POPSALADO[[#This Row],[Pedido]]</f>
        <v>0</v>
      </c>
      <c r="AH43" s="2" t="str">
        <f>IF(AND(ARTICULOS_POPSALADO[[#This Row],[FechaVenc]]=0,ARTICULOS_POPSALADO[[#This Row],[DiasVenc]]=0),"",ARTICULOS_POPSALADO[[#This Row],[FechaVenc]]-ARTICULOS_POPSALADO[[#This Row],[DiasVenc]])</f>
        <v/>
      </c>
      <c r="AO43" s="30" t="s">
        <v>8689</v>
      </c>
    </row>
    <row r="44" spans="1:41" x14ac:dyDescent="0.25">
      <c r="A44" s="1" t="s">
        <v>10370</v>
      </c>
      <c r="B44" s="1" t="s">
        <v>10371</v>
      </c>
      <c r="C44" t="str">
        <f t="shared" si="0"/>
        <v>ALM10984437</v>
      </c>
      <c r="D44" t="s">
        <v>8689</v>
      </c>
      <c r="E44" s="1" t="s">
        <v>10372</v>
      </c>
      <c r="F44" s="61">
        <f>F43</f>
        <v>1653.85</v>
      </c>
      <c r="G44" s="3">
        <v>0</v>
      </c>
      <c r="H44" s="4" t="s">
        <v>8690</v>
      </c>
      <c r="I44">
        <v>6</v>
      </c>
      <c r="J44">
        <v>1</v>
      </c>
      <c r="L44" s="91">
        <f>((ARTICULOS_POPSALADO[[#This Row],[P. Compra]]*(1+ARTICULOS_POPSALADO[[#This Row],[IVA]]%))/ARTICULOS_POPSALADO[[#This Row],[UnidFact]])+ARTICULOS_POPSALADO[[#This Row],[CostoFlete]]</f>
        <v>1653.85</v>
      </c>
      <c r="M44">
        <v>30</v>
      </c>
      <c r="N44" s="32">
        <f>IF(L44&gt;=5,MROUND((L44*(1+(ARTICULOS_POPSALADO[[#This Row],[Util]]/100))),50),10)</f>
        <v>2150</v>
      </c>
      <c r="O44" s="3">
        <f>MROUND((ARTICULOS_POPSALADO[[#This Row],[Precio]]/0.6),10)</f>
        <v>3580</v>
      </c>
      <c r="P44" t="s">
        <v>8693</v>
      </c>
      <c r="Q44">
        <v>3</v>
      </c>
      <c r="R44" s="22">
        <f>ARTICULOS_POPSALADO[[#This Row],[Bulto]]+ARTICULOS_POPSALADO[[#This Row],[Minimo]]</f>
        <v>9</v>
      </c>
      <c r="S44" t="s">
        <v>51</v>
      </c>
      <c r="T44" t="s">
        <v>4</v>
      </c>
      <c r="U44" t="s">
        <v>102</v>
      </c>
      <c r="V44" t="s">
        <v>10363</v>
      </c>
      <c r="W44" t="s">
        <v>8692</v>
      </c>
      <c r="X44">
        <v>1</v>
      </c>
      <c r="AA44"/>
      <c r="AB44" s="80">
        <f>ARTICULOS_POPSALADO[[#This Row],[Costo]]*ARTICULOS_POPSALADO[[#This Row],[Pedido]]</f>
        <v>0</v>
      </c>
      <c r="AH44" s="2" t="str">
        <f>IF(AND(ARTICULOS_POPSALADO[[#This Row],[FechaVenc]]=0,ARTICULOS_POPSALADO[[#This Row],[DiasVenc]]=0),"",ARTICULOS_POPSALADO[[#This Row],[FechaVenc]]-ARTICULOS_POPSALADO[[#This Row],[DiasVenc]])</f>
        <v/>
      </c>
      <c r="AO44" s="30" t="s">
        <v>8689</v>
      </c>
    </row>
    <row r="45" spans="1:41" x14ac:dyDescent="0.25">
      <c r="A45" s="1" t="s">
        <v>10373</v>
      </c>
      <c r="B45" s="1" t="s">
        <v>10374</v>
      </c>
      <c r="C45" t="str">
        <f t="shared" si="0"/>
        <v>ALM10982945</v>
      </c>
      <c r="D45" t="s">
        <v>8689</v>
      </c>
      <c r="E45" s="1" t="s">
        <v>10375</v>
      </c>
      <c r="F45" s="61">
        <v>1484.61</v>
      </c>
      <c r="G45" s="3">
        <v>0</v>
      </c>
      <c r="H45" s="4" t="s">
        <v>8690</v>
      </c>
      <c r="I45">
        <v>6</v>
      </c>
      <c r="J45">
        <v>1</v>
      </c>
      <c r="L45" s="91">
        <f>((ARTICULOS_POPSALADO[[#This Row],[P. Compra]]*(1+ARTICULOS_POPSALADO[[#This Row],[IVA]]%))/ARTICULOS_POPSALADO[[#This Row],[UnidFact]])+ARTICULOS_POPSALADO[[#This Row],[CostoFlete]]</f>
        <v>1484.61</v>
      </c>
      <c r="M45">
        <v>30</v>
      </c>
      <c r="N45" s="32">
        <f>IF(L45&gt;=5,MROUND((L45*(1+(ARTICULOS_POPSALADO[[#This Row],[Util]]/100))),50),10)</f>
        <v>1950</v>
      </c>
      <c r="O45" s="3">
        <f>MROUND((ARTICULOS_POPSALADO[[#This Row],[Precio]]/0.6),10)</f>
        <v>3250</v>
      </c>
      <c r="P45" t="s">
        <v>8693</v>
      </c>
      <c r="Q45">
        <v>3</v>
      </c>
      <c r="R45" s="22">
        <f>ARTICULOS_POPSALADO[[#This Row],[Bulto]]+ARTICULOS_POPSALADO[[#This Row],[Minimo]]</f>
        <v>9</v>
      </c>
      <c r="S45" t="s">
        <v>51</v>
      </c>
      <c r="T45" t="s">
        <v>4</v>
      </c>
      <c r="U45" t="s">
        <v>102</v>
      </c>
      <c r="V45" s="30" t="s">
        <v>10376</v>
      </c>
      <c r="W45" t="s">
        <v>8692</v>
      </c>
      <c r="X45">
        <v>1</v>
      </c>
      <c r="AA45"/>
      <c r="AB45" s="80">
        <f>ARTICULOS_POPSALADO[[#This Row],[Costo]]*ARTICULOS_POPSALADO[[#This Row],[Pedido]]</f>
        <v>0</v>
      </c>
      <c r="AH45" s="2" t="str">
        <f>IF(AND(ARTICULOS_POPSALADO[[#This Row],[FechaVenc]]=0,ARTICULOS_POPSALADO[[#This Row],[DiasVenc]]=0),"",ARTICULOS_POPSALADO[[#This Row],[FechaVenc]]-ARTICULOS_POPSALADO[[#This Row],[DiasVenc]])</f>
        <v/>
      </c>
      <c r="AO45" s="30" t="s">
        <v>8689</v>
      </c>
    </row>
    <row r="46" spans="1:41" x14ac:dyDescent="0.25">
      <c r="A46" s="1" t="s">
        <v>10377</v>
      </c>
      <c r="B46" s="1" t="s">
        <v>10378</v>
      </c>
      <c r="C46" t="str">
        <f t="shared" si="0"/>
        <v>ALM10982938</v>
      </c>
      <c r="D46" t="s">
        <v>8689</v>
      </c>
      <c r="E46" s="1" t="s">
        <v>10379</v>
      </c>
      <c r="F46" s="61">
        <f>F45</f>
        <v>1484.61</v>
      </c>
      <c r="G46" s="3">
        <v>0</v>
      </c>
      <c r="H46" s="4" t="s">
        <v>8690</v>
      </c>
      <c r="I46">
        <v>6</v>
      </c>
      <c r="J46">
        <v>1</v>
      </c>
      <c r="L46" s="91">
        <f>((ARTICULOS_POPSALADO[[#This Row],[P. Compra]]*(1+ARTICULOS_POPSALADO[[#This Row],[IVA]]%))/ARTICULOS_POPSALADO[[#This Row],[UnidFact]])+ARTICULOS_POPSALADO[[#This Row],[CostoFlete]]</f>
        <v>1484.61</v>
      </c>
      <c r="M46">
        <v>30</v>
      </c>
      <c r="N46" s="32">
        <f>IF(L46&gt;=5,MROUND((L46*(1+(ARTICULOS_POPSALADO[[#This Row],[Util]]/100))),50),10)</f>
        <v>1950</v>
      </c>
      <c r="O46" s="3">
        <f>MROUND((ARTICULOS_POPSALADO[[#This Row],[Precio]]/0.6),10)</f>
        <v>3250</v>
      </c>
      <c r="P46" t="s">
        <v>8693</v>
      </c>
      <c r="Q46">
        <v>3</v>
      </c>
      <c r="R46" s="22">
        <f>ARTICULOS_POPSALADO[[#This Row],[Bulto]]+ARTICULOS_POPSALADO[[#This Row],[Minimo]]</f>
        <v>9</v>
      </c>
      <c r="S46" t="s">
        <v>51</v>
      </c>
      <c r="T46" t="s">
        <v>4</v>
      </c>
      <c r="U46" t="s">
        <v>102</v>
      </c>
      <c r="V46" s="30" t="s">
        <v>10376</v>
      </c>
      <c r="W46" t="s">
        <v>8692</v>
      </c>
      <c r="X46">
        <v>1</v>
      </c>
      <c r="AA46"/>
      <c r="AB46" s="80">
        <f>ARTICULOS_POPSALADO[[#This Row],[Costo]]*ARTICULOS_POPSALADO[[#This Row],[Pedido]]</f>
        <v>0</v>
      </c>
      <c r="AH46" s="2" t="str">
        <f>IF(AND(ARTICULOS_POPSALADO[[#This Row],[FechaVenc]]=0,ARTICULOS_POPSALADO[[#This Row],[DiasVenc]]=0),"",ARTICULOS_POPSALADO[[#This Row],[FechaVenc]]-ARTICULOS_POPSALADO[[#This Row],[DiasVenc]])</f>
        <v/>
      </c>
      <c r="AO46" s="30" t="s">
        <v>8689</v>
      </c>
    </row>
    <row r="47" spans="1:41" x14ac:dyDescent="0.25">
      <c r="A47" s="1" t="s">
        <v>10380</v>
      </c>
      <c r="B47" s="1" t="s">
        <v>10381</v>
      </c>
      <c r="C47" t="str">
        <f t="shared" si="0"/>
        <v>ALM10983904</v>
      </c>
      <c r="D47" t="s">
        <v>8689</v>
      </c>
      <c r="E47" s="1" t="s">
        <v>10382</v>
      </c>
      <c r="F47" s="61">
        <v>1253.8499999999999</v>
      </c>
      <c r="G47" s="3">
        <v>0</v>
      </c>
      <c r="H47" s="4" t="s">
        <v>8690</v>
      </c>
      <c r="I47">
        <v>6</v>
      </c>
      <c r="J47">
        <v>1</v>
      </c>
      <c r="L47" s="91">
        <f>((ARTICULOS_POPSALADO[[#This Row],[P. Compra]]*(1+ARTICULOS_POPSALADO[[#This Row],[IVA]]%))/ARTICULOS_POPSALADO[[#This Row],[UnidFact]])+ARTICULOS_POPSALADO[[#This Row],[CostoFlete]]</f>
        <v>1253.8499999999999</v>
      </c>
      <c r="M47">
        <v>30</v>
      </c>
      <c r="N47" s="32">
        <f>IF(L47&gt;=5,MROUND((L47*(1+(ARTICULOS_POPSALADO[[#This Row],[Util]]/100))),50),10)</f>
        <v>1650</v>
      </c>
      <c r="O47" s="3">
        <f>MROUND((ARTICULOS_POPSALADO[[#This Row],[Precio]]/0.6),10)</f>
        <v>2750</v>
      </c>
      <c r="P47" t="s">
        <v>8693</v>
      </c>
      <c r="Q47">
        <v>3</v>
      </c>
      <c r="R47" s="22">
        <f>ARTICULOS_POPSALADO[[#This Row],[Bulto]]+ARTICULOS_POPSALADO[[#This Row],[Minimo]]</f>
        <v>9</v>
      </c>
      <c r="S47" t="s">
        <v>51</v>
      </c>
      <c r="T47" t="s">
        <v>4</v>
      </c>
      <c r="U47" t="s">
        <v>102</v>
      </c>
      <c r="V47" s="30" t="s">
        <v>10376</v>
      </c>
      <c r="W47" t="s">
        <v>8692</v>
      </c>
      <c r="X47">
        <v>1</v>
      </c>
      <c r="AA47"/>
      <c r="AB47" s="80">
        <f>ARTICULOS_POPSALADO[[#This Row],[Costo]]*ARTICULOS_POPSALADO[[#This Row],[Pedido]]</f>
        <v>0</v>
      </c>
      <c r="AH47" s="2" t="str">
        <f>IF(AND(ARTICULOS_POPSALADO[[#This Row],[FechaVenc]]=0,ARTICULOS_POPSALADO[[#This Row],[DiasVenc]]=0),"",ARTICULOS_POPSALADO[[#This Row],[FechaVenc]]-ARTICULOS_POPSALADO[[#This Row],[DiasVenc]])</f>
        <v/>
      </c>
      <c r="AO47" s="30" t="s">
        <v>8689</v>
      </c>
    </row>
    <row r="48" spans="1:41" ht="16.5" thickBot="1" x14ac:dyDescent="0.3">
      <c r="A48" s="25" t="s">
        <v>12182</v>
      </c>
      <c r="B48" s="25" t="s">
        <v>10383</v>
      </c>
      <c r="C48" s="26" t="str">
        <f t="shared" si="0"/>
        <v>ALM10985915</v>
      </c>
      <c r="D48" s="26" t="s">
        <v>8689</v>
      </c>
      <c r="E48" s="25" t="s">
        <v>12183</v>
      </c>
      <c r="F48" s="95">
        <f>F47</f>
        <v>1253.8499999999999</v>
      </c>
      <c r="G48" s="27">
        <v>0</v>
      </c>
      <c r="H48" s="28" t="s">
        <v>8690</v>
      </c>
      <c r="I48" s="26">
        <v>6</v>
      </c>
      <c r="J48" s="26">
        <v>1</v>
      </c>
      <c r="K48" s="26"/>
      <c r="L48" s="92">
        <f>((ARTICULOS_POPSALADO[[#This Row],[P. Compra]]*(1+ARTICULOS_POPSALADO[[#This Row],[IVA]]%))/ARTICULOS_POPSALADO[[#This Row],[UnidFact]])+ARTICULOS_POPSALADO[[#This Row],[CostoFlete]]</f>
        <v>1253.8499999999999</v>
      </c>
      <c r="M48" s="26">
        <v>30</v>
      </c>
      <c r="N48" s="33">
        <f>IF(L48&gt;=5,MROUND((L48*(1+(ARTICULOS_POPSALADO[[#This Row],[Util]]/100))),50),10)</f>
        <v>1650</v>
      </c>
      <c r="O48" s="27">
        <f>MROUND((ARTICULOS_POPSALADO[[#This Row],[Precio]]/0.6),10)</f>
        <v>2750</v>
      </c>
      <c r="P48" s="26" t="s">
        <v>8693</v>
      </c>
      <c r="Q48" s="26">
        <v>3</v>
      </c>
      <c r="R48" s="29">
        <f>ARTICULOS_POPSALADO[[#This Row],[Bulto]]+ARTICULOS_POPSALADO[[#This Row],[Minimo]]</f>
        <v>9</v>
      </c>
      <c r="S48" s="26" t="s">
        <v>51</v>
      </c>
      <c r="T48" s="26" t="s">
        <v>4</v>
      </c>
      <c r="U48" s="26" t="s">
        <v>102</v>
      </c>
      <c r="V48" s="52" t="s">
        <v>10376</v>
      </c>
      <c r="W48" s="26" t="s">
        <v>8692</v>
      </c>
      <c r="X48" s="26">
        <v>1</v>
      </c>
      <c r="Y48" s="27"/>
      <c r="Z48" s="27"/>
      <c r="AA48"/>
      <c r="AB48" s="80">
        <f>ARTICULOS_POPSALADO[[#This Row],[Costo]]*ARTICULOS_POPSALADO[[#This Row],[Pedido]]</f>
        <v>0</v>
      </c>
      <c r="AH48" s="2" t="str">
        <f>IF(AND(ARTICULOS_POPSALADO[[#This Row],[FechaVenc]]=0,ARTICULOS_POPSALADO[[#This Row],[DiasVenc]]=0),"",ARTICULOS_POPSALADO[[#This Row],[FechaVenc]]-ARTICULOS_POPSALADO[[#This Row],[DiasVenc]])</f>
        <v/>
      </c>
      <c r="AO48" s="30" t="s">
        <v>8689</v>
      </c>
    </row>
    <row r="49" spans="1:41" x14ac:dyDescent="0.25">
      <c r="A49" s="1" t="s">
        <v>10384</v>
      </c>
      <c r="B49" s="1" t="s">
        <v>10385</v>
      </c>
      <c r="C49" t="str">
        <f t="shared" si="0"/>
        <v>VEN70555314</v>
      </c>
      <c r="D49" t="s">
        <v>8689</v>
      </c>
      <c r="E49" s="1" t="s">
        <v>10386</v>
      </c>
      <c r="F49" s="61">
        <v>2259.64</v>
      </c>
      <c r="G49" s="3">
        <v>0</v>
      </c>
      <c r="H49" s="4" t="s">
        <v>8690</v>
      </c>
      <c r="I49">
        <v>3</v>
      </c>
      <c r="J49">
        <v>1</v>
      </c>
      <c r="L49" s="91">
        <f>((ARTICULOS_POPSALADO[[#This Row],[P. Compra]]*(1+ARTICULOS_POPSALADO[[#This Row],[IVA]]%))/ARTICULOS_POPSALADO[[#This Row],[UnidFact]])+ARTICULOS_POPSALADO[[#This Row],[CostoFlete]]</f>
        <v>2259.64</v>
      </c>
      <c r="M49">
        <v>37</v>
      </c>
      <c r="N49" s="32">
        <f>IF(L49&gt;=5,MROUND((L49*(1+(ARTICULOS_POPSALADO[[#This Row],[Util]]/100))),50),10)</f>
        <v>3100</v>
      </c>
      <c r="O49" s="3">
        <f>MROUND((ARTICULOS_POPSALADO[[#This Row],[Precio]]/0.6),10)</f>
        <v>5170</v>
      </c>
      <c r="P49" t="s">
        <v>8693</v>
      </c>
      <c r="Q49">
        <v>1</v>
      </c>
      <c r="R49" s="22">
        <f>ARTICULOS_POPSALADO[[#This Row],[Bulto]]+ARTICULOS_POPSALADO[[#This Row],[Minimo]]</f>
        <v>4</v>
      </c>
      <c r="S49" t="s">
        <v>51</v>
      </c>
      <c r="T49" t="s">
        <v>42</v>
      </c>
      <c r="U49" t="s">
        <v>65</v>
      </c>
      <c r="V49" t="s">
        <v>10387</v>
      </c>
      <c r="W49" t="s">
        <v>8692</v>
      </c>
      <c r="X49">
        <v>1</v>
      </c>
      <c r="AA49"/>
      <c r="AB49" s="80">
        <f>ARTICULOS_POPSALADO[[#This Row],[Costo]]*ARTICULOS_POPSALADO[[#This Row],[Pedido]]</f>
        <v>0</v>
      </c>
      <c r="AH49" s="2" t="str">
        <f>IF(AND(ARTICULOS_POPSALADO[[#This Row],[FechaVenc]]=0,ARTICULOS_POPSALADO[[#This Row],[DiasVenc]]=0),"",ARTICULOS_POPSALADO[[#This Row],[FechaVenc]]-ARTICULOS_POPSALADO[[#This Row],[DiasVenc]])</f>
        <v/>
      </c>
      <c r="AO49" s="30" t="s">
        <v>8689</v>
      </c>
    </row>
    <row r="50" spans="1:41" x14ac:dyDescent="0.25">
      <c r="A50" s="1" t="s">
        <v>10388</v>
      </c>
      <c r="B50" s="1" t="s">
        <v>10389</v>
      </c>
      <c r="C50" t="str">
        <f t="shared" si="0"/>
        <v>VEN70555345</v>
      </c>
      <c r="D50" t="s">
        <v>8689</v>
      </c>
      <c r="E50" s="1" t="s">
        <v>10390</v>
      </c>
      <c r="F50" s="61">
        <v>1457.83</v>
      </c>
      <c r="G50" s="3">
        <v>0</v>
      </c>
      <c r="H50" s="4" t="s">
        <v>8690</v>
      </c>
      <c r="I50">
        <v>3</v>
      </c>
      <c r="J50">
        <v>1</v>
      </c>
      <c r="L50" s="91">
        <f>((ARTICULOS_POPSALADO[[#This Row],[P. Compra]]*(1+ARTICULOS_POPSALADO[[#This Row],[IVA]]%))/ARTICULOS_POPSALADO[[#This Row],[UnidFact]])+ARTICULOS_POPSALADO[[#This Row],[CostoFlete]]</f>
        <v>1457.83</v>
      </c>
      <c r="M50">
        <v>37</v>
      </c>
      <c r="N50" s="32">
        <f>IF(L50&gt;=5,MROUND((L50*(1+(ARTICULOS_POPSALADO[[#This Row],[Util]]/100))),50),10)</f>
        <v>2000</v>
      </c>
      <c r="O50" s="3">
        <f>MROUND((ARTICULOS_POPSALADO[[#This Row],[Precio]]/0.6),10)</f>
        <v>3330</v>
      </c>
      <c r="P50" t="s">
        <v>8693</v>
      </c>
      <c r="Q50">
        <v>1</v>
      </c>
      <c r="R50" s="22">
        <f>ARTICULOS_POPSALADO[[#This Row],[Bulto]]+ARTICULOS_POPSALADO[[#This Row],[Minimo]]</f>
        <v>4</v>
      </c>
      <c r="S50" t="s">
        <v>51</v>
      </c>
      <c r="T50" t="s">
        <v>42</v>
      </c>
      <c r="U50" t="s">
        <v>65</v>
      </c>
      <c r="V50" t="s">
        <v>10387</v>
      </c>
      <c r="W50" t="s">
        <v>8692</v>
      </c>
      <c r="X50">
        <v>1</v>
      </c>
      <c r="AA50"/>
      <c r="AB50" s="80">
        <f>ARTICULOS_POPSALADO[[#This Row],[Costo]]*ARTICULOS_POPSALADO[[#This Row],[Pedido]]</f>
        <v>0</v>
      </c>
      <c r="AH50" s="2" t="str">
        <f>IF(AND(ARTICULOS_POPSALADO[[#This Row],[FechaVenc]]=0,ARTICULOS_POPSALADO[[#This Row],[DiasVenc]]=0),"",ARTICULOS_POPSALADO[[#This Row],[FechaVenc]]-ARTICULOS_POPSALADO[[#This Row],[DiasVenc]])</f>
        <v/>
      </c>
      <c r="AO50" s="30" t="s">
        <v>8689</v>
      </c>
    </row>
    <row r="51" spans="1:41" x14ac:dyDescent="0.25">
      <c r="AA51"/>
    </row>
    <row r="52" spans="1:41" x14ac:dyDescent="0.25">
      <c r="AA52"/>
    </row>
  </sheetData>
  <conditionalFormatting sqref="A1">
    <cfRule type="duplicateValues" dxfId="28" priority="3"/>
  </conditionalFormatting>
  <conditionalFormatting sqref="A2:C1048576">
    <cfRule type="duplicateValues" dxfId="27" priority="499"/>
    <cfRule type="duplicateValues" dxfId="26" priority="500"/>
  </conditionalFormatting>
  <conditionalFormatting sqref="C1">
    <cfRule type="duplicateValues" dxfId="25" priority="2"/>
  </conditionalFormatting>
  <conditionalFormatting sqref="F51:F1048576">
    <cfRule type="cellIs" dxfId="24" priority="11" operator="greaterThan">
      <formula>0</formula>
    </cfRule>
  </conditionalFormatting>
  <conditionalFormatting sqref="L1:L50">
    <cfRule type="cellIs" dxfId="23" priority="1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5F280AFB-DBB6-4934-95CC-61519861752F}">
          <x14:formula1>
            <xm:f>LISTAS!$A:$A</xm:f>
          </x14:formula1>
          <xm:sqref>S1:S50</xm:sqref>
        </x14:dataValidation>
        <x14:dataValidation type="list" allowBlank="1" showInputMessage="1" showErrorMessage="1" xr:uid="{480843CF-8620-45BE-A244-B3A51DC35FE6}">
          <x14:formula1>
            <xm:f>LISTAS!$E:$E</xm:f>
          </x14:formula1>
          <xm:sqref>U1:U50</xm:sqref>
        </x14:dataValidation>
        <x14:dataValidation type="list" allowBlank="1" showInputMessage="1" showErrorMessage="1" xr:uid="{62100FEE-E963-45F8-8759-5FBF11E5784D}">
          <x14:formula1>
            <xm:f>LISTAS!$C:$C</xm:f>
          </x14:formula1>
          <xm:sqref>T2:T50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CAD5-35A2-41B5-9E3C-D0CBD614240A}">
  <sheetPr>
    <pageSetUpPr fitToPage="1"/>
  </sheetPr>
  <dimension ref="A1:E69"/>
  <sheetViews>
    <sheetView topLeftCell="A22" workbookViewId="0">
      <selection activeCell="A3" sqref="A3"/>
    </sheetView>
  </sheetViews>
  <sheetFormatPr baseColWidth="10" defaultColWidth="11.42578125" defaultRowHeight="12.75" x14ac:dyDescent="0.2"/>
  <cols>
    <col min="1" max="1" width="26" bestFit="1" customWidth="1"/>
    <col min="3" max="3" width="20.42578125" bestFit="1" customWidth="1"/>
    <col min="5" max="5" width="30.42578125" bestFit="1" customWidth="1"/>
  </cols>
  <sheetData>
    <row r="1" spans="1:5" x14ac:dyDescent="0.2">
      <c r="A1" s="6" t="s">
        <v>0</v>
      </c>
      <c r="C1" s="6" t="s">
        <v>1</v>
      </c>
      <c r="E1" s="6" t="s">
        <v>2</v>
      </c>
    </row>
    <row r="2" spans="1:5" x14ac:dyDescent="0.2">
      <c r="A2" s="30" t="s">
        <v>8781</v>
      </c>
      <c r="C2" t="s">
        <v>4</v>
      </c>
      <c r="E2" t="s">
        <v>5</v>
      </c>
    </row>
    <row r="3" spans="1:5" x14ac:dyDescent="0.2">
      <c r="A3" s="30" t="s">
        <v>68</v>
      </c>
      <c r="C3" t="s">
        <v>7</v>
      </c>
      <c r="E3" t="s">
        <v>8</v>
      </c>
    </row>
    <row r="4" spans="1:5" x14ac:dyDescent="0.2">
      <c r="A4" t="s">
        <v>6</v>
      </c>
      <c r="C4" t="s">
        <v>10</v>
      </c>
      <c r="E4" t="s">
        <v>11</v>
      </c>
    </row>
    <row r="5" spans="1:5" x14ac:dyDescent="0.2">
      <c r="A5" t="s">
        <v>9</v>
      </c>
      <c r="C5" t="s">
        <v>13</v>
      </c>
      <c r="E5" t="s">
        <v>7</v>
      </c>
    </row>
    <row r="6" spans="1:5" x14ac:dyDescent="0.2">
      <c r="A6" t="s">
        <v>12</v>
      </c>
      <c r="C6" t="s">
        <v>15</v>
      </c>
      <c r="E6" t="s">
        <v>16</v>
      </c>
    </row>
    <row r="7" spans="1:5" x14ac:dyDescent="0.2">
      <c r="A7" t="s">
        <v>14</v>
      </c>
      <c r="C7" t="s">
        <v>18</v>
      </c>
      <c r="E7" t="s">
        <v>19</v>
      </c>
    </row>
    <row r="8" spans="1:5" x14ac:dyDescent="0.2">
      <c r="A8" s="30" t="s">
        <v>8881</v>
      </c>
      <c r="C8" t="s">
        <v>21</v>
      </c>
      <c r="E8" t="s">
        <v>22</v>
      </c>
    </row>
    <row r="9" spans="1:5" x14ac:dyDescent="0.2">
      <c r="A9" t="s">
        <v>17</v>
      </c>
      <c r="C9" t="s">
        <v>24</v>
      </c>
      <c r="E9" t="s">
        <v>25</v>
      </c>
    </row>
    <row r="10" spans="1:5" x14ac:dyDescent="0.2">
      <c r="A10" t="s">
        <v>20</v>
      </c>
      <c r="C10" t="s">
        <v>27</v>
      </c>
      <c r="E10" t="s">
        <v>28</v>
      </c>
    </row>
    <row r="11" spans="1:5" x14ac:dyDescent="0.2">
      <c r="A11" t="s">
        <v>23</v>
      </c>
      <c r="C11" t="s">
        <v>30</v>
      </c>
      <c r="E11" t="s">
        <v>31</v>
      </c>
    </row>
    <row r="12" spans="1:5" x14ac:dyDescent="0.2">
      <c r="A12" t="s">
        <v>26</v>
      </c>
      <c r="C12" t="s">
        <v>33</v>
      </c>
      <c r="E12" t="s">
        <v>34</v>
      </c>
    </row>
    <row r="13" spans="1:5" x14ac:dyDescent="0.2">
      <c r="A13" t="s">
        <v>29</v>
      </c>
      <c r="C13" t="s">
        <v>36</v>
      </c>
      <c r="E13" t="s">
        <v>37</v>
      </c>
    </row>
    <row r="14" spans="1:5" x14ac:dyDescent="0.2">
      <c r="A14" t="s">
        <v>32</v>
      </c>
      <c r="C14" t="s">
        <v>39</v>
      </c>
      <c r="E14" t="s">
        <v>40</v>
      </c>
    </row>
    <row r="15" spans="1:5" x14ac:dyDescent="0.2">
      <c r="A15" t="s">
        <v>70</v>
      </c>
      <c r="C15" t="s">
        <v>42</v>
      </c>
      <c r="E15" t="s">
        <v>43</v>
      </c>
    </row>
    <row r="16" spans="1:5" x14ac:dyDescent="0.2">
      <c r="A16" t="s">
        <v>35</v>
      </c>
      <c r="E16" t="s">
        <v>45</v>
      </c>
    </row>
    <row r="17" spans="1:5" x14ac:dyDescent="0.2">
      <c r="A17" t="s">
        <v>38</v>
      </c>
      <c r="E17" t="s">
        <v>47</v>
      </c>
    </row>
    <row r="18" spans="1:5" x14ac:dyDescent="0.2">
      <c r="A18" t="s">
        <v>41</v>
      </c>
      <c r="E18" t="s">
        <v>48</v>
      </c>
    </row>
    <row r="19" spans="1:5" x14ac:dyDescent="0.2">
      <c r="A19" t="s">
        <v>44</v>
      </c>
      <c r="E19" t="s">
        <v>50</v>
      </c>
    </row>
    <row r="20" spans="1:5" x14ac:dyDescent="0.2">
      <c r="A20" t="s">
        <v>46</v>
      </c>
      <c r="E20" t="s">
        <v>52</v>
      </c>
    </row>
    <row r="21" spans="1:5" x14ac:dyDescent="0.2">
      <c r="A21" t="s">
        <v>30</v>
      </c>
      <c r="E21" t="s">
        <v>54</v>
      </c>
    </row>
    <row r="22" spans="1:5" x14ac:dyDescent="0.2">
      <c r="A22" t="s">
        <v>49</v>
      </c>
      <c r="E22" t="s">
        <v>56</v>
      </c>
    </row>
    <row r="23" spans="1:5" x14ac:dyDescent="0.2">
      <c r="A23" s="30" t="s">
        <v>11415</v>
      </c>
      <c r="E23" t="s">
        <v>58</v>
      </c>
    </row>
    <row r="24" spans="1:5" x14ac:dyDescent="0.2">
      <c r="A24" t="s">
        <v>51</v>
      </c>
      <c r="E24" t="s">
        <v>60</v>
      </c>
    </row>
    <row r="25" spans="1:5" x14ac:dyDescent="0.2">
      <c r="A25" t="s">
        <v>53</v>
      </c>
      <c r="E25" t="s">
        <v>62</v>
      </c>
    </row>
    <row r="26" spans="1:5" x14ac:dyDescent="0.2">
      <c r="A26" t="s">
        <v>55</v>
      </c>
      <c r="E26" t="s">
        <v>64</v>
      </c>
    </row>
    <row r="27" spans="1:5" x14ac:dyDescent="0.2">
      <c r="A27" t="s">
        <v>57</v>
      </c>
      <c r="E27" t="s">
        <v>65</v>
      </c>
    </row>
    <row r="28" spans="1:5" x14ac:dyDescent="0.2">
      <c r="A28" t="s">
        <v>59</v>
      </c>
      <c r="E28" t="s">
        <v>67</v>
      </c>
    </row>
    <row r="29" spans="1:5" x14ac:dyDescent="0.2">
      <c r="A29" t="s">
        <v>61</v>
      </c>
      <c r="E29" t="s">
        <v>69</v>
      </c>
    </row>
    <row r="30" spans="1:5" x14ac:dyDescent="0.2">
      <c r="A30" t="s">
        <v>63</v>
      </c>
      <c r="E30" t="s">
        <v>71</v>
      </c>
    </row>
    <row r="31" spans="1:5" x14ac:dyDescent="0.2">
      <c r="A31" t="s">
        <v>39</v>
      </c>
      <c r="E31" t="s">
        <v>72</v>
      </c>
    </row>
    <row r="32" spans="1:5" x14ac:dyDescent="0.2">
      <c r="A32" t="s">
        <v>66</v>
      </c>
      <c r="E32" t="s">
        <v>73</v>
      </c>
    </row>
    <row r="33" spans="1:5" x14ac:dyDescent="0.2">
      <c r="A33" s="30" t="s">
        <v>12087</v>
      </c>
      <c r="E33" t="s">
        <v>74</v>
      </c>
    </row>
    <row r="34" spans="1:5" x14ac:dyDescent="0.2">
      <c r="A34" s="30" t="s">
        <v>12086</v>
      </c>
      <c r="E34" t="s">
        <v>75</v>
      </c>
    </row>
    <row r="35" spans="1:5" x14ac:dyDescent="0.2">
      <c r="A35" s="30" t="s">
        <v>10626</v>
      </c>
      <c r="E35" t="s">
        <v>76</v>
      </c>
    </row>
    <row r="36" spans="1:5" x14ac:dyDescent="0.2">
      <c r="A36" s="30" t="s">
        <v>12088</v>
      </c>
      <c r="E36" t="s">
        <v>77</v>
      </c>
    </row>
    <row r="37" spans="1:5" x14ac:dyDescent="0.2">
      <c r="A37" s="30" t="s">
        <v>12089</v>
      </c>
      <c r="E37" t="s">
        <v>78</v>
      </c>
    </row>
    <row r="38" spans="1:5" x14ac:dyDescent="0.2">
      <c r="E38" t="s">
        <v>79</v>
      </c>
    </row>
    <row r="39" spans="1:5" x14ac:dyDescent="0.2">
      <c r="E39" t="s">
        <v>80</v>
      </c>
    </row>
    <row r="40" spans="1:5" x14ac:dyDescent="0.2">
      <c r="E40" t="s">
        <v>81</v>
      </c>
    </row>
    <row r="41" spans="1:5" x14ac:dyDescent="0.2">
      <c r="E41" t="s">
        <v>82</v>
      </c>
    </row>
    <row r="42" spans="1:5" x14ac:dyDescent="0.2">
      <c r="E42" t="s">
        <v>83</v>
      </c>
    </row>
    <row r="43" spans="1:5" x14ac:dyDescent="0.2">
      <c r="E43" t="s">
        <v>84</v>
      </c>
    </row>
    <row r="44" spans="1:5" x14ac:dyDescent="0.2">
      <c r="E44" t="s">
        <v>85</v>
      </c>
    </row>
    <row r="45" spans="1:5" x14ac:dyDescent="0.2">
      <c r="E45" t="s">
        <v>86</v>
      </c>
    </row>
    <row r="46" spans="1:5" x14ac:dyDescent="0.2">
      <c r="E46" t="s">
        <v>87</v>
      </c>
    </row>
    <row r="47" spans="1:5" x14ac:dyDescent="0.2">
      <c r="E47" t="s">
        <v>88</v>
      </c>
    </row>
    <row r="48" spans="1:5" x14ac:dyDescent="0.2">
      <c r="E48" t="s">
        <v>89</v>
      </c>
    </row>
    <row r="49" spans="5:5" x14ac:dyDescent="0.2">
      <c r="E49" t="s">
        <v>90</v>
      </c>
    </row>
    <row r="50" spans="5:5" x14ac:dyDescent="0.2">
      <c r="E50" t="s">
        <v>91</v>
      </c>
    </row>
    <row r="51" spans="5:5" x14ac:dyDescent="0.2">
      <c r="E51" t="s">
        <v>92</v>
      </c>
    </row>
    <row r="52" spans="5:5" x14ac:dyDescent="0.2">
      <c r="E52" t="s">
        <v>93</v>
      </c>
    </row>
    <row r="53" spans="5:5" x14ac:dyDescent="0.2">
      <c r="E53" t="s">
        <v>94</v>
      </c>
    </row>
    <row r="54" spans="5:5" x14ac:dyDescent="0.2">
      <c r="E54" t="s">
        <v>95</v>
      </c>
    </row>
    <row r="55" spans="5:5" x14ac:dyDescent="0.2">
      <c r="E55" t="s">
        <v>96</v>
      </c>
    </row>
    <row r="56" spans="5:5" x14ac:dyDescent="0.2">
      <c r="E56" t="s">
        <v>97</v>
      </c>
    </row>
    <row r="57" spans="5:5" x14ac:dyDescent="0.2">
      <c r="E57" t="s">
        <v>98</v>
      </c>
    </row>
    <row r="58" spans="5:5" x14ac:dyDescent="0.2">
      <c r="E58" t="s">
        <v>99</v>
      </c>
    </row>
    <row r="59" spans="5:5" x14ac:dyDescent="0.2">
      <c r="E59" t="s">
        <v>100</v>
      </c>
    </row>
    <row r="60" spans="5:5" x14ac:dyDescent="0.2">
      <c r="E60" t="s">
        <v>101</v>
      </c>
    </row>
    <row r="61" spans="5:5" x14ac:dyDescent="0.2">
      <c r="E61" t="s">
        <v>102</v>
      </c>
    </row>
    <row r="62" spans="5:5" x14ac:dyDescent="0.2">
      <c r="E62" t="s">
        <v>103</v>
      </c>
    </row>
    <row r="63" spans="5:5" x14ac:dyDescent="0.2">
      <c r="E63" t="s">
        <v>42</v>
      </c>
    </row>
    <row r="64" spans="5:5" x14ac:dyDescent="0.2">
      <c r="E64" t="s">
        <v>104</v>
      </c>
    </row>
    <row r="65" spans="5:5" x14ac:dyDescent="0.2">
      <c r="E65" t="s">
        <v>11859</v>
      </c>
    </row>
    <row r="66" spans="5:5" x14ac:dyDescent="0.2">
      <c r="E66" s="30" t="s">
        <v>105</v>
      </c>
    </row>
    <row r="67" spans="5:5" x14ac:dyDescent="0.2">
      <c r="E67" s="30" t="s">
        <v>106</v>
      </c>
    </row>
    <row r="68" spans="5:5" x14ac:dyDescent="0.2">
      <c r="E68" s="30" t="s">
        <v>11756</v>
      </c>
    </row>
    <row r="69" spans="5:5" x14ac:dyDescent="0.2">
      <c r="E69" t="s">
        <v>12046</v>
      </c>
    </row>
  </sheetData>
  <conditionalFormatting sqref="A2:A66">
    <cfRule type="duplicateValues" dxfId="244" priority="3"/>
  </conditionalFormatting>
  <conditionalFormatting sqref="C1:C1048576">
    <cfRule type="duplicateValues" dxfId="243" priority="2"/>
  </conditionalFormatting>
  <conditionalFormatting sqref="E1:E1048576">
    <cfRule type="duplicateValues" dxfId="242" priority="1"/>
  </conditionalFormatting>
  <pageMargins left="0" right="0" top="0" bottom="0" header="0.31496062992125984" footer="0.31496062992125984"/>
  <pageSetup fitToWidth="0" orientation="portrait" horizontalDpi="203" verticalDpi="203" r:id="rId1"/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F61C-1139-4858-BDC4-F4FDF19ABA2D}">
  <dimension ref="A1:AQ148"/>
  <sheetViews>
    <sheetView zoomScale="115" zoomScaleNormal="115" workbookViewId="0">
      <pane xSplit="5" topLeftCell="F1" activePane="topRight" state="frozen"/>
      <selection activeCell="AD34" sqref="AD34"/>
      <selection pane="topRight" activeCell="E10" sqref="E10"/>
    </sheetView>
  </sheetViews>
  <sheetFormatPr baseColWidth="10" defaultColWidth="11.42578125" defaultRowHeight="15.75" x14ac:dyDescent="0.25"/>
  <cols>
    <col min="1" max="1" width="14" style="1" bestFit="1" customWidth="1"/>
    <col min="2" max="2" width="1.5703125" style="1" customWidth="1"/>
    <col min="3" max="3" width="4.85546875" style="1" customWidth="1"/>
    <col min="4" max="4" width="4.28515625" customWidth="1"/>
    <col min="5" max="5" width="37.7109375" style="1" customWidth="1"/>
    <col min="6" max="6" width="10.42578125" style="15" bestFit="1" customWidth="1"/>
    <col min="7" max="7" width="7" bestFit="1" customWidth="1"/>
    <col min="8" max="8" width="5.140625" bestFit="1" customWidth="1"/>
    <col min="9" max="9" width="6.28515625" bestFit="1" customWidth="1"/>
    <col min="10" max="10" width="5" style="14" customWidth="1"/>
    <col min="11" max="11" width="5.140625" customWidth="1"/>
    <col min="12" max="12" width="12.7109375" bestFit="1" customWidth="1"/>
    <col min="14" max="14" width="18.140625" customWidth="1"/>
    <col min="15" max="15" width="17.7109375" bestFit="1" customWidth="1"/>
    <col min="16" max="16" width="11.42578125" style="35"/>
    <col min="18" max="18" width="8.85546875" bestFit="1" customWidth="1"/>
    <col min="23" max="23" width="9.7109375" style="3" bestFit="1" customWidth="1"/>
    <col min="24" max="24" width="9.28515625" style="4" bestFit="1" customWidth="1"/>
    <col min="26" max="26" width="9.28515625" style="3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12125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hidden="1" x14ac:dyDescent="0.25">
      <c r="A2" s="1" t="s">
        <v>10597</v>
      </c>
      <c r="C2" t="str">
        <f t="shared" ref="C2:C35" si="0">CONCATENATE(LEFT(T2,3),RIGHT(A2,8))</f>
        <v>KIO73035158</v>
      </c>
      <c r="D2" t="s">
        <v>8689</v>
      </c>
      <c r="E2" s="1" t="s">
        <v>10598</v>
      </c>
      <c r="F2" s="61">
        <v>556</v>
      </c>
      <c r="G2" s="3">
        <v>0</v>
      </c>
      <c r="H2" s="4" t="s">
        <v>8690</v>
      </c>
      <c r="I2">
        <v>12</v>
      </c>
      <c r="J2">
        <v>1</v>
      </c>
      <c r="K2">
        <v>0</v>
      </c>
      <c r="L2" s="65">
        <f>((ARTICULOS_MAYORISTA[[#This Row],[P. Compra]]*(1+ARTICULOS_MAYORISTA[[#This Row],[IVA]]%))/ARTICULOS_MAYORISTA[[#This Row],[UnidFact]])+ARTICULOS_MAYORISTA[[#This Row],[Flete]]</f>
        <v>556</v>
      </c>
      <c r="M2">
        <v>30</v>
      </c>
      <c r="N2" s="63">
        <f t="shared" ref="N2:N35" si="1">IF(L2&gt;=5,MROUND(L2/(1-M2/100),10),10)</f>
        <v>790</v>
      </c>
      <c r="O2" s="3">
        <f>MROUND((ARTICULOS_MAYORISTA[[#This Row],[Precio]]/0.6),10)</f>
        <v>1320</v>
      </c>
      <c r="P2" t="s">
        <v>8693</v>
      </c>
      <c r="Q2">
        <v>4</v>
      </c>
      <c r="R2" s="3">
        <f>ARTICULOS_MAYORISTA[[#This Row],[Bulto]]+ARTICULOS_MAYORISTA[[#This Row],[Minimo]]</f>
        <v>16</v>
      </c>
      <c r="S2" t="s">
        <v>35</v>
      </c>
      <c r="T2" t="s">
        <v>27</v>
      </c>
      <c r="U2" t="s">
        <v>7</v>
      </c>
      <c r="V2" t="s">
        <v>8691</v>
      </c>
      <c r="W2" t="s">
        <v>8692</v>
      </c>
      <c r="X2">
        <v>1</v>
      </c>
      <c r="Y2" s="36">
        <v>7</v>
      </c>
      <c r="Z2" t="s">
        <v>8692</v>
      </c>
      <c r="AB2" s="80">
        <f>ARTICULOS_MAYORISTA[[#This Row],[Costo]]*ARTICULOS_MAYORISTA[[#This Row],[Pedido]]</f>
        <v>0</v>
      </c>
      <c r="AF2" s="2"/>
      <c r="AH2" s="2" t="str">
        <f>IF(AND(ARTICULOS_MAYORISTA[[#This Row],[FechaVenc]]=0,ARTICULOS_MAYORISTA[[#This Row],[DiasVenc]]=0),"",ARTICULOS_MAYORISTA[[#This Row],[FechaVenc]]-ARTICULOS_MAYORISTA[[#This Row],[DiasVenc]])</f>
        <v/>
      </c>
      <c r="AO2" s="30" t="s">
        <v>8689</v>
      </c>
    </row>
    <row r="3" spans="1:43" hidden="1" x14ac:dyDescent="0.25">
      <c r="A3" s="1" t="s">
        <v>12583</v>
      </c>
      <c r="C3" t="str">
        <f t="shared" ref="C3:C4" si="2">CONCATENATE(LEFT(T3,3),RIGHT(A3,8))</f>
        <v>KIO70510177</v>
      </c>
      <c r="D3" t="s">
        <v>8689</v>
      </c>
      <c r="E3" s="1" t="s">
        <v>12584</v>
      </c>
      <c r="F3" s="61">
        <v>556</v>
      </c>
      <c r="G3" s="3">
        <v>0</v>
      </c>
      <c r="H3" s="4" t="s">
        <v>8690</v>
      </c>
      <c r="I3">
        <v>12</v>
      </c>
      <c r="J3">
        <v>1</v>
      </c>
      <c r="K3">
        <v>0</v>
      </c>
      <c r="L3" s="65">
        <f>((ARTICULOS_MAYORISTA[[#This Row],[P. Compra]]*(1+ARTICULOS_MAYORISTA[[#This Row],[IVA]]%))/ARTICULOS_MAYORISTA[[#This Row],[UnidFact]])+ARTICULOS_MAYORISTA[[#This Row],[Flete]]</f>
        <v>556</v>
      </c>
      <c r="M3">
        <v>30</v>
      </c>
      <c r="N3" s="63">
        <f t="shared" ref="N3:N4" si="3">IF(L3&gt;=5,MROUND(L3/(1-M3/100),10),10)</f>
        <v>790</v>
      </c>
      <c r="O3" s="3">
        <f>MROUND((ARTICULOS_MAYORISTA[[#This Row],[Precio]]/0.6),10)</f>
        <v>1320</v>
      </c>
      <c r="P3" t="s">
        <v>8693</v>
      </c>
      <c r="Q3">
        <v>4</v>
      </c>
      <c r="R3" s="3">
        <f>ARTICULOS_MAYORISTA[[#This Row],[Bulto]]+ARTICULOS_MAYORISTA[[#This Row],[Minimo]]</f>
        <v>16</v>
      </c>
      <c r="S3" t="s">
        <v>35</v>
      </c>
      <c r="T3" t="s">
        <v>27</v>
      </c>
      <c r="U3" t="s">
        <v>7</v>
      </c>
      <c r="V3" t="s">
        <v>8691</v>
      </c>
      <c r="W3" t="s">
        <v>8692</v>
      </c>
      <c r="X3">
        <v>1</v>
      </c>
      <c r="Y3" s="36">
        <v>7</v>
      </c>
      <c r="Z3" t="s">
        <v>8692</v>
      </c>
      <c r="AB3" s="80">
        <f>ARTICULOS_MAYORISTA[[#This Row],[Costo]]*ARTICULOS_MAYORISTA[[#This Row],[Pedido]]</f>
        <v>0</v>
      </c>
      <c r="AF3" s="2"/>
      <c r="AH3" s="2" t="str">
        <f>IF(AND(ARTICULOS_MAYORISTA[[#This Row],[FechaVenc]]=0,ARTICULOS_MAYORISTA[[#This Row],[DiasVenc]]=0),"",ARTICULOS_MAYORISTA[[#This Row],[FechaVenc]]-ARTICULOS_MAYORISTA[[#This Row],[DiasVenc]])</f>
        <v/>
      </c>
      <c r="AO3" s="30" t="s">
        <v>8689</v>
      </c>
    </row>
    <row r="4" spans="1:43" hidden="1" x14ac:dyDescent="0.25">
      <c r="A4" s="1" t="s">
        <v>12586</v>
      </c>
      <c r="C4" t="str">
        <f t="shared" si="2"/>
        <v>KIO600</v>
      </c>
      <c r="D4" t="s">
        <v>8689</v>
      </c>
      <c r="E4" s="1" t="s">
        <v>12585</v>
      </c>
      <c r="F4" s="61">
        <v>556</v>
      </c>
      <c r="G4" s="3">
        <v>0</v>
      </c>
      <c r="H4" s="4" t="s">
        <v>8690</v>
      </c>
      <c r="I4">
        <v>12</v>
      </c>
      <c r="J4">
        <v>1</v>
      </c>
      <c r="K4">
        <v>0</v>
      </c>
      <c r="L4" s="65">
        <f>((ARTICULOS_MAYORISTA[[#This Row],[P. Compra]]*(1+ARTICULOS_MAYORISTA[[#This Row],[IVA]]%))/ARTICULOS_MAYORISTA[[#This Row],[UnidFact]])+ARTICULOS_MAYORISTA[[#This Row],[Flete]]</f>
        <v>556</v>
      </c>
      <c r="M4">
        <v>30</v>
      </c>
      <c r="N4" s="63">
        <f t="shared" si="3"/>
        <v>790</v>
      </c>
      <c r="O4" s="3">
        <f>MROUND((ARTICULOS_MAYORISTA[[#This Row],[Precio]]/0.6),10)</f>
        <v>1320</v>
      </c>
      <c r="P4" t="s">
        <v>8693</v>
      </c>
      <c r="Q4">
        <v>4</v>
      </c>
      <c r="R4" s="3">
        <f>ARTICULOS_MAYORISTA[[#This Row],[Bulto]]+ARTICULOS_MAYORISTA[[#This Row],[Minimo]]</f>
        <v>16</v>
      </c>
      <c r="S4" t="s">
        <v>35</v>
      </c>
      <c r="T4" t="s">
        <v>27</v>
      </c>
      <c r="U4" t="s">
        <v>7</v>
      </c>
      <c r="V4" t="s">
        <v>8691</v>
      </c>
      <c r="W4" t="s">
        <v>8692</v>
      </c>
      <c r="X4">
        <v>1</v>
      </c>
      <c r="Y4" s="36">
        <v>7</v>
      </c>
      <c r="Z4" t="s">
        <v>8692</v>
      </c>
      <c r="AB4" s="80">
        <f>ARTICULOS_MAYORISTA[[#This Row],[Costo]]*ARTICULOS_MAYORISTA[[#This Row],[Pedido]]</f>
        <v>0</v>
      </c>
      <c r="AF4" s="2"/>
      <c r="AH4" s="2" t="str">
        <f>IF(AND(ARTICULOS_MAYORISTA[[#This Row],[FechaVenc]]=0,ARTICULOS_MAYORISTA[[#This Row],[DiasVenc]]=0),"",ARTICULOS_MAYORISTA[[#This Row],[FechaVenc]]-ARTICULOS_MAYORISTA[[#This Row],[DiasVenc]])</f>
        <v/>
      </c>
      <c r="AO4" s="30" t="s">
        <v>8689</v>
      </c>
    </row>
    <row r="5" spans="1:43" hidden="1" x14ac:dyDescent="0.25">
      <c r="A5" s="1" t="s">
        <v>10397</v>
      </c>
      <c r="C5" t="str">
        <f t="shared" si="0"/>
        <v>ALM58712090</v>
      </c>
      <c r="D5" t="s">
        <v>8689</v>
      </c>
      <c r="E5" s="1" t="s">
        <v>10398</v>
      </c>
      <c r="F5" s="61"/>
      <c r="G5" s="3">
        <v>0</v>
      </c>
      <c r="H5" s="4" t="s">
        <v>8690</v>
      </c>
      <c r="I5">
        <v>10</v>
      </c>
      <c r="J5"/>
      <c r="K5">
        <v>0</v>
      </c>
      <c r="L5" s="65" t="e">
        <f>((ARTICULOS_MAYORISTA[[#This Row],[P. Compra]]*(1+ARTICULOS_MAYORISTA[[#This Row],[IVA]]%))/ARTICULOS_MAYORISTA[[#This Row],[UnidFact]])+ARTICULOS_MAYORISTA[[#This Row],[Flete]]</f>
        <v>#DIV/0!</v>
      </c>
      <c r="M5">
        <v>30</v>
      </c>
      <c r="N5" s="63" t="e">
        <f t="shared" si="1"/>
        <v>#DIV/0!</v>
      </c>
      <c r="O5" s="3" t="e">
        <f>MROUND((ARTICULOS_MAYORISTA[[#This Row],[Precio]]/0.6),10)</f>
        <v>#DIV/0!</v>
      </c>
      <c r="P5" t="s">
        <v>8693</v>
      </c>
      <c r="Q5">
        <v>2</v>
      </c>
      <c r="R5" s="3">
        <f>ARTICULOS_MAYORISTA[[#This Row],[Bulto]]+ARTICULOS_MAYORISTA[[#This Row],[Minimo]]</f>
        <v>12</v>
      </c>
      <c r="S5" t="s">
        <v>35</v>
      </c>
      <c r="T5" t="s">
        <v>4</v>
      </c>
      <c r="U5" t="s">
        <v>40</v>
      </c>
      <c r="V5" t="s">
        <v>8807</v>
      </c>
      <c r="W5" t="s">
        <v>8692</v>
      </c>
      <c r="X5">
        <v>1</v>
      </c>
      <c r="Y5" s="36">
        <v>1</v>
      </c>
      <c r="Z5" t="s">
        <v>8692</v>
      </c>
      <c r="AB5" s="80" t="e">
        <f>ARTICULOS_MAYORISTA[[#This Row],[Costo]]*ARTICULOS_MAYORISTA[[#This Row],[Pedido]]</f>
        <v>#DIV/0!</v>
      </c>
      <c r="AF5" s="2"/>
      <c r="AH5" s="2" t="str">
        <f>IF(AND(ARTICULOS_MAYORISTA[[#This Row],[FechaVenc]]=0,ARTICULOS_MAYORISTA[[#This Row],[DiasVenc]]=0),"",ARTICULOS_MAYORISTA[[#This Row],[FechaVenc]]-ARTICULOS_MAYORISTA[[#This Row],[DiasVenc]])</f>
        <v/>
      </c>
      <c r="AO5" s="30" t="s">
        <v>8689</v>
      </c>
    </row>
    <row r="6" spans="1:43" hidden="1" x14ac:dyDescent="0.25">
      <c r="A6" s="1" t="s">
        <v>10399</v>
      </c>
      <c r="C6" t="str">
        <f t="shared" si="0"/>
        <v>ALM58710775</v>
      </c>
      <c r="D6" t="s">
        <v>8689</v>
      </c>
      <c r="E6" s="1" t="s">
        <v>10400</v>
      </c>
      <c r="F6" s="61"/>
      <c r="G6" s="3">
        <v>0</v>
      </c>
      <c r="H6" s="4" t="s">
        <v>8690</v>
      </c>
      <c r="I6">
        <v>10</v>
      </c>
      <c r="J6"/>
      <c r="K6">
        <v>0</v>
      </c>
      <c r="L6" s="65" t="e">
        <f>((ARTICULOS_MAYORISTA[[#This Row],[P. Compra]]*(1+ARTICULOS_MAYORISTA[[#This Row],[IVA]]%))/ARTICULOS_MAYORISTA[[#This Row],[UnidFact]])+ARTICULOS_MAYORISTA[[#This Row],[Flete]]</f>
        <v>#DIV/0!</v>
      </c>
      <c r="M6">
        <v>30</v>
      </c>
      <c r="N6" s="63" t="e">
        <f t="shared" si="1"/>
        <v>#DIV/0!</v>
      </c>
      <c r="O6" s="3" t="e">
        <f>MROUND((ARTICULOS_MAYORISTA[[#This Row],[Precio]]/0.6),10)</f>
        <v>#DIV/0!</v>
      </c>
      <c r="P6" t="s">
        <v>8693</v>
      </c>
      <c r="Q6">
        <v>2</v>
      </c>
      <c r="R6" s="3">
        <f>ARTICULOS_MAYORISTA[[#This Row],[Bulto]]+ARTICULOS_MAYORISTA[[#This Row],[Minimo]]</f>
        <v>12</v>
      </c>
      <c r="S6" t="s">
        <v>35</v>
      </c>
      <c r="T6" t="s">
        <v>4</v>
      </c>
      <c r="U6" t="s">
        <v>40</v>
      </c>
      <c r="V6" t="s">
        <v>8807</v>
      </c>
      <c r="W6" t="s">
        <v>8692</v>
      </c>
      <c r="X6">
        <v>1</v>
      </c>
      <c r="Y6" s="36">
        <v>9</v>
      </c>
      <c r="Z6" t="s">
        <v>8692</v>
      </c>
      <c r="AB6" s="80" t="e">
        <f>ARTICULOS_MAYORISTA[[#This Row],[Costo]]*ARTICULOS_MAYORISTA[[#This Row],[Pedido]]</f>
        <v>#DIV/0!</v>
      </c>
      <c r="AF6" s="2"/>
      <c r="AH6" s="2" t="str">
        <f>IF(AND(ARTICULOS_MAYORISTA[[#This Row],[FechaVenc]]=0,ARTICULOS_MAYORISTA[[#This Row],[DiasVenc]]=0),"",ARTICULOS_MAYORISTA[[#This Row],[FechaVenc]]-ARTICULOS_MAYORISTA[[#This Row],[DiasVenc]])</f>
        <v/>
      </c>
      <c r="AO6" s="30" t="s">
        <v>8689</v>
      </c>
    </row>
    <row r="7" spans="1:43" hidden="1" x14ac:dyDescent="0.25">
      <c r="A7" s="1" t="s">
        <v>10401</v>
      </c>
      <c r="C7" t="str">
        <f t="shared" si="0"/>
        <v>ALM50430392</v>
      </c>
      <c r="D7" t="s">
        <v>8689</v>
      </c>
      <c r="E7" s="1" t="s">
        <v>10402</v>
      </c>
      <c r="F7" s="61"/>
      <c r="G7" s="3">
        <v>0</v>
      </c>
      <c r="H7" s="4" t="s">
        <v>8690</v>
      </c>
      <c r="I7">
        <v>10</v>
      </c>
      <c r="J7"/>
      <c r="K7">
        <v>0</v>
      </c>
      <c r="L7" s="65" t="e">
        <f>((ARTICULOS_MAYORISTA[[#This Row],[P. Compra]]*(1+ARTICULOS_MAYORISTA[[#This Row],[IVA]]%))/ARTICULOS_MAYORISTA[[#This Row],[UnidFact]])+ARTICULOS_MAYORISTA[[#This Row],[Flete]]</f>
        <v>#DIV/0!</v>
      </c>
      <c r="M7">
        <v>30</v>
      </c>
      <c r="N7" s="63" t="e">
        <f t="shared" si="1"/>
        <v>#DIV/0!</v>
      </c>
      <c r="O7" s="3" t="e">
        <f>MROUND((ARTICULOS_MAYORISTA[[#This Row],[Precio]]/0.6),10)</f>
        <v>#DIV/0!</v>
      </c>
      <c r="P7" t="s">
        <v>8693</v>
      </c>
      <c r="Q7">
        <v>2</v>
      </c>
      <c r="R7" s="3">
        <f>ARTICULOS_MAYORISTA[[#This Row],[Bulto]]+ARTICULOS_MAYORISTA[[#This Row],[Minimo]]</f>
        <v>12</v>
      </c>
      <c r="S7" t="s">
        <v>35</v>
      </c>
      <c r="T7" t="s">
        <v>4</v>
      </c>
      <c r="U7" t="s">
        <v>40</v>
      </c>
      <c r="V7" t="s">
        <v>8807</v>
      </c>
      <c r="W7" t="s">
        <v>8692</v>
      </c>
      <c r="X7">
        <v>1</v>
      </c>
      <c r="Y7" s="36">
        <v>5</v>
      </c>
      <c r="Z7" t="s">
        <v>8692</v>
      </c>
      <c r="AB7" s="80" t="e">
        <f>ARTICULOS_MAYORISTA[[#This Row],[Costo]]*ARTICULOS_MAYORISTA[[#This Row],[Pedido]]</f>
        <v>#DIV/0!</v>
      </c>
      <c r="AF7" s="2"/>
      <c r="AH7" s="2" t="str">
        <f>IF(AND(ARTICULOS_MAYORISTA[[#This Row],[FechaVenc]]=0,ARTICULOS_MAYORISTA[[#This Row],[DiasVenc]]=0),"",ARTICULOS_MAYORISTA[[#This Row],[FechaVenc]]-ARTICULOS_MAYORISTA[[#This Row],[DiasVenc]])</f>
        <v/>
      </c>
      <c r="AO7" s="30" t="s">
        <v>8689</v>
      </c>
    </row>
    <row r="8" spans="1:43" x14ac:dyDescent="0.25">
      <c r="A8" s="1" t="s">
        <v>10391</v>
      </c>
      <c r="C8" t="str">
        <f t="shared" si="0"/>
        <v>ALM00006683</v>
      </c>
      <c r="D8" t="s">
        <v>8689</v>
      </c>
      <c r="E8" s="1" t="s">
        <v>10392</v>
      </c>
      <c r="F8" s="61"/>
      <c r="G8" s="3">
        <v>0</v>
      </c>
      <c r="H8" s="4" t="s">
        <v>8690</v>
      </c>
      <c r="I8">
        <v>24</v>
      </c>
      <c r="J8"/>
      <c r="K8">
        <v>0</v>
      </c>
      <c r="L8" s="65" t="e">
        <f>((ARTICULOS_MAYORISTA[[#This Row],[P. Compra]]*(1+ARTICULOS_MAYORISTA[[#This Row],[IVA]]%))/ARTICULOS_MAYORISTA[[#This Row],[UnidFact]])+ARTICULOS_MAYORISTA[[#This Row],[Flete]]</f>
        <v>#DIV/0!</v>
      </c>
      <c r="M8">
        <v>30</v>
      </c>
      <c r="N8" s="63" t="e">
        <f t="shared" si="1"/>
        <v>#DIV/0!</v>
      </c>
      <c r="O8" s="3" t="e">
        <f>MROUND((ARTICULOS_MAYORISTA[[#This Row],[Precio]]/0.6),10)</f>
        <v>#DIV/0!</v>
      </c>
      <c r="P8" t="s">
        <v>8693</v>
      </c>
      <c r="Q8">
        <v>6</v>
      </c>
      <c r="R8" s="3">
        <f>ARTICULOS_MAYORISTA[[#This Row],[Bulto]]+ARTICULOS_MAYORISTA[[#This Row],[Minimo]]</f>
        <v>30</v>
      </c>
      <c r="S8" t="s">
        <v>35</v>
      </c>
      <c r="T8" t="s">
        <v>4</v>
      </c>
      <c r="U8" t="s">
        <v>40</v>
      </c>
      <c r="V8" t="s">
        <v>10393</v>
      </c>
      <c r="W8" t="s">
        <v>8692</v>
      </c>
      <c r="X8">
        <v>1</v>
      </c>
      <c r="Y8" s="36">
        <v>23</v>
      </c>
      <c r="Z8" t="s">
        <v>8692</v>
      </c>
      <c r="AB8" s="80" t="e">
        <f>ARTICULOS_MAYORISTA[[#This Row],[Costo]]*ARTICULOS_MAYORISTA[[#This Row],[Pedido]]</f>
        <v>#DIV/0!</v>
      </c>
      <c r="AF8" s="2"/>
      <c r="AH8" s="2" t="str">
        <f>IF(AND(ARTICULOS_MAYORISTA[[#This Row],[FechaVenc]]=0,ARTICULOS_MAYORISTA[[#This Row],[DiasVenc]]=0),"",ARTICULOS_MAYORISTA[[#This Row],[FechaVenc]]-ARTICULOS_MAYORISTA[[#This Row],[DiasVenc]])</f>
        <v/>
      </c>
      <c r="AO8" s="30" t="s">
        <v>8689</v>
      </c>
    </row>
    <row r="9" spans="1:43" x14ac:dyDescent="0.25">
      <c r="A9" s="24" t="s">
        <v>12632</v>
      </c>
      <c r="C9" t="str">
        <f t="shared" si="0"/>
        <v>ALM00006669</v>
      </c>
      <c r="D9" t="s">
        <v>8689</v>
      </c>
      <c r="E9" s="1" t="s">
        <v>10394</v>
      </c>
      <c r="F9" s="61"/>
      <c r="G9" s="3">
        <v>0</v>
      </c>
      <c r="H9" s="4" t="s">
        <v>8690</v>
      </c>
      <c r="I9">
        <v>24</v>
      </c>
      <c r="J9"/>
      <c r="K9">
        <v>0</v>
      </c>
      <c r="L9" s="65" t="e">
        <f>((ARTICULOS_MAYORISTA[[#This Row],[P. Compra]]*(1+ARTICULOS_MAYORISTA[[#This Row],[IVA]]%))/ARTICULOS_MAYORISTA[[#This Row],[UnidFact]])+ARTICULOS_MAYORISTA[[#This Row],[Flete]]</f>
        <v>#DIV/0!</v>
      </c>
      <c r="M9">
        <v>30</v>
      </c>
      <c r="N9" s="63" t="e">
        <f t="shared" si="1"/>
        <v>#DIV/0!</v>
      </c>
      <c r="O9" s="3" t="e">
        <f>MROUND((ARTICULOS_MAYORISTA[[#This Row],[Precio]]/0.6),10)</f>
        <v>#DIV/0!</v>
      </c>
      <c r="P9" t="s">
        <v>8693</v>
      </c>
      <c r="Q9">
        <v>6</v>
      </c>
      <c r="R9" s="3">
        <f>ARTICULOS_MAYORISTA[[#This Row],[Bulto]]+ARTICULOS_MAYORISTA[[#This Row],[Minimo]]</f>
        <v>30</v>
      </c>
      <c r="S9" t="s">
        <v>35</v>
      </c>
      <c r="T9" t="s">
        <v>4</v>
      </c>
      <c r="U9" t="s">
        <v>40</v>
      </c>
      <c r="V9" t="s">
        <v>10393</v>
      </c>
      <c r="W9" t="s">
        <v>8692</v>
      </c>
      <c r="X9">
        <v>1</v>
      </c>
      <c r="Y9" s="36">
        <v>22</v>
      </c>
      <c r="Z9" t="s">
        <v>8692</v>
      </c>
      <c r="AB9" s="80" t="e">
        <f>ARTICULOS_MAYORISTA[[#This Row],[Costo]]*ARTICULOS_MAYORISTA[[#This Row],[Pedido]]</f>
        <v>#DIV/0!</v>
      </c>
      <c r="AF9" s="2"/>
      <c r="AH9" s="2" t="str">
        <f>IF(AND(ARTICULOS_MAYORISTA[[#This Row],[FechaVenc]]=0,ARTICULOS_MAYORISTA[[#This Row],[DiasVenc]]=0),"",ARTICULOS_MAYORISTA[[#This Row],[FechaVenc]]-ARTICULOS_MAYORISTA[[#This Row],[DiasVenc]])</f>
        <v/>
      </c>
      <c r="AO9" s="30" t="s">
        <v>8689</v>
      </c>
    </row>
    <row r="10" spans="1:43" x14ac:dyDescent="0.25">
      <c r="A10" s="1" t="s">
        <v>10395</v>
      </c>
      <c r="C10" t="str">
        <f t="shared" si="0"/>
        <v>ALM00006706</v>
      </c>
      <c r="D10" t="s">
        <v>8689</v>
      </c>
      <c r="E10" s="1" t="s">
        <v>10396</v>
      </c>
      <c r="F10" s="61"/>
      <c r="G10" s="3">
        <v>0</v>
      </c>
      <c r="H10" s="4" t="s">
        <v>8690</v>
      </c>
      <c r="I10">
        <v>24</v>
      </c>
      <c r="J10"/>
      <c r="K10">
        <v>0</v>
      </c>
      <c r="L10" s="65" t="e">
        <f>((ARTICULOS_MAYORISTA[[#This Row],[P. Compra]]*(1+ARTICULOS_MAYORISTA[[#This Row],[IVA]]%))/ARTICULOS_MAYORISTA[[#This Row],[UnidFact]])+ARTICULOS_MAYORISTA[[#This Row],[Flete]]</f>
        <v>#DIV/0!</v>
      </c>
      <c r="M10">
        <v>30</v>
      </c>
      <c r="N10" s="63" t="e">
        <f t="shared" si="1"/>
        <v>#DIV/0!</v>
      </c>
      <c r="O10" s="3" t="e">
        <f>MROUND((ARTICULOS_MAYORISTA[[#This Row],[Precio]]/0.6),10)</f>
        <v>#DIV/0!</v>
      </c>
      <c r="P10" t="s">
        <v>8693</v>
      </c>
      <c r="Q10">
        <v>6</v>
      </c>
      <c r="R10" s="3">
        <f>ARTICULOS_MAYORISTA[[#This Row],[Bulto]]+ARTICULOS_MAYORISTA[[#This Row],[Minimo]]</f>
        <v>30</v>
      </c>
      <c r="S10" t="s">
        <v>35</v>
      </c>
      <c r="T10" t="s">
        <v>4</v>
      </c>
      <c r="U10" t="s">
        <v>40</v>
      </c>
      <c r="V10" t="s">
        <v>10393</v>
      </c>
      <c r="W10" t="s">
        <v>8692</v>
      </c>
      <c r="X10">
        <v>1</v>
      </c>
      <c r="Y10" s="36">
        <v>42</v>
      </c>
      <c r="Z10" t="s">
        <v>8692</v>
      </c>
      <c r="AB10" s="80" t="e">
        <f>ARTICULOS_MAYORISTA[[#This Row],[Costo]]*ARTICULOS_MAYORISTA[[#This Row],[Pedido]]</f>
        <v>#DIV/0!</v>
      </c>
      <c r="AF10" s="2"/>
      <c r="AH10" s="2" t="str">
        <f>IF(AND(ARTICULOS_MAYORISTA[[#This Row],[FechaVenc]]=0,ARTICULOS_MAYORISTA[[#This Row],[DiasVenc]]=0),"",ARTICULOS_MAYORISTA[[#This Row],[FechaVenc]]-ARTICULOS_MAYORISTA[[#This Row],[DiasVenc]])</f>
        <v/>
      </c>
      <c r="AO10" s="30" t="s">
        <v>8689</v>
      </c>
    </row>
    <row r="11" spans="1:43" hidden="1" x14ac:dyDescent="0.25">
      <c r="A11" s="1" t="s">
        <v>10403</v>
      </c>
      <c r="C11" t="str">
        <f t="shared" si="0"/>
        <v>ALM58712106</v>
      </c>
      <c r="D11" t="s">
        <v>8689</v>
      </c>
      <c r="E11" s="1" t="s">
        <v>10404</v>
      </c>
      <c r="F11" s="61"/>
      <c r="G11" s="3">
        <v>0</v>
      </c>
      <c r="H11" s="4" t="s">
        <v>8690</v>
      </c>
      <c r="I11">
        <v>10</v>
      </c>
      <c r="J11"/>
      <c r="K11">
        <v>0</v>
      </c>
      <c r="L11" s="65" t="e">
        <f>((ARTICULOS_MAYORISTA[[#This Row],[P. Compra]]*(1+ARTICULOS_MAYORISTA[[#This Row],[IVA]]%))/ARTICULOS_MAYORISTA[[#This Row],[UnidFact]])+ARTICULOS_MAYORISTA[[#This Row],[Flete]]</f>
        <v>#DIV/0!</v>
      </c>
      <c r="M11">
        <v>30</v>
      </c>
      <c r="N11" s="63" t="e">
        <f t="shared" si="1"/>
        <v>#DIV/0!</v>
      </c>
      <c r="O11" s="3" t="e">
        <f>MROUND((ARTICULOS_MAYORISTA[[#This Row],[Precio]]/0.6),10)</f>
        <v>#DIV/0!</v>
      </c>
      <c r="P11" t="s">
        <v>8693</v>
      </c>
      <c r="Q11">
        <v>2</v>
      </c>
      <c r="R11" s="3">
        <f>ARTICULOS_MAYORISTA[[#This Row],[Bulto]]+ARTICULOS_MAYORISTA[[#This Row],[Minimo]]</f>
        <v>12</v>
      </c>
      <c r="S11" t="s">
        <v>35</v>
      </c>
      <c r="T11" t="s">
        <v>4</v>
      </c>
      <c r="U11" t="s">
        <v>40</v>
      </c>
      <c r="V11" t="s">
        <v>8807</v>
      </c>
      <c r="W11" t="s">
        <v>8692</v>
      </c>
      <c r="X11">
        <v>1</v>
      </c>
      <c r="Y11" s="36">
        <v>8</v>
      </c>
      <c r="Z11" t="s">
        <v>8692</v>
      </c>
      <c r="AB11" s="80" t="e">
        <f>ARTICULOS_MAYORISTA[[#This Row],[Costo]]*ARTICULOS_MAYORISTA[[#This Row],[Pedido]]</f>
        <v>#DIV/0!</v>
      </c>
      <c r="AF11" s="2"/>
      <c r="AH11" s="2" t="str">
        <f>IF(AND(ARTICULOS_MAYORISTA[[#This Row],[FechaVenc]]=0,ARTICULOS_MAYORISTA[[#This Row],[DiasVenc]]=0),"",ARTICULOS_MAYORISTA[[#This Row],[FechaVenc]]-ARTICULOS_MAYORISTA[[#This Row],[DiasVenc]])</f>
        <v/>
      </c>
      <c r="AO11" s="30" t="s">
        <v>8689</v>
      </c>
    </row>
    <row r="12" spans="1:43" hidden="1" x14ac:dyDescent="0.25">
      <c r="A12" s="1" t="s">
        <v>10405</v>
      </c>
      <c r="C12" t="str">
        <f t="shared" si="0"/>
        <v>ALM58710065</v>
      </c>
      <c r="D12" t="s">
        <v>8689</v>
      </c>
      <c r="E12" s="1" t="s">
        <v>10406</v>
      </c>
      <c r="F12" s="61"/>
      <c r="G12" s="3">
        <v>0</v>
      </c>
      <c r="H12" s="4" t="s">
        <v>8690</v>
      </c>
      <c r="I12">
        <v>10</v>
      </c>
      <c r="J12"/>
      <c r="K12">
        <v>0</v>
      </c>
      <c r="L12" s="65" t="e">
        <f>((ARTICULOS_MAYORISTA[[#This Row],[P. Compra]]*(1+ARTICULOS_MAYORISTA[[#This Row],[IVA]]%))/ARTICULOS_MAYORISTA[[#This Row],[UnidFact]])+ARTICULOS_MAYORISTA[[#This Row],[Flete]]</f>
        <v>#DIV/0!</v>
      </c>
      <c r="M12">
        <v>30</v>
      </c>
      <c r="N12" s="63" t="e">
        <f t="shared" si="1"/>
        <v>#DIV/0!</v>
      </c>
      <c r="O12" s="3" t="e">
        <f>MROUND((ARTICULOS_MAYORISTA[[#This Row],[Precio]]/0.6),10)</f>
        <v>#DIV/0!</v>
      </c>
      <c r="P12" t="s">
        <v>8693</v>
      </c>
      <c r="Q12">
        <v>2</v>
      </c>
      <c r="R12" s="3">
        <f>ARTICULOS_MAYORISTA[[#This Row],[Bulto]]+ARTICULOS_MAYORISTA[[#This Row],[Minimo]]</f>
        <v>12</v>
      </c>
      <c r="S12" t="s">
        <v>35</v>
      </c>
      <c r="T12" t="s">
        <v>4</v>
      </c>
      <c r="U12" t="s">
        <v>40</v>
      </c>
      <c r="V12" t="s">
        <v>8807</v>
      </c>
      <c r="W12" t="s">
        <v>8692</v>
      </c>
      <c r="X12">
        <v>1</v>
      </c>
      <c r="Y12" s="36">
        <v>6</v>
      </c>
      <c r="Z12" t="s">
        <v>8692</v>
      </c>
      <c r="AB12" s="80" t="e">
        <f>ARTICULOS_MAYORISTA[[#This Row],[Costo]]*ARTICULOS_MAYORISTA[[#This Row],[Pedido]]</f>
        <v>#DIV/0!</v>
      </c>
      <c r="AF12" s="2"/>
      <c r="AH12" s="2" t="str">
        <f>IF(AND(ARTICULOS_MAYORISTA[[#This Row],[FechaVenc]]=0,ARTICULOS_MAYORISTA[[#This Row],[DiasVenc]]=0),"",ARTICULOS_MAYORISTA[[#This Row],[FechaVenc]]-ARTICULOS_MAYORISTA[[#This Row],[DiasVenc]])</f>
        <v/>
      </c>
      <c r="AO12" s="30" t="s">
        <v>8689</v>
      </c>
    </row>
    <row r="13" spans="1:43" hidden="1" x14ac:dyDescent="0.25">
      <c r="A13" s="1" t="s">
        <v>10407</v>
      </c>
      <c r="C13" t="str">
        <f t="shared" si="0"/>
        <v>ALM58710034</v>
      </c>
      <c r="D13" t="s">
        <v>8689</v>
      </c>
      <c r="E13" s="1" t="s">
        <v>10408</v>
      </c>
      <c r="F13" s="61"/>
      <c r="G13" s="3">
        <v>0</v>
      </c>
      <c r="H13" s="4" t="s">
        <v>8690</v>
      </c>
      <c r="I13">
        <v>10</v>
      </c>
      <c r="J13"/>
      <c r="K13">
        <v>0</v>
      </c>
      <c r="L13" s="65" t="e">
        <f>((ARTICULOS_MAYORISTA[[#This Row],[P. Compra]]*(1+ARTICULOS_MAYORISTA[[#This Row],[IVA]]%))/ARTICULOS_MAYORISTA[[#This Row],[UnidFact]])+ARTICULOS_MAYORISTA[[#This Row],[Flete]]</f>
        <v>#DIV/0!</v>
      </c>
      <c r="M13">
        <v>30</v>
      </c>
      <c r="N13" s="63" t="e">
        <f t="shared" si="1"/>
        <v>#DIV/0!</v>
      </c>
      <c r="O13" s="3" t="e">
        <f>MROUND((ARTICULOS_MAYORISTA[[#This Row],[Precio]]/0.6),10)</f>
        <v>#DIV/0!</v>
      </c>
      <c r="P13" t="s">
        <v>8693</v>
      </c>
      <c r="Q13">
        <v>2</v>
      </c>
      <c r="R13" s="3">
        <f>ARTICULOS_MAYORISTA[[#This Row],[Bulto]]+ARTICULOS_MAYORISTA[[#This Row],[Minimo]]</f>
        <v>12</v>
      </c>
      <c r="S13" t="s">
        <v>35</v>
      </c>
      <c r="T13" t="s">
        <v>4</v>
      </c>
      <c r="U13" t="s">
        <v>40</v>
      </c>
      <c r="V13" t="s">
        <v>8807</v>
      </c>
      <c r="W13" t="s">
        <v>8692</v>
      </c>
      <c r="X13">
        <v>1</v>
      </c>
      <c r="Y13" s="36">
        <v>4</v>
      </c>
      <c r="Z13" t="s">
        <v>8692</v>
      </c>
      <c r="AB13" s="80" t="e">
        <f>ARTICULOS_MAYORISTA[[#This Row],[Costo]]*ARTICULOS_MAYORISTA[[#This Row],[Pedido]]</f>
        <v>#DIV/0!</v>
      </c>
      <c r="AF13" s="2"/>
      <c r="AH13" s="2" t="str">
        <f>IF(AND(ARTICULOS_MAYORISTA[[#This Row],[FechaVenc]]=0,ARTICULOS_MAYORISTA[[#This Row],[DiasVenc]]=0),"",ARTICULOS_MAYORISTA[[#This Row],[FechaVenc]]-ARTICULOS_MAYORISTA[[#This Row],[DiasVenc]])</f>
        <v/>
      </c>
      <c r="AO13" s="30" t="s">
        <v>8689</v>
      </c>
    </row>
    <row r="14" spans="1:43" hidden="1" x14ac:dyDescent="0.25">
      <c r="A14" s="1" t="s">
        <v>10409</v>
      </c>
      <c r="C14" t="str">
        <f t="shared" si="0"/>
        <v>ALM58710362</v>
      </c>
      <c r="D14" t="s">
        <v>8689</v>
      </c>
      <c r="E14" s="1" t="s">
        <v>10410</v>
      </c>
      <c r="F14" s="61"/>
      <c r="G14" s="3">
        <v>0</v>
      </c>
      <c r="H14" s="4" t="s">
        <v>8690</v>
      </c>
      <c r="I14">
        <v>10</v>
      </c>
      <c r="J14"/>
      <c r="K14">
        <v>0</v>
      </c>
      <c r="L14" s="65" t="e">
        <f>((ARTICULOS_MAYORISTA[[#This Row],[P. Compra]]*(1+ARTICULOS_MAYORISTA[[#This Row],[IVA]]%))/ARTICULOS_MAYORISTA[[#This Row],[UnidFact]])+ARTICULOS_MAYORISTA[[#This Row],[Flete]]</f>
        <v>#DIV/0!</v>
      </c>
      <c r="M14">
        <v>30</v>
      </c>
      <c r="N14" s="63" t="e">
        <f t="shared" si="1"/>
        <v>#DIV/0!</v>
      </c>
      <c r="O14" s="3" t="e">
        <f>MROUND((ARTICULOS_MAYORISTA[[#This Row],[Precio]]/0.6),10)</f>
        <v>#DIV/0!</v>
      </c>
      <c r="P14" t="s">
        <v>8693</v>
      </c>
      <c r="Q14">
        <v>2</v>
      </c>
      <c r="R14" s="3">
        <f>ARTICULOS_MAYORISTA[[#This Row],[Bulto]]+ARTICULOS_MAYORISTA[[#This Row],[Minimo]]</f>
        <v>12</v>
      </c>
      <c r="S14" t="s">
        <v>35</v>
      </c>
      <c r="T14" t="s">
        <v>4</v>
      </c>
      <c r="U14" t="s">
        <v>40</v>
      </c>
      <c r="V14" t="s">
        <v>8807</v>
      </c>
      <c r="W14" t="s">
        <v>8692</v>
      </c>
      <c r="X14">
        <v>1</v>
      </c>
      <c r="Y14" s="36">
        <v>16</v>
      </c>
      <c r="Z14" t="s">
        <v>8692</v>
      </c>
      <c r="AB14" s="80" t="e">
        <f>ARTICULOS_MAYORISTA[[#This Row],[Costo]]*ARTICULOS_MAYORISTA[[#This Row],[Pedido]]</f>
        <v>#DIV/0!</v>
      </c>
      <c r="AF14" s="2"/>
      <c r="AH14" s="2" t="str">
        <f>IF(AND(ARTICULOS_MAYORISTA[[#This Row],[FechaVenc]]=0,ARTICULOS_MAYORISTA[[#This Row],[DiasVenc]]=0),"",ARTICULOS_MAYORISTA[[#This Row],[FechaVenc]]-ARTICULOS_MAYORISTA[[#This Row],[DiasVenc]])</f>
        <v/>
      </c>
      <c r="AO14" s="30" t="s">
        <v>8689</v>
      </c>
    </row>
    <row r="15" spans="1:43" hidden="1" x14ac:dyDescent="0.25">
      <c r="A15" s="1" t="s">
        <v>10411</v>
      </c>
      <c r="C15" t="str">
        <f t="shared" si="0"/>
        <v>ALM50495339</v>
      </c>
      <c r="D15" t="s">
        <v>8689</v>
      </c>
      <c r="E15" s="1" t="s">
        <v>10412</v>
      </c>
      <c r="F15" s="61"/>
      <c r="G15" s="3">
        <v>0</v>
      </c>
      <c r="H15" s="4" t="s">
        <v>8690</v>
      </c>
      <c r="I15">
        <v>10</v>
      </c>
      <c r="J15"/>
      <c r="K15">
        <v>0</v>
      </c>
      <c r="L15" s="65" t="e">
        <f>((ARTICULOS_MAYORISTA[[#This Row],[P. Compra]]*(1+ARTICULOS_MAYORISTA[[#This Row],[IVA]]%))/ARTICULOS_MAYORISTA[[#This Row],[UnidFact]])+ARTICULOS_MAYORISTA[[#This Row],[Flete]]</f>
        <v>#DIV/0!</v>
      </c>
      <c r="M15">
        <v>30</v>
      </c>
      <c r="N15" s="63" t="e">
        <f t="shared" si="1"/>
        <v>#DIV/0!</v>
      </c>
      <c r="O15" s="3" t="e">
        <f>MROUND((ARTICULOS_MAYORISTA[[#This Row],[Precio]]/0.6),10)</f>
        <v>#DIV/0!</v>
      </c>
      <c r="P15" t="s">
        <v>8693</v>
      </c>
      <c r="Q15">
        <v>2</v>
      </c>
      <c r="R15" s="3">
        <f>ARTICULOS_MAYORISTA[[#This Row],[Bulto]]+ARTICULOS_MAYORISTA[[#This Row],[Minimo]]</f>
        <v>12</v>
      </c>
      <c r="S15" t="s">
        <v>35</v>
      </c>
      <c r="T15" t="s">
        <v>4</v>
      </c>
      <c r="U15" t="s">
        <v>40</v>
      </c>
      <c r="V15" t="s">
        <v>8807</v>
      </c>
      <c r="W15" t="s">
        <v>8692</v>
      </c>
      <c r="X15">
        <v>1</v>
      </c>
      <c r="Y15" s="36">
        <v>10</v>
      </c>
      <c r="Z15" t="s">
        <v>8692</v>
      </c>
      <c r="AB15" s="80" t="e">
        <f>ARTICULOS_MAYORISTA[[#This Row],[Costo]]*ARTICULOS_MAYORISTA[[#This Row],[Pedido]]</f>
        <v>#DIV/0!</v>
      </c>
      <c r="AF15" s="2"/>
      <c r="AH15" s="2" t="str">
        <f>IF(AND(ARTICULOS_MAYORISTA[[#This Row],[FechaVenc]]=0,ARTICULOS_MAYORISTA[[#This Row],[DiasVenc]]=0),"",ARTICULOS_MAYORISTA[[#This Row],[FechaVenc]]-ARTICULOS_MAYORISTA[[#This Row],[DiasVenc]])</f>
        <v/>
      </c>
      <c r="AO15" s="30" t="s">
        <v>8689</v>
      </c>
    </row>
    <row r="16" spans="1:43" hidden="1" x14ac:dyDescent="0.25">
      <c r="A16" s="1" t="s">
        <v>10413</v>
      </c>
      <c r="C16" t="str">
        <f t="shared" si="0"/>
        <v>ALM80135737</v>
      </c>
      <c r="D16" t="s">
        <v>8689</v>
      </c>
      <c r="E16" s="1" t="s">
        <v>10414</v>
      </c>
      <c r="F16" s="61"/>
      <c r="G16" s="3">
        <v>0</v>
      </c>
      <c r="H16" s="4" t="s">
        <v>8690</v>
      </c>
      <c r="I16">
        <v>10</v>
      </c>
      <c r="J16"/>
      <c r="K16">
        <v>0</v>
      </c>
      <c r="L16" s="65" t="e">
        <f>((ARTICULOS_MAYORISTA[[#This Row],[P. Compra]]*(1+ARTICULOS_MAYORISTA[[#This Row],[IVA]]%))/ARTICULOS_MAYORISTA[[#This Row],[UnidFact]])+ARTICULOS_MAYORISTA[[#This Row],[Flete]]</f>
        <v>#DIV/0!</v>
      </c>
      <c r="M16">
        <v>30</v>
      </c>
      <c r="N16" s="63" t="e">
        <f t="shared" si="1"/>
        <v>#DIV/0!</v>
      </c>
      <c r="O16" s="3" t="e">
        <f>MROUND((ARTICULOS_MAYORISTA[[#This Row],[Precio]]/0.6),10)</f>
        <v>#DIV/0!</v>
      </c>
      <c r="P16" t="s">
        <v>8693</v>
      </c>
      <c r="Q16">
        <v>3</v>
      </c>
      <c r="R16" s="3">
        <f>ARTICULOS_MAYORISTA[[#This Row],[Bulto]]+ARTICULOS_MAYORISTA[[#This Row],[Minimo]]</f>
        <v>13</v>
      </c>
      <c r="S16" t="s">
        <v>35</v>
      </c>
      <c r="T16" t="s">
        <v>4</v>
      </c>
      <c r="U16" t="s">
        <v>40</v>
      </c>
      <c r="V16" t="s">
        <v>8807</v>
      </c>
      <c r="W16" t="s">
        <v>8692</v>
      </c>
      <c r="X16">
        <v>1</v>
      </c>
      <c r="Y16" s="36">
        <v>4</v>
      </c>
      <c r="Z16" t="s">
        <v>8692</v>
      </c>
      <c r="AB16" s="80" t="e">
        <f>ARTICULOS_MAYORISTA[[#This Row],[Costo]]*ARTICULOS_MAYORISTA[[#This Row],[Pedido]]</f>
        <v>#DIV/0!</v>
      </c>
      <c r="AF16" s="2"/>
      <c r="AH16" s="2" t="str">
        <f>IF(AND(ARTICULOS_MAYORISTA[[#This Row],[FechaVenc]]=0,ARTICULOS_MAYORISTA[[#This Row],[DiasVenc]]=0),"",ARTICULOS_MAYORISTA[[#This Row],[FechaVenc]]-ARTICULOS_MAYORISTA[[#This Row],[DiasVenc]])</f>
        <v/>
      </c>
      <c r="AO16" s="30" t="s">
        <v>8689</v>
      </c>
    </row>
    <row r="17" spans="1:41" hidden="1" x14ac:dyDescent="0.25">
      <c r="A17" s="1" t="s">
        <v>10415</v>
      </c>
      <c r="C17" t="str">
        <f t="shared" si="0"/>
        <v>ALM58710010</v>
      </c>
      <c r="D17" t="s">
        <v>8689</v>
      </c>
      <c r="E17" s="1" t="s">
        <v>10416</v>
      </c>
      <c r="F17" s="61"/>
      <c r="G17" s="3">
        <v>0</v>
      </c>
      <c r="H17" s="4" t="s">
        <v>8690</v>
      </c>
      <c r="I17">
        <v>10</v>
      </c>
      <c r="J17"/>
      <c r="K17">
        <v>0</v>
      </c>
      <c r="L17" s="65" t="e">
        <f>((ARTICULOS_MAYORISTA[[#This Row],[P. Compra]]*(1+ARTICULOS_MAYORISTA[[#This Row],[IVA]]%))/ARTICULOS_MAYORISTA[[#This Row],[UnidFact]])+ARTICULOS_MAYORISTA[[#This Row],[Flete]]</f>
        <v>#DIV/0!</v>
      </c>
      <c r="M17">
        <v>30</v>
      </c>
      <c r="N17" s="63" t="e">
        <f t="shared" si="1"/>
        <v>#DIV/0!</v>
      </c>
      <c r="O17" s="3" t="e">
        <f>MROUND((ARTICULOS_MAYORISTA[[#This Row],[Precio]]/0.6),10)</f>
        <v>#DIV/0!</v>
      </c>
      <c r="P17" t="s">
        <v>8693</v>
      </c>
      <c r="Q17">
        <v>2</v>
      </c>
      <c r="R17" s="3">
        <f>ARTICULOS_MAYORISTA[[#This Row],[Bulto]]+ARTICULOS_MAYORISTA[[#This Row],[Minimo]]</f>
        <v>12</v>
      </c>
      <c r="S17" t="s">
        <v>35</v>
      </c>
      <c r="T17" t="s">
        <v>4</v>
      </c>
      <c r="U17" t="s">
        <v>40</v>
      </c>
      <c r="V17" t="s">
        <v>8807</v>
      </c>
      <c r="W17" t="s">
        <v>8692</v>
      </c>
      <c r="X17">
        <v>1</v>
      </c>
      <c r="Y17" s="36">
        <v>6</v>
      </c>
      <c r="Z17" t="s">
        <v>8692</v>
      </c>
      <c r="AB17" s="80" t="e">
        <f>ARTICULOS_MAYORISTA[[#This Row],[Costo]]*ARTICULOS_MAYORISTA[[#This Row],[Pedido]]</f>
        <v>#DIV/0!</v>
      </c>
      <c r="AF17" s="2"/>
      <c r="AH17" s="2" t="str">
        <f>IF(AND(ARTICULOS_MAYORISTA[[#This Row],[FechaVenc]]=0,ARTICULOS_MAYORISTA[[#This Row],[DiasVenc]]=0),"",ARTICULOS_MAYORISTA[[#This Row],[FechaVenc]]-ARTICULOS_MAYORISTA[[#This Row],[DiasVenc]])</f>
        <v/>
      </c>
      <c r="AO17" s="30" t="s">
        <v>8689</v>
      </c>
    </row>
    <row r="18" spans="1:41" hidden="1" x14ac:dyDescent="0.25">
      <c r="A18" s="1" t="s">
        <v>10417</v>
      </c>
      <c r="C18" t="str">
        <f t="shared" si="0"/>
        <v>ALM58710041</v>
      </c>
      <c r="D18" t="s">
        <v>8689</v>
      </c>
      <c r="E18" s="1" t="s">
        <v>10418</v>
      </c>
      <c r="F18" s="61"/>
      <c r="G18" s="3">
        <v>0</v>
      </c>
      <c r="H18" s="4" t="s">
        <v>8690</v>
      </c>
      <c r="I18">
        <v>10</v>
      </c>
      <c r="J18"/>
      <c r="K18">
        <v>0</v>
      </c>
      <c r="L18" s="65" t="e">
        <f>((ARTICULOS_MAYORISTA[[#This Row],[P. Compra]]*(1+ARTICULOS_MAYORISTA[[#This Row],[IVA]]%))/ARTICULOS_MAYORISTA[[#This Row],[UnidFact]])+ARTICULOS_MAYORISTA[[#This Row],[Flete]]</f>
        <v>#DIV/0!</v>
      </c>
      <c r="M18">
        <v>30</v>
      </c>
      <c r="N18" s="63" t="e">
        <f t="shared" si="1"/>
        <v>#DIV/0!</v>
      </c>
      <c r="O18" s="3" t="e">
        <f>MROUND((ARTICULOS_MAYORISTA[[#This Row],[Precio]]/0.6),10)</f>
        <v>#DIV/0!</v>
      </c>
      <c r="P18" t="s">
        <v>8693</v>
      </c>
      <c r="Q18">
        <v>2</v>
      </c>
      <c r="R18" s="3">
        <f>ARTICULOS_MAYORISTA[[#This Row],[Bulto]]+ARTICULOS_MAYORISTA[[#This Row],[Minimo]]</f>
        <v>12</v>
      </c>
      <c r="S18" t="s">
        <v>35</v>
      </c>
      <c r="T18" t="s">
        <v>4</v>
      </c>
      <c r="U18" t="s">
        <v>40</v>
      </c>
      <c r="V18" t="s">
        <v>8807</v>
      </c>
      <c r="W18" t="s">
        <v>8692</v>
      </c>
      <c r="X18">
        <v>1</v>
      </c>
      <c r="Y18" s="36">
        <v>0</v>
      </c>
      <c r="Z18" t="s">
        <v>8692</v>
      </c>
      <c r="AB18" s="80" t="e">
        <f>ARTICULOS_MAYORISTA[[#This Row],[Costo]]*ARTICULOS_MAYORISTA[[#This Row],[Pedido]]</f>
        <v>#DIV/0!</v>
      </c>
      <c r="AF18" s="2"/>
      <c r="AH18" s="2" t="str">
        <f>IF(AND(ARTICULOS_MAYORISTA[[#This Row],[FechaVenc]]=0,ARTICULOS_MAYORISTA[[#This Row],[DiasVenc]]=0),"",ARTICULOS_MAYORISTA[[#This Row],[FechaVenc]]-ARTICULOS_MAYORISTA[[#This Row],[DiasVenc]])</f>
        <v/>
      </c>
      <c r="AO18" s="30" t="s">
        <v>8689</v>
      </c>
    </row>
    <row r="19" spans="1:41" hidden="1" x14ac:dyDescent="0.25">
      <c r="A19" s="1" t="s">
        <v>10419</v>
      </c>
      <c r="C19" t="str">
        <f t="shared" si="0"/>
        <v>ALM58711406</v>
      </c>
      <c r="D19" t="s">
        <v>8689</v>
      </c>
      <c r="E19" s="1" t="s">
        <v>10420</v>
      </c>
      <c r="F19" s="61"/>
      <c r="G19" s="3">
        <v>0</v>
      </c>
      <c r="H19" s="4" t="s">
        <v>8690</v>
      </c>
      <c r="I19">
        <v>10</v>
      </c>
      <c r="J19"/>
      <c r="K19">
        <v>0</v>
      </c>
      <c r="L19" s="65" t="e">
        <f>((ARTICULOS_MAYORISTA[[#This Row],[P. Compra]]*(1+ARTICULOS_MAYORISTA[[#This Row],[IVA]]%))/ARTICULOS_MAYORISTA[[#This Row],[UnidFact]])+ARTICULOS_MAYORISTA[[#This Row],[Flete]]</f>
        <v>#DIV/0!</v>
      </c>
      <c r="M19">
        <v>30</v>
      </c>
      <c r="N19" s="63" t="e">
        <f t="shared" si="1"/>
        <v>#DIV/0!</v>
      </c>
      <c r="O19" s="3" t="e">
        <f>MROUND((ARTICULOS_MAYORISTA[[#This Row],[Precio]]/0.6),10)</f>
        <v>#DIV/0!</v>
      </c>
      <c r="P19" t="s">
        <v>8693</v>
      </c>
      <c r="Q19">
        <v>2</v>
      </c>
      <c r="R19" s="3">
        <f>ARTICULOS_MAYORISTA[[#This Row],[Bulto]]+ARTICULOS_MAYORISTA[[#This Row],[Minimo]]</f>
        <v>12</v>
      </c>
      <c r="S19" t="s">
        <v>35</v>
      </c>
      <c r="T19" t="s">
        <v>4</v>
      </c>
      <c r="U19" t="s">
        <v>40</v>
      </c>
      <c r="V19" t="s">
        <v>8807</v>
      </c>
      <c r="W19" t="s">
        <v>8692</v>
      </c>
      <c r="X19">
        <v>1</v>
      </c>
      <c r="Y19" s="36">
        <v>11</v>
      </c>
      <c r="Z19" t="s">
        <v>8692</v>
      </c>
      <c r="AB19" s="80" t="e">
        <f>ARTICULOS_MAYORISTA[[#This Row],[Costo]]*ARTICULOS_MAYORISTA[[#This Row],[Pedido]]</f>
        <v>#DIV/0!</v>
      </c>
      <c r="AF19" s="2"/>
      <c r="AH19" s="2" t="str">
        <f>IF(AND(ARTICULOS_MAYORISTA[[#This Row],[FechaVenc]]=0,ARTICULOS_MAYORISTA[[#This Row],[DiasVenc]]=0),"",ARTICULOS_MAYORISTA[[#This Row],[FechaVenc]]-ARTICULOS_MAYORISTA[[#This Row],[DiasVenc]])</f>
        <v/>
      </c>
      <c r="AO19" s="30" t="s">
        <v>8689</v>
      </c>
    </row>
    <row r="20" spans="1:41" hidden="1" x14ac:dyDescent="0.25">
      <c r="A20" s="1" t="s">
        <v>10421</v>
      </c>
      <c r="C20" t="str">
        <f t="shared" si="0"/>
        <v>ALM58710027</v>
      </c>
      <c r="D20" t="s">
        <v>8689</v>
      </c>
      <c r="E20" s="1" t="s">
        <v>10422</v>
      </c>
      <c r="F20" s="61"/>
      <c r="G20" s="3">
        <v>0</v>
      </c>
      <c r="H20" s="4" t="s">
        <v>8690</v>
      </c>
      <c r="I20">
        <v>10</v>
      </c>
      <c r="J20"/>
      <c r="K20">
        <v>0</v>
      </c>
      <c r="L20" s="65" t="e">
        <f>((ARTICULOS_MAYORISTA[[#This Row],[P. Compra]]*(1+ARTICULOS_MAYORISTA[[#This Row],[IVA]]%))/ARTICULOS_MAYORISTA[[#This Row],[UnidFact]])+ARTICULOS_MAYORISTA[[#This Row],[Flete]]</f>
        <v>#DIV/0!</v>
      </c>
      <c r="M20">
        <v>30</v>
      </c>
      <c r="N20" s="63" t="e">
        <f t="shared" si="1"/>
        <v>#DIV/0!</v>
      </c>
      <c r="O20" s="3" t="e">
        <f>MROUND((ARTICULOS_MAYORISTA[[#This Row],[Precio]]/0.6),10)</f>
        <v>#DIV/0!</v>
      </c>
      <c r="P20" t="s">
        <v>8693</v>
      </c>
      <c r="Q20">
        <v>2</v>
      </c>
      <c r="R20" s="3">
        <f>ARTICULOS_MAYORISTA[[#This Row],[Bulto]]+ARTICULOS_MAYORISTA[[#This Row],[Minimo]]</f>
        <v>12</v>
      </c>
      <c r="S20" t="s">
        <v>35</v>
      </c>
      <c r="T20" t="s">
        <v>4</v>
      </c>
      <c r="U20" t="s">
        <v>40</v>
      </c>
      <c r="V20" t="s">
        <v>8807</v>
      </c>
      <c r="W20" t="s">
        <v>8692</v>
      </c>
      <c r="X20">
        <v>1</v>
      </c>
      <c r="Y20" s="36">
        <v>9</v>
      </c>
      <c r="Z20" t="s">
        <v>8692</v>
      </c>
      <c r="AB20" s="80" t="e">
        <f>ARTICULOS_MAYORISTA[[#This Row],[Costo]]*ARTICULOS_MAYORISTA[[#This Row],[Pedido]]</f>
        <v>#DIV/0!</v>
      </c>
      <c r="AF20" s="2"/>
      <c r="AH20" s="2" t="str">
        <f>IF(AND(ARTICULOS_MAYORISTA[[#This Row],[FechaVenc]]=0,ARTICULOS_MAYORISTA[[#This Row],[DiasVenc]]=0),"",ARTICULOS_MAYORISTA[[#This Row],[FechaVenc]]-ARTICULOS_MAYORISTA[[#This Row],[DiasVenc]])</f>
        <v/>
      </c>
      <c r="AO20" s="30" t="s">
        <v>8689</v>
      </c>
    </row>
    <row r="21" spans="1:41" hidden="1" x14ac:dyDescent="0.25">
      <c r="A21" s="1" t="s">
        <v>10423</v>
      </c>
      <c r="C21" t="str">
        <f t="shared" si="0"/>
        <v>ALM73222806</v>
      </c>
      <c r="D21" t="s">
        <v>8689</v>
      </c>
      <c r="E21" s="1" t="s">
        <v>10424</v>
      </c>
      <c r="F21" s="61"/>
      <c r="G21" s="3">
        <v>0</v>
      </c>
      <c r="H21" s="4" t="s">
        <v>8690</v>
      </c>
      <c r="I21">
        <v>10</v>
      </c>
      <c r="J21"/>
      <c r="K21">
        <v>0</v>
      </c>
      <c r="L21" s="65" t="e">
        <f>((ARTICULOS_MAYORISTA[[#This Row],[P. Compra]]*(1+ARTICULOS_MAYORISTA[[#This Row],[IVA]]%))/ARTICULOS_MAYORISTA[[#This Row],[UnidFact]])+ARTICULOS_MAYORISTA[[#This Row],[Flete]]</f>
        <v>#DIV/0!</v>
      </c>
      <c r="M21">
        <v>30</v>
      </c>
      <c r="N21" s="63" t="e">
        <f t="shared" si="1"/>
        <v>#DIV/0!</v>
      </c>
      <c r="O21" s="3" t="e">
        <f>MROUND((ARTICULOS_MAYORISTA[[#This Row],[Precio]]/0.6),10)</f>
        <v>#DIV/0!</v>
      </c>
      <c r="P21" t="s">
        <v>8693</v>
      </c>
      <c r="Q21">
        <v>2</v>
      </c>
      <c r="R21" s="3">
        <f>ARTICULOS_MAYORISTA[[#This Row],[Bulto]]+ARTICULOS_MAYORISTA[[#This Row],[Minimo]]</f>
        <v>12</v>
      </c>
      <c r="S21" t="s">
        <v>35</v>
      </c>
      <c r="T21" t="s">
        <v>4</v>
      </c>
      <c r="U21" t="s">
        <v>40</v>
      </c>
      <c r="V21" t="s">
        <v>8807</v>
      </c>
      <c r="W21" t="s">
        <v>8692</v>
      </c>
      <c r="X21">
        <v>1</v>
      </c>
      <c r="Y21" s="36">
        <v>3</v>
      </c>
      <c r="Z21" t="s">
        <v>8692</v>
      </c>
      <c r="AB21" s="80" t="e">
        <f>ARTICULOS_MAYORISTA[[#This Row],[Costo]]*ARTICULOS_MAYORISTA[[#This Row],[Pedido]]</f>
        <v>#DIV/0!</v>
      </c>
      <c r="AF21" s="2"/>
      <c r="AH21" s="2" t="str">
        <f>IF(AND(ARTICULOS_MAYORISTA[[#This Row],[FechaVenc]]=0,ARTICULOS_MAYORISTA[[#This Row],[DiasVenc]]=0),"",ARTICULOS_MAYORISTA[[#This Row],[FechaVenc]]-ARTICULOS_MAYORISTA[[#This Row],[DiasVenc]])</f>
        <v/>
      </c>
      <c r="AO21" s="30" t="s">
        <v>8689</v>
      </c>
    </row>
    <row r="22" spans="1:41" hidden="1" x14ac:dyDescent="0.25">
      <c r="A22" s="1" t="s">
        <v>10425</v>
      </c>
      <c r="C22" t="str">
        <f t="shared" si="0"/>
        <v>ALM58710089</v>
      </c>
      <c r="D22" t="s">
        <v>8689</v>
      </c>
      <c r="E22" s="1" t="s">
        <v>10426</v>
      </c>
      <c r="F22" s="61"/>
      <c r="G22" s="3">
        <v>0</v>
      </c>
      <c r="H22" s="4" t="s">
        <v>8690</v>
      </c>
      <c r="I22">
        <v>10</v>
      </c>
      <c r="J22"/>
      <c r="K22">
        <v>0</v>
      </c>
      <c r="L22" s="65" t="e">
        <f>((ARTICULOS_MAYORISTA[[#This Row],[P. Compra]]*(1+ARTICULOS_MAYORISTA[[#This Row],[IVA]]%))/ARTICULOS_MAYORISTA[[#This Row],[UnidFact]])+ARTICULOS_MAYORISTA[[#This Row],[Flete]]</f>
        <v>#DIV/0!</v>
      </c>
      <c r="M22">
        <v>30</v>
      </c>
      <c r="N22" s="63" t="e">
        <f t="shared" si="1"/>
        <v>#DIV/0!</v>
      </c>
      <c r="O22" s="3" t="e">
        <f>MROUND((ARTICULOS_MAYORISTA[[#This Row],[Precio]]/0.6),10)</f>
        <v>#DIV/0!</v>
      </c>
      <c r="P22" t="s">
        <v>8693</v>
      </c>
      <c r="Q22">
        <v>2</v>
      </c>
      <c r="R22" s="3">
        <f>ARTICULOS_MAYORISTA[[#This Row],[Bulto]]+ARTICULOS_MAYORISTA[[#This Row],[Minimo]]</f>
        <v>12</v>
      </c>
      <c r="S22" t="s">
        <v>35</v>
      </c>
      <c r="T22" t="s">
        <v>4</v>
      </c>
      <c r="U22" t="s">
        <v>40</v>
      </c>
      <c r="V22" t="s">
        <v>8807</v>
      </c>
      <c r="W22" t="s">
        <v>8692</v>
      </c>
      <c r="X22">
        <v>1</v>
      </c>
      <c r="Y22" s="36">
        <v>5</v>
      </c>
      <c r="Z22" t="s">
        <v>8692</v>
      </c>
      <c r="AB22" s="80" t="e">
        <f>ARTICULOS_MAYORISTA[[#This Row],[Costo]]*ARTICULOS_MAYORISTA[[#This Row],[Pedido]]</f>
        <v>#DIV/0!</v>
      </c>
      <c r="AF22" s="2"/>
      <c r="AH22" s="2" t="str">
        <f>IF(AND(ARTICULOS_MAYORISTA[[#This Row],[FechaVenc]]=0,ARTICULOS_MAYORISTA[[#This Row],[DiasVenc]]=0),"",ARTICULOS_MAYORISTA[[#This Row],[FechaVenc]]-ARTICULOS_MAYORISTA[[#This Row],[DiasVenc]])</f>
        <v/>
      </c>
      <c r="AO22" s="30" t="s">
        <v>8689</v>
      </c>
    </row>
    <row r="23" spans="1:41" hidden="1" x14ac:dyDescent="0.25">
      <c r="A23" s="1" t="s">
        <v>10560</v>
      </c>
      <c r="C23" t="str">
        <f t="shared" si="0"/>
        <v>FRE70050728</v>
      </c>
      <c r="D23" t="s">
        <v>8689</v>
      </c>
      <c r="E23" s="24" t="s">
        <v>10561</v>
      </c>
      <c r="F23" s="61"/>
      <c r="G23" s="3">
        <v>0</v>
      </c>
      <c r="H23" s="4" t="s">
        <v>8690</v>
      </c>
      <c r="I23">
        <v>24</v>
      </c>
      <c r="J23"/>
      <c r="K23">
        <v>0</v>
      </c>
      <c r="L23" s="65" t="e">
        <f>((ARTICULOS_MAYORISTA[[#This Row],[P. Compra]]*(1+ARTICULOS_MAYORISTA[[#This Row],[IVA]]%))/ARTICULOS_MAYORISTA[[#This Row],[UnidFact]])+ARTICULOS_MAYORISTA[[#This Row],[Flete]]</f>
        <v>#DIV/0!</v>
      </c>
      <c r="M23">
        <v>30</v>
      </c>
      <c r="N23" s="63" t="e">
        <f t="shared" si="1"/>
        <v>#DIV/0!</v>
      </c>
      <c r="O23" s="3" t="e">
        <f>MROUND((ARTICULOS_MAYORISTA[[#This Row],[Precio]]/0.6),10)</f>
        <v>#DIV/0!</v>
      </c>
      <c r="P23" t="s">
        <v>8693</v>
      </c>
      <c r="Q23">
        <v>6</v>
      </c>
      <c r="R23" s="3">
        <f>ARTICULOS_MAYORISTA[[#This Row],[Bulto]]+ARTICULOS_MAYORISTA[[#This Row],[Minimo]]</f>
        <v>30</v>
      </c>
      <c r="S23" t="s">
        <v>35</v>
      </c>
      <c r="T23" t="s">
        <v>21</v>
      </c>
      <c r="U23" t="s">
        <v>43</v>
      </c>
      <c r="V23" t="s">
        <v>10562</v>
      </c>
      <c r="W23" t="s">
        <v>8692</v>
      </c>
      <c r="X23">
        <v>1</v>
      </c>
      <c r="Y23" s="36">
        <v>30</v>
      </c>
      <c r="Z23" t="s">
        <v>8692</v>
      </c>
      <c r="AB23" s="80" t="e">
        <f>ARTICULOS_MAYORISTA[[#This Row],[Costo]]*ARTICULOS_MAYORISTA[[#This Row],[Pedido]]</f>
        <v>#DIV/0!</v>
      </c>
      <c r="AF23" s="2"/>
      <c r="AH23" s="2" t="str">
        <f>IF(AND(ARTICULOS_MAYORISTA[[#This Row],[FechaVenc]]=0,ARTICULOS_MAYORISTA[[#This Row],[DiasVenc]]=0),"",ARTICULOS_MAYORISTA[[#This Row],[FechaVenc]]-ARTICULOS_MAYORISTA[[#This Row],[DiasVenc]])</f>
        <v/>
      </c>
      <c r="AO23" s="30" t="s">
        <v>8689</v>
      </c>
    </row>
    <row r="24" spans="1:41" hidden="1" x14ac:dyDescent="0.25">
      <c r="A24" s="1" t="s">
        <v>10555</v>
      </c>
      <c r="C24" t="str">
        <f t="shared" si="0"/>
        <v>FRE57738246</v>
      </c>
      <c r="D24" t="s">
        <v>8689</v>
      </c>
      <c r="E24" s="24" t="s">
        <v>10556</v>
      </c>
      <c r="F24" s="61"/>
      <c r="G24" s="3">
        <v>0</v>
      </c>
      <c r="H24" s="4" t="s">
        <v>8690</v>
      </c>
      <c r="I24">
        <v>6</v>
      </c>
      <c r="J24"/>
      <c r="K24">
        <v>0</v>
      </c>
      <c r="L24" s="65" t="e">
        <f>((ARTICULOS_MAYORISTA[[#This Row],[P. Compra]]*(1+ARTICULOS_MAYORISTA[[#This Row],[IVA]]%))/ARTICULOS_MAYORISTA[[#This Row],[UnidFact]])+ARTICULOS_MAYORISTA[[#This Row],[Flete]]</f>
        <v>#DIV/0!</v>
      </c>
      <c r="M24">
        <v>30</v>
      </c>
      <c r="N24" s="63" t="e">
        <f t="shared" si="1"/>
        <v>#DIV/0!</v>
      </c>
      <c r="O24" s="3" t="e">
        <f>MROUND((ARTICULOS_MAYORISTA[[#This Row],[Precio]]/0.6),10)</f>
        <v>#DIV/0!</v>
      </c>
      <c r="P24" t="s">
        <v>8693</v>
      </c>
      <c r="Q24">
        <v>2</v>
      </c>
      <c r="R24" s="3">
        <f>ARTICULOS_MAYORISTA[[#This Row],[Bulto]]+ARTICULOS_MAYORISTA[[#This Row],[Minimo]]</f>
        <v>8</v>
      </c>
      <c r="S24" t="s">
        <v>35</v>
      </c>
      <c r="T24" t="s">
        <v>21</v>
      </c>
      <c r="U24" t="s">
        <v>43</v>
      </c>
      <c r="V24" t="s">
        <v>10557</v>
      </c>
      <c r="W24" t="s">
        <v>8692</v>
      </c>
      <c r="X24">
        <v>1</v>
      </c>
      <c r="Y24" s="36">
        <v>0</v>
      </c>
      <c r="Z24" t="s">
        <v>8692</v>
      </c>
      <c r="AB24" s="80" t="e">
        <f>ARTICULOS_MAYORISTA[[#This Row],[Costo]]*ARTICULOS_MAYORISTA[[#This Row],[Pedido]]</f>
        <v>#DIV/0!</v>
      </c>
      <c r="AF24" s="2"/>
      <c r="AH24" s="2" t="str">
        <f>IF(AND(ARTICULOS_MAYORISTA[[#This Row],[FechaVenc]]=0,ARTICULOS_MAYORISTA[[#This Row],[DiasVenc]]=0),"",ARTICULOS_MAYORISTA[[#This Row],[FechaVenc]]-ARTICULOS_MAYORISTA[[#This Row],[DiasVenc]])</f>
        <v/>
      </c>
      <c r="AO24" s="30" t="s">
        <v>8689</v>
      </c>
    </row>
    <row r="25" spans="1:41" hidden="1" x14ac:dyDescent="0.25">
      <c r="A25" s="1" t="s">
        <v>10558</v>
      </c>
      <c r="C25" t="str">
        <f t="shared" si="0"/>
        <v>FRE81492581</v>
      </c>
      <c r="D25" t="s">
        <v>8689</v>
      </c>
      <c r="E25" s="24" t="s">
        <v>10559</v>
      </c>
      <c r="F25" s="61"/>
      <c r="G25" s="3">
        <v>0</v>
      </c>
      <c r="H25" s="4" t="s">
        <v>8690</v>
      </c>
      <c r="I25">
        <v>6</v>
      </c>
      <c r="J25"/>
      <c r="K25">
        <v>0</v>
      </c>
      <c r="L25" s="65" t="e">
        <f>((ARTICULOS_MAYORISTA[[#This Row],[P. Compra]]*(1+ARTICULOS_MAYORISTA[[#This Row],[IVA]]%))/ARTICULOS_MAYORISTA[[#This Row],[UnidFact]])+ARTICULOS_MAYORISTA[[#This Row],[Flete]]</f>
        <v>#DIV/0!</v>
      </c>
      <c r="M25">
        <v>30</v>
      </c>
      <c r="N25" s="63" t="e">
        <f t="shared" si="1"/>
        <v>#DIV/0!</v>
      </c>
      <c r="O25" s="3" t="e">
        <f>MROUND((ARTICULOS_MAYORISTA[[#This Row],[Precio]]/0.6),10)</f>
        <v>#DIV/0!</v>
      </c>
      <c r="P25" t="s">
        <v>8693</v>
      </c>
      <c r="Q25">
        <v>2</v>
      </c>
      <c r="R25" s="3">
        <f>ARTICULOS_MAYORISTA[[#This Row],[Bulto]]+ARTICULOS_MAYORISTA[[#This Row],[Minimo]]</f>
        <v>8</v>
      </c>
      <c r="S25" t="s">
        <v>35</v>
      </c>
      <c r="T25" t="s">
        <v>21</v>
      </c>
      <c r="U25" t="s">
        <v>43</v>
      </c>
      <c r="V25" t="s">
        <v>10557</v>
      </c>
      <c r="W25" t="s">
        <v>8692</v>
      </c>
      <c r="X25">
        <v>1</v>
      </c>
      <c r="Y25" s="36">
        <v>0</v>
      </c>
      <c r="Z25" t="s">
        <v>8692</v>
      </c>
      <c r="AB25" s="80" t="e">
        <f>ARTICULOS_MAYORISTA[[#This Row],[Costo]]*ARTICULOS_MAYORISTA[[#This Row],[Pedido]]</f>
        <v>#DIV/0!</v>
      </c>
      <c r="AF25" s="2"/>
      <c r="AH25" s="2" t="str">
        <f>IF(AND(ARTICULOS_MAYORISTA[[#This Row],[FechaVenc]]=0,ARTICULOS_MAYORISTA[[#This Row],[DiasVenc]]=0),"",ARTICULOS_MAYORISTA[[#This Row],[FechaVenc]]-ARTICULOS_MAYORISTA[[#This Row],[DiasVenc]])</f>
        <v/>
      </c>
      <c r="AO25" s="30" t="s">
        <v>8689</v>
      </c>
    </row>
    <row r="26" spans="1:41" hidden="1" x14ac:dyDescent="0.25">
      <c r="A26" s="1" t="s">
        <v>10438</v>
      </c>
      <c r="C26" t="str">
        <f t="shared" si="0"/>
        <v>ALM84266073</v>
      </c>
      <c r="D26" t="s">
        <v>8689</v>
      </c>
      <c r="E26" s="1" t="s">
        <v>10439</v>
      </c>
      <c r="F26" s="61"/>
      <c r="G26" s="3">
        <v>0</v>
      </c>
      <c r="H26" s="4" t="s">
        <v>8690</v>
      </c>
      <c r="I26">
        <v>10</v>
      </c>
      <c r="J26"/>
      <c r="K26">
        <v>0</v>
      </c>
      <c r="L26" s="65" t="e">
        <f>((ARTICULOS_MAYORISTA[[#This Row],[P. Compra]]*(1+ARTICULOS_MAYORISTA[[#This Row],[IVA]]%))/ARTICULOS_MAYORISTA[[#This Row],[UnidFact]])+ARTICULOS_MAYORISTA[[#This Row],[Flete]]</f>
        <v>#DIV/0!</v>
      </c>
      <c r="M26">
        <v>30</v>
      </c>
      <c r="N26" s="63" t="e">
        <f t="shared" si="1"/>
        <v>#DIV/0!</v>
      </c>
      <c r="O26" s="3" t="e">
        <f>MROUND((ARTICULOS_MAYORISTA[[#This Row],[Precio]]/0.6),10)</f>
        <v>#DIV/0!</v>
      </c>
      <c r="P26" t="s">
        <v>8693</v>
      </c>
      <c r="Q26">
        <v>2</v>
      </c>
      <c r="R26" s="3">
        <f>ARTICULOS_MAYORISTA[[#This Row],[Bulto]]+ARTICULOS_MAYORISTA[[#This Row],[Minimo]]</f>
        <v>12</v>
      </c>
      <c r="S26" t="s">
        <v>35</v>
      </c>
      <c r="T26" t="s">
        <v>4</v>
      </c>
      <c r="U26" t="s">
        <v>52</v>
      </c>
      <c r="V26" t="s">
        <v>8691</v>
      </c>
      <c r="W26" t="s">
        <v>8692</v>
      </c>
      <c r="X26">
        <v>1</v>
      </c>
      <c r="Y26" s="36">
        <v>0</v>
      </c>
      <c r="Z26" t="s">
        <v>8692</v>
      </c>
      <c r="AB26" s="80" t="e">
        <f>ARTICULOS_MAYORISTA[[#This Row],[Costo]]*ARTICULOS_MAYORISTA[[#This Row],[Pedido]]</f>
        <v>#DIV/0!</v>
      </c>
      <c r="AF26" s="2"/>
      <c r="AH26" s="2" t="str">
        <f>IF(AND(ARTICULOS_MAYORISTA[[#This Row],[FechaVenc]]=0,ARTICULOS_MAYORISTA[[#This Row],[DiasVenc]]=0),"",ARTICULOS_MAYORISTA[[#This Row],[FechaVenc]]-ARTICULOS_MAYORISTA[[#This Row],[DiasVenc]])</f>
        <v/>
      </c>
      <c r="AO26" s="30" t="s">
        <v>8689</v>
      </c>
    </row>
    <row r="27" spans="1:41" hidden="1" x14ac:dyDescent="0.25">
      <c r="A27" s="1" t="s">
        <v>10427</v>
      </c>
      <c r="C27" t="str">
        <f t="shared" si="0"/>
        <v>ALM36948188</v>
      </c>
      <c r="D27" t="s">
        <v>8689</v>
      </c>
      <c r="E27" s="1" t="s">
        <v>10428</v>
      </c>
      <c r="F27" s="61"/>
      <c r="G27" s="3">
        <v>0</v>
      </c>
      <c r="H27" s="4" t="s">
        <v>8690</v>
      </c>
      <c r="I27">
        <v>12</v>
      </c>
      <c r="J27"/>
      <c r="K27">
        <v>0</v>
      </c>
      <c r="L27" s="65" t="e">
        <f>((ARTICULOS_MAYORISTA[[#This Row],[P. Compra]]*(1+ARTICULOS_MAYORISTA[[#This Row],[IVA]]%))/ARTICULOS_MAYORISTA[[#This Row],[UnidFact]])+ARTICULOS_MAYORISTA[[#This Row],[Flete]]</f>
        <v>#DIV/0!</v>
      </c>
      <c r="M27">
        <v>30</v>
      </c>
      <c r="N27" s="63" t="e">
        <f t="shared" si="1"/>
        <v>#DIV/0!</v>
      </c>
      <c r="O27" s="3" t="e">
        <f>MROUND((ARTICULOS_MAYORISTA[[#This Row],[Precio]]/0.6),10)</f>
        <v>#DIV/0!</v>
      </c>
      <c r="P27" t="s">
        <v>8693</v>
      </c>
      <c r="Q27">
        <v>2</v>
      </c>
      <c r="R27" s="3">
        <f>ARTICULOS_MAYORISTA[[#This Row],[Bulto]]+ARTICULOS_MAYORISTA[[#This Row],[Minimo]]</f>
        <v>14</v>
      </c>
      <c r="S27" t="s">
        <v>35</v>
      </c>
      <c r="T27" t="s">
        <v>4</v>
      </c>
      <c r="U27" t="s">
        <v>52</v>
      </c>
      <c r="V27" t="s">
        <v>10429</v>
      </c>
      <c r="W27" t="s">
        <v>8692</v>
      </c>
      <c r="X27">
        <v>1</v>
      </c>
      <c r="Y27" s="36">
        <v>5</v>
      </c>
      <c r="Z27" t="s">
        <v>8692</v>
      </c>
      <c r="AB27" s="80" t="e">
        <f>ARTICULOS_MAYORISTA[[#This Row],[Costo]]*ARTICULOS_MAYORISTA[[#This Row],[Pedido]]</f>
        <v>#DIV/0!</v>
      </c>
      <c r="AF27" s="2"/>
      <c r="AH27" s="2" t="str">
        <f>IF(AND(ARTICULOS_MAYORISTA[[#This Row],[FechaVenc]]=0,ARTICULOS_MAYORISTA[[#This Row],[DiasVenc]]=0),"",ARTICULOS_MAYORISTA[[#This Row],[FechaVenc]]-ARTICULOS_MAYORISTA[[#This Row],[DiasVenc]])</f>
        <v/>
      </c>
      <c r="AO27" s="30" t="s">
        <v>8689</v>
      </c>
    </row>
    <row r="28" spans="1:41" hidden="1" x14ac:dyDescent="0.25">
      <c r="A28" s="1" t="s">
        <v>10430</v>
      </c>
      <c r="C28" t="str">
        <f t="shared" si="0"/>
        <v>ALM50002779</v>
      </c>
      <c r="D28" t="s">
        <v>8689</v>
      </c>
      <c r="E28" s="1" t="s">
        <v>10431</v>
      </c>
      <c r="F28" s="61"/>
      <c r="G28" s="3">
        <v>0</v>
      </c>
      <c r="H28" s="4" t="s">
        <v>8690</v>
      </c>
      <c r="I28">
        <v>6</v>
      </c>
      <c r="J28"/>
      <c r="K28">
        <v>0</v>
      </c>
      <c r="L28" s="65" t="e">
        <f>((ARTICULOS_MAYORISTA[[#This Row],[P. Compra]]*(1+ARTICULOS_MAYORISTA[[#This Row],[IVA]]%))/ARTICULOS_MAYORISTA[[#This Row],[UnidFact]])+ARTICULOS_MAYORISTA[[#This Row],[Flete]]</f>
        <v>#DIV/0!</v>
      </c>
      <c r="M28">
        <v>30</v>
      </c>
      <c r="N28" s="63" t="e">
        <f t="shared" si="1"/>
        <v>#DIV/0!</v>
      </c>
      <c r="O28" s="3" t="e">
        <f>MROUND((ARTICULOS_MAYORISTA[[#This Row],[Precio]]/0.6),10)</f>
        <v>#DIV/0!</v>
      </c>
      <c r="P28" t="s">
        <v>8693</v>
      </c>
      <c r="Q28">
        <v>2</v>
      </c>
      <c r="R28" s="3">
        <f>ARTICULOS_MAYORISTA[[#This Row],[Bulto]]+ARTICULOS_MAYORISTA[[#This Row],[Minimo]]</f>
        <v>8</v>
      </c>
      <c r="S28" t="s">
        <v>35</v>
      </c>
      <c r="T28" t="s">
        <v>4</v>
      </c>
      <c r="U28" t="s">
        <v>52</v>
      </c>
      <c r="V28" t="s">
        <v>10432</v>
      </c>
      <c r="W28" t="s">
        <v>8692</v>
      </c>
      <c r="X28">
        <v>1</v>
      </c>
      <c r="Y28" s="36">
        <v>6</v>
      </c>
      <c r="Z28" t="s">
        <v>8692</v>
      </c>
      <c r="AB28" s="80" t="e">
        <f>ARTICULOS_MAYORISTA[[#This Row],[Costo]]*ARTICULOS_MAYORISTA[[#This Row],[Pedido]]</f>
        <v>#DIV/0!</v>
      </c>
      <c r="AF28" s="2"/>
      <c r="AH28" s="2" t="str">
        <f>IF(AND(ARTICULOS_MAYORISTA[[#This Row],[FechaVenc]]=0,ARTICULOS_MAYORISTA[[#This Row],[DiasVenc]]=0),"",ARTICULOS_MAYORISTA[[#This Row],[FechaVenc]]-ARTICULOS_MAYORISTA[[#This Row],[DiasVenc]])</f>
        <v/>
      </c>
      <c r="AO28" s="30" t="s">
        <v>8689</v>
      </c>
    </row>
    <row r="29" spans="1:41" hidden="1" x14ac:dyDescent="0.25">
      <c r="A29" s="1" t="s">
        <v>10433</v>
      </c>
      <c r="C29" t="str">
        <f t="shared" si="0"/>
        <v>ALM51000264</v>
      </c>
      <c r="D29" t="s">
        <v>8689</v>
      </c>
      <c r="E29" s="1" t="s">
        <v>10434</v>
      </c>
      <c r="F29" s="61"/>
      <c r="G29" s="3">
        <v>0</v>
      </c>
      <c r="H29" s="4" t="s">
        <v>8690</v>
      </c>
      <c r="I29">
        <v>6</v>
      </c>
      <c r="J29"/>
      <c r="K29">
        <v>0</v>
      </c>
      <c r="L29" s="65" t="e">
        <f>((ARTICULOS_MAYORISTA[[#This Row],[P. Compra]]*(1+ARTICULOS_MAYORISTA[[#This Row],[IVA]]%))/ARTICULOS_MAYORISTA[[#This Row],[UnidFact]])+ARTICULOS_MAYORISTA[[#This Row],[Flete]]</f>
        <v>#DIV/0!</v>
      </c>
      <c r="M29">
        <v>30</v>
      </c>
      <c r="N29" s="63" t="e">
        <f t="shared" si="1"/>
        <v>#DIV/0!</v>
      </c>
      <c r="O29" s="3" t="e">
        <f>MROUND((ARTICULOS_MAYORISTA[[#This Row],[Precio]]/0.6),10)</f>
        <v>#DIV/0!</v>
      </c>
      <c r="P29" t="s">
        <v>8693</v>
      </c>
      <c r="Q29">
        <v>2</v>
      </c>
      <c r="R29" s="3">
        <f>ARTICULOS_MAYORISTA[[#This Row],[Bulto]]+ARTICULOS_MAYORISTA[[#This Row],[Minimo]]</f>
        <v>8</v>
      </c>
      <c r="S29" t="s">
        <v>35</v>
      </c>
      <c r="T29" t="s">
        <v>4</v>
      </c>
      <c r="U29" t="s">
        <v>52</v>
      </c>
      <c r="V29" t="s">
        <v>10435</v>
      </c>
      <c r="W29" t="s">
        <v>8692</v>
      </c>
      <c r="X29">
        <v>1</v>
      </c>
      <c r="Y29" s="36">
        <v>0</v>
      </c>
      <c r="Z29" t="s">
        <v>8692</v>
      </c>
      <c r="AB29" s="80" t="e">
        <f>ARTICULOS_MAYORISTA[[#This Row],[Costo]]*ARTICULOS_MAYORISTA[[#This Row],[Pedido]]</f>
        <v>#DIV/0!</v>
      </c>
      <c r="AF29" s="2"/>
      <c r="AH29" s="2" t="str">
        <f>IF(AND(ARTICULOS_MAYORISTA[[#This Row],[FechaVenc]]=0,ARTICULOS_MAYORISTA[[#This Row],[DiasVenc]]=0),"",ARTICULOS_MAYORISTA[[#This Row],[FechaVenc]]-ARTICULOS_MAYORISTA[[#This Row],[DiasVenc]])</f>
        <v/>
      </c>
      <c r="AO29" s="30" t="s">
        <v>8689</v>
      </c>
    </row>
    <row r="30" spans="1:41" hidden="1" x14ac:dyDescent="0.25">
      <c r="A30" s="1" t="s">
        <v>10436</v>
      </c>
      <c r="C30" t="str">
        <f t="shared" si="0"/>
        <v>ALM51000257</v>
      </c>
      <c r="D30" t="s">
        <v>8689</v>
      </c>
      <c r="E30" s="1" t="s">
        <v>10437</v>
      </c>
      <c r="F30" s="61"/>
      <c r="G30" s="3">
        <v>0</v>
      </c>
      <c r="H30" s="4" t="s">
        <v>8690</v>
      </c>
      <c r="I30">
        <v>6</v>
      </c>
      <c r="J30"/>
      <c r="K30">
        <v>0</v>
      </c>
      <c r="L30" s="65" t="e">
        <f>((ARTICULOS_MAYORISTA[[#This Row],[P. Compra]]*(1+ARTICULOS_MAYORISTA[[#This Row],[IVA]]%))/ARTICULOS_MAYORISTA[[#This Row],[UnidFact]])+ARTICULOS_MAYORISTA[[#This Row],[Flete]]</f>
        <v>#DIV/0!</v>
      </c>
      <c r="M30">
        <v>30</v>
      </c>
      <c r="N30" s="63" t="e">
        <f t="shared" si="1"/>
        <v>#DIV/0!</v>
      </c>
      <c r="O30" s="3" t="e">
        <f>MROUND((ARTICULOS_MAYORISTA[[#This Row],[Precio]]/0.6),10)</f>
        <v>#DIV/0!</v>
      </c>
      <c r="P30" t="s">
        <v>8693</v>
      </c>
      <c r="Q30">
        <v>2</v>
      </c>
      <c r="R30" s="3">
        <f>ARTICULOS_MAYORISTA[[#This Row],[Bulto]]+ARTICULOS_MAYORISTA[[#This Row],[Minimo]]</f>
        <v>8</v>
      </c>
      <c r="S30" t="s">
        <v>35</v>
      </c>
      <c r="T30" t="s">
        <v>4</v>
      </c>
      <c r="U30" t="s">
        <v>52</v>
      </c>
      <c r="V30" t="s">
        <v>10435</v>
      </c>
      <c r="W30" t="s">
        <v>8692</v>
      </c>
      <c r="X30">
        <v>1</v>
      </c>
      <c r="Y30" s="36">
        <v>1</v>
      </c>
      <c r="Z30" t="s">
        <v>8692</v>
      </c>
      <c r="AB30" s="80" t="e">
        <f>ARTICULOS_MAYORISTA[[#This Row],[Costo]]*ARTICULOS_MAYORISTA[[#This Row],[Pedido]]</f>
        <v>#DIV/0!</v>
      </c>
      <c r="AF30" s="2"/>
      <c r="AH30" s="2" t="str">
        <f>IF(AND(ARTICULOS_MAYORISTA[[#This Row],[FechaVenc]]=0,ARTICULOS_MAYORISTA[[#This Row],[DiasVenc]]=0),"",ARTICULOS_MAYORISTA[[#This Row],[FechaVenc]]-ARTICULOS_MAYORISTA[[#This Row],[DiasVenc]])</f>
        <v/>
      </c>
      <c r="AO30" s="30" t="s">
        <v>8689</v>
      </c>
    </row>
    <row r="31" spans="1:41" hidden="1" x14ac:dyDescent="0.25">
      <c r="A31" s="1" t="s">
        <v>10447</v>
      </c>
      <c r="C31" t="str">
        <f t="shared" si="0"/>
        <v>ALM70418418</v>
      </c>
      <c r="D31" t="s">
        <v>8689</v>
      </c>
      <c r="E31" s="1" t="s">
        <v>10448</v>
      </c>
      <c r="F31" s="61"/>
      <c r="G31" s="3">
        <v>0</v>
      </c>
      <c r="H31" s="4" t="s">
        <v>8690</v>
      </c>
      <c r="I31">
        <v>6</v>
      </c>
      <c r="J31"/>
      <c r="K31">
        <v>0</v>
      </c>
      <c r="L31" s="65" t="e">
        <f>((ARTICULOS_MAYORISTA[[#This Row],[P. Compra]]*(1+ARTICULOS_MAYORISTA[[#This Row],[IVA]]%))/ARTICULOS_MAYORISTA[[#This Row],[UnidFact]])+ARTICULOS_MAYORISTA[[#This Row],[Flete]]</f>
        <v>#DIV/0!</v>
      </c>
      <c r="M31">
        <v>30</v>
      </c>
      <c r="N31" s="63" t="e">
        <f t="shared" si="1"/>
        <v>#DIV/0!</v>
      </c>
      <c r="O31" s="3" t="e">
        <f>MROUND((ARTICULOS_MAYORISTA[[#This Row],[Precio]]/0.6),10)</f>
        <v>#DIV/0!</v>
      </c>
      <c r="P31" t="s">
        <v>8693</v>
      </c>
      <c r="Q31">
        <v>2</v>
      </c>
      <c r="R31" s="3">
        <f>ARTICULOS_MAYORISTA[[#This Row],[Bulto]]+ARTICULOS_MAYORISTA[[#This Row],[Minimo]]</f>
        <v>8</v>
      </c>
      <c r="S31" t="s">
        <v>35</v>
      </c>
      <c r="T31" t="s">
        <v>4</v>
      </c>
      <c r="U31" t="s">
        <v>60</v>
      </c>
      <c r="V31" t="s">
        <v>10160</v>
      </c>
      <c r="W31" t="s">
        <v>8692</v>
      </c>
      <c r="X31">
        <v>1</v>
      </c>
      <c r="Y31" s="36">
        <v>6</v>
      </c>
      <c r="Z31" t="s">
        <v>8692</v>
      </c>
      <c r="AB31" s="80" t="e">
        <f>ARTICULOS_MAYORISTA[[#This Row],[Costo]]*ARTICULOS_MAYORISTA[[#This Row],[Pedido]]</f>
        <v>#DIV/0!</v>
      </c>
      <c r="AF31" s="2"/>
      <c r="AH31" s="2" t="str">
        <f>IF(AND(ARTICULOS_MAYORISTA[[#This Row],[FechaVenc]]=0,ARTICULOS_MAYORISTA[[#This Row],[DiasVenc]]=0),"",ARTICULOS_MAYORISTA[[#This Row],[FechaVenc]]-ARTICULOS_MAYORISTA[[#This Row],[DiasVenc]])</f>
        <v/>
      </c>
      <c r="AO31" s="30" t="s">
        <v>8689</v>
      </c>
    </row>
    <row r="32" spans="1:41" hidden="1" x14ac:dyDescent="0.25">
      <c r="A32" s="1" t="s">
        <v>10449</v>
      </c>
      <c r="C32" t="str">
        <f t="shared" si="0"/>
        <v>ALM70418456</v>
      </c>
      <c r="D32" t="s">
        <v>8689</v>
      </c>
      <c r="E32" s="1" t="s">
        <v>10450</v>
      </c>
      <c r="F32" s="61"/>
      <c r="G32" s="3">
        <v>0</v>
      </c>
      <c r="H32" s="4" t="s">
        <v>8690</v>
      </c>
      <c r="I32">
        <v>6</v>
      </c>
      <c r="J32"/>
      <c r="K32">
        <v>0</v>
      </c>
      <c r="L32" s="65" t="e">
        <f>((ARTICULOS_MAYORISTA[[#This Row],[P. Compra]]*(1+ARTICULOS_MAYORISTA[[#This Row],[IVA]]%))/ARTICULOS_MAYORISTA[[#This Row],[UnidFact]])+ARTICULOS_MAYORISTA[[#This Row],[Flete]]</f>
        <v>#DIV/0!</v>
      </c>
      <c r="M32">
        <v>30</v>
      </c>
      <c r="N32" s="63" t="e">
        <f t="shared" si="1"/>
        <v>#DIV/0!</v>
      </c>
      <c r="O32" s="3" t="e">
        <f>MROUND((ARTICULOS_MAYORISTA[[#This Row],[Precio]]/0.6),10)</f>
        <v>#DIV/0!</v>
      </c>
      <c r="P32" t="s">
        <v>8693</v>
      </c>
      <c r="Q32">
        <v>2</v>
      </c>
      <c r="R32" s="3">
        <f>ARTICULOS_MAYORISTA[[#This Row],[Bulto]]+ARTICULOS_MAYORISTA[[#This Row],[Minimo]]</f>
        <v>8</v>
      </c>
      <c r="S32" t="s">
        <v>35</v>
      </c>
      <c r="T32" t="s">
        <v>4</v>
      </c>
      <c r="U32" t="s">
        <v>60</v>
      </c>
      <c r="V32" t="s">
        <v>10160</v>
      </c>
      <c r="W32" t="s">
        <v>8692</v>
      </c>
      <c r="X32">
        <v>1</v>
      </c>
      <c r="Y32" s="36">
        <v>3</v>
      </c>
      <c r="Z32" t="s">
        <v>8692</v>
      </c>
      <c r="AB32" s="80" t="e">
        <f>ARTICULOS_MAYORISTA[[#This Row],[Costo]]*ARTICULOS_MAYORISTA[[#This Row],[Pedido]]</f>
        <v>#DIV/0!</v>
      </c>
      <c r="AF32" s="2"/>
      <c r="AH32" s="2" t="str">
        <f>IF(AND(ARTICULOS_MAYORISTA[[#This Row],[FechaVenc]]=0,ARTICULOS_MAYORISTA[[#This Row],[DiasVenc]]=0),"",ARTICULOS_MAYORISTA[[#This Row],[FechaVenc]]-ARTICULOS_MAYORISTA[[#This Row],[DiasVenc]])</f>
        <v/>
      </c>
      <c r="AO32" s="30" t="s">
        <v>8689</v>
      </c>
    </row>
    <row r="33" spans="1:41" hidden="1" x14ac:dyDescent="0.25">
      <c r="A33" s="1" t="s">
        <v>10451</v>
      </c>
      <c r="C33" t="str">
        <f t="shared" si="0"/>
        <v>ALM70412447</v>
      </c>
      <c r="D33" t="s">
        <v>8689</v>
      </c>
      <c r="E33" s="1" t="s">
        <v>10452</v>
      </c>
      <c r="F33" s="61"/>
      <c r="G33" s="3">
        <v>0</v>
      </c>
      <c r="H33" s="4" t="s">
        <v>8690</v>
      </c>
      <c r="I33">
        <v>6</v>
      </c>
      <c r="J33"/>
      <c r="K33">
        <v>0</v>
      </c>
      <c r="L33" s="65" t="e">
        <f>((ARTICULOS_MAYORISTA[[#This Row],[P. Compra]]*(1+ARTICULOS_MAYORISTA[[#This Row],[IVA]]%))/ARTICULOS_MAYORISTA[[#This Row],[UnidFact]])+ARTICULOS_MAYORISTA[[#This Row],[Flete]]</f>
        <v>#DIV/0!</v>
      </c>
      <c r="M33">
        <v>30</v>
      </c>
      <c r="N33" s="63" t="e">
        <f t="shared" si="1"/>
        <v>#DIV/0!</v>
      </c>
      <c r="O33" s="3" t="e">
        <f>MROUND((ARTICULOS_MAYORISTA[[#This Row],[Precio]]/0.6),10)</f>
        <v>#DIV/0!</v>
      </c>
      <c r="P33" t="s">
        <v>8693</v>
      </c>
      <c r="Q33">
        <v>2</v>
      </c>
      <c r="R33" s="3">
        <f>ARTICULOS_MAYORISTA[[#This Row],[Bulto]]+ARTICULOS_MAYORISTA[[#This Row],[Minimo]]</f>
        <v>8</v>
      </c>
      <c r="S33" t="s">
        <v>35</v>
      </c>
      <c r="T33" t="s">
        <v>4</v>
      </c>
      <c r="U33" t="s">
        <v>60</v>
      </c>
      <c r="V33" t="s">
        <v>10160</v>
      </c>
      <c r="W33" t="s">
        <v>8692</v>
      </c>
      <c r="X33">
        <v>1</v>
      </c>
      <c r="Y33" s="36">
        <v>0</v>
      </c>
      <c r="Z33" t="s">
        <v>8692</v>
      </c>
      <c r="AB33" s="80" t="e">
        <f>ARTICULOS_MAYORISTA[[#This Row],[Costo]]*ARTICULOS_MAYORISTA[[#This Row],[Pedido]]</f>
        <v>#DIV/0!</v>
      </c>
      <c r="AF33" s="2"/>
      <c r="AH33" s="2" t="str">
        <f>IF(AND(ARTICULOS_MAYORISTA[[#This Row],[FechaVenc]]=0,ARTICULOS_MAYORISTA[[#This Row],[DiasVenc]]=0),"",ARTICULOS_MAYORISTA[[#This Row],[FechaVenc]]-ARTICULOS_MAYORISTA[[#This Row],[DiasVenc]])</f>
        <v/>
      </c>
      <c r="AO33" s="30" t="s">
        <v>8689</v>
      </c>
    </row>
    <row r="34" spans="1:41" hidden="1" x14ac:dyDescent="0.25">
      <c r="A34" s="1" t="s">
        <v>10440</v>
      </c>
      <c r="C34" t="str">
        <f t="shared" si="0"/>
        <v>ALM25211985</v>
      </c>
      <c r="D34" t="s">
        <v>8689</v>
      </c>
      <c r="E34" s="1" t="s">
        <v>10441</v>
      </c>
      <c r="F34" s="61"/>
      <c r="G34" s="3">
        <v>0</v>
      </c>
      <c r="H34" s="4" t="s">
        <v>8690</v>
      </c>
      <c r="I34">
        <v>6</v>
      </c>
      <c r="J34"/>
      <c r="K34">
        <v>0</v>
      </c>
      <c r="L34" s="65" t="e">
        <f>((ARTICULOS_MAYORISTA[[#This Row],[P. Compra]]*(1+ARTICULOS_MAYORISTA[[#This Row],[IVA]]%))/ARTICULOS_MAYORISTA[[#This Row],[UnidFact]])+ARTICULOS_MAYORISTA[[#This Row],[Flete]]</f>
        <v>#DIV/0!</v>
      </c>
      <c r="M34">
        <v>30</v>
      </c>
      <c r="N34" s="63" t="e">
        <f t="shared" si="1"/>
        <v>#DIV/0!</v>
      </c>
      <c r="O34" s="3" t="e">
        <f>MROUND((ARTICULOS_MAYORISTA[[#This Row],[Precio]]/0.6),10)</f>
        <v>#DIV/0!</v>
      </c>
      <c r="P34" t="s">
        <v>8693</v>
      </c>
      <c r="Q34">
        <v>2</v>
      </c>
      <c r="R34" s="3">
        <f>ARTICULOS_MAYORISTA[[#This Row],[Bulto]]+ARTICULOS_MAYORISTA[[#This Row],[Minimo]]</f>
        <v>8</v>
      </c>
      <c r="S34" t="s">
        <v>35</v>
      </c>
      <c r="T34" t="s">
        <v>4</v>
      </c>
      <c r="U34" t="s">
        <v>60</v>
      </c>
      <c r="V34" t="s">
        <v>10442</v>
      </c>
      <c r="W34" t="s">
        <v>8692</v>
      </c>
      <c r="X34">
        <v>1</v>
      </c>
      <c r="Y34" s="36">
        <v>2</v>
      </c>
      <c r="Z34" t="s">
        <v>8692</v>
      </c>
      <c r="AB34" s="80" t="e">
        <f>ARTICULOS_MAYORISTA[[#This Row],[Costo]]*ARTICULOS_MAYORISTA[[#This Row],[Pedido]]</f>
        <v>#DIV/0!</v>
      </c>
      <c r="AF34" s="2"/>
      <c r="AH34" s="2" t="str">
        <f>IF(AND(ARTICULOS_MAYORISTA[[#This Row],[FechaVenc]]=0,ARTICULOS_MAYORISTA[[#This Row],[DiasVenc]]=0),"",ARTICULOS_MAYORISTA[[#This Row],[FechaVenc]]-ARTICULOS_MAYORISTA[[#This Row],[DiasVenc]])</f>
        <v/>
      </c>
      <c r="AO34" s="30" t="s">
        <v>8689</v>
      </c>
    </row>
    <row r="35" spans="1:41" hidden="1" x14ac:dyDescent="0.25">
      <c r="A35" s="1" t="s">
        <v>10443</v>
      </c>
      <c r="C35" t="str">
        <f t="shared" si="0"/>
        <v>ALM38009578</v>
      </c>
      <c r="D35" t="s">
        <v>8689</v>
      </c>
      <c r="E35" s="1" t="s">
        <v>10444</v>
      </c>
      <c r="F35" s="61"/>
      <c r="G35" s="3">
        <v>0</v>
      </c>
      <c r="H35" s="4" t="s">
        <v>8690</v>
      </c>
      <c r="I35">
        <v>6</v>
      </c>
      <c r="J35"/>
      <c r="K35">
        <v>0</v>
      </c>
      <c r="L35" s="65" t="e">
        <f>((ARTICULOS_MAYORISTA[[#This Row],[P. Compra]]*(1+ARTICULOS_MAYORISTA[[#This Row],[IVA]]%))/ARTICULOS_MAYORISTA[[#This Row],[UnidFact]])+ARTICULOS_MAYORISTA[[#This Row],[Flete]]</f>
        <v>#DIV/0!</v>
      </c>
      <c r="M35">
        <v>30</v>
      </c>
      <c r="N35" s="63" t="e">
        <f t="shared" si="1"/>
        <v>#DIV/0!</v>
      </c>
      <c r="O35" s="3" t="e">
        <f>MROUND((ARTICULOS_MAYORISTA[[#This Row],[Precio]]/0.6),10)</f>
        <v>#DIV/0!</v>
      </c>
      <c r="P35" t="s">
        <v>8693</v>
      </c>
      <c r="Q35">
        <v>2</v>
      </c>
      <c r="R35" s="3">
        <f>ARTICULOS_MAYORISTA[[#This Row],[Bulto]]+ARTICULOS_MAYORISTA[[#This Row],[Minimo]]</f>
        <v>8</v>
      </c>
      <c r="S35" t="s">
        <v>35</v>
      </c>
      <c r="T35" t="s">
        <v>4</v>
      </c>
      <c r="U35" t="s">
        <v>60</v>
      </c>
      <c r="V35" t="s">
        <v>10442</v>
      </c>
      <c r="W35" t="s">
        <v>8692</v>
      </c>
      <c r="X35">
        <v>1</v>
      </c>
      <c r="Y35" s="36">
        <v>1</v>
      </c>
      <c r="Z35" t="s">
        <v>8692</v>
      </c>
      <c r="AB35" s="80" t="e">
        <f>ARTICULOS_MAYORISTA[[#This Row],[Costo]]*ARTICULOS_MAYORISTA[[#This Row],[Pedido]]</f>
        <v>#DIV/0!</v>
      </c>
      <c r="AF35" s="2"/>
      <c r="AH35" s="2" t="str">
        <f>IF(AND(ARTICULOS_MAYORISTA[[#This Row],[FechaVenc]]=0,ARTICULOS_MAYORISTA[[#This Row],[DiasVenc]]=0),"",ARTICULOS_MAYORISTA[[#This Row],[FechaVenc]]-ARTICULOS_MAYORISTA[[#This Row],[DiasVenc]])</f>
        <v/>
      </c>
      <c r="AO35" s="30" t="s">
        <v>8689</v>
      </c>
    </row>
    <row r="36" spans="1:41" hidden="1" x14ac:dyDescent="0.25">
      <c r="A36" s="1" t="s">
        <v>10445</v>
      </c>
      <c r="C36" t="str">
        <f t="shared" ref="C36:C68" si="4">CONCATENATE(LEFT(T36,3),RIGHT(A36,8))</f>
        <v>ALM38009561</v>
      </c>
      <c r="D36" t="s">
        <v>8689</v>
      </c>
      <c r="E36" s="1" t="s">
        <v>10446</v>
      </c>
      <c r="F36" s="61"/>
      <c r="G36" s="3">
        <v>0</v>
      </c>
      <c r="H36" s="4" t="s">
        <v>8690</v>
      </c>
      <c r="I36">
        <v>6</v>
      </c>
      <c r="J36"/>
      <c r="K36">
        <v>0</v>
      </c>
      <c r="L36" s="65" t="e">
        <f>((ARTICULOS_MAYORISTA[[#This Row],[P. Compra]]*(1+ARTICULOS_MAYORISTA[[#This Row],[IVA]]%))/ARTICULOS_MAYORISTA[[#This Row],[UnidFact]])+ARTICULOS_MAYORISTA[[#This Row],[Flete]]</f>
        <v>#DIV/0!</v>
      </c>
      <c r="M36">
        <v>30</v>
      </c>
      <c r="N36" s="63" t="e">
        <f t="shared" ref="N36:N68" si="5">IF(L36&gt;=5,MROUND(L36/(1-M36/100),10),10)</f>
        <v>#DIV/0!</v>
      </c>
      <c r="O36" s="3" t="e">
        <f>MROUND((ARTICULOS_MAYORISTA[[#This Row],[Precio]]/0.6),10)</f>
        <v>#DIV/0!</v>
      </c>
      <c r="P36" t="s">
        <v>8693</v>
      </c>
      <c r="Q36">
        <v>2</v>
      </c>
      <c r="R36" s="3">
        <f>ARTICULOS_MAYORISTA[[#This Row],[Bulto]]+ARTICULOS_MAYORISTA[[#This Row],[Minimo]]</f>
        <v>8</v>
      </c>
      <c r="S36" t="s">
        <v>35</v>
      </c>
      <c r="T36" t="s">
        <v>4</v>
      </c>
      <c r="U36" t="s">
        <v>60</v>
      </c>
      <c r="V36" t="s">
        <v>10442</v>
      </c>
      <c r="W36" t="s">
        <v>8692</v>
      </c>
      <c r="X36">
        <v>1</v>
      </c>
      <c r="Y36" s="36">
        <v>1</v>
      </c>
      <c r="Z36" t="s">
        <v>8692</v>
      </c>
      <c r="AB36" s="80" t="e">
        <f>ARTICULOS_MAYORISTA[[#This Row],[Costo]]*ARTICULOS_MAYORISTA[[#This Row],[Pedido]]</f>
        <v>#DIV/0!</v>
      </c>
      <c r="AF36" s="2"/>
      <c r="AH36" s="2" t="str">
        <f>IF(AND(ARTICULOS_MAYORISTA[[#This Row],[FechaVenc]]=0,ARTICULOS_MAYORISTA[[#This Row],[DiasVenc]]=0),"",ARTICULOS_MAYORISTA[[#This Row],[FechaVenc]]-ARTICULOS_MAYORISTA[[#This Row],[DiasVenc]])</f>
        <v/>
      </c>
      <c r="AO36" s="30" t="s">
        <v>8689</v>
      </c>
    </row>
    <row r="37" spans="1:41" hidden="1" x14ac:dyDescent="0.25">
      <c r="A37" s="1" t="s">
        <v>10460</v>
      </c>
      <c r="C37" t="str">
        <f t="shared" si="4"/>
        <v>ALM00005372</v>
      </c>
      <c r="D37" t="s">
        <v>8689</v>
      </c>
      <c r="E37" s="1" t="s">
        <v>10461</v>
      </c>
      <c r="F37" s="61"/>
      <c r="G37" s="3">
        <v>0</v>
      </c>
      <c r="H37" s="4" t="s">
        <v>8690</v>
      </c>
      <c r="I37">
        <v>6</v>
      </c>
      <c r="J37"/>
      <c r="K37">
        <v>0</v>
      </c>
      <c r="L37" s="65" t="e">
        <f>((ARTICULOS_MAYORISTA[[#This Row],[P. Compra]]*(1+ARTICULOS_MAYORISTA[[#This Row],[IVA]]%))/ARTICULOS_MAYORISTA[[#This Row],[UnidFact]])+ARTICULOS_MAYORISTA[[#This Row],[Flete]]</f>
        <v>#DIV/0!</v>
      </c>
      <c r="M37">
        <v>30</v>
      </c>
      <c r="N37" s="63" t="e">
        <f t="shared" si="5"/>
        <v>#DIV/0!</v>
      </c>
      <c r="O37" s="3" t="e">
        <f>MROUND((ARTICULOS_MAYORISTA[[#This Row],[Precio]]/0.6),10)</f>
        <v>#DIV/0!</v>
      </c>
      <c r="P37" t="s">
        <v>8693</v>
      </c>
      <c r="Q37">
        <v>2</v>
      </c>
      <c r="R37" s="3">
        <f>ARTICULOS_MAYORISTA[[#This Row],[Bulto]]+ARTICULOS_MAYORISTA[[#This Row],[Minimo]]</f>
        <v>8</v>
      </c>
      <c r="S37" t="s">
        <v>35</v>
      </c>
      <c r="T37" t="s">
        <v>4</v>
      </c>
      <c r="U37" t="s">
        <v>69</v>
      </c>
      <c r="V37" t="s">
        <v>10462</v>
      </c>
      <c r="W37" t="s">
        <v>8692</v>
      </c>
      <c r="X37">
        <v>1</v>
      </c>
      <c r="Y37" s="36">
        <v>0</v>
      </c>
      <c r="Z37" t="s">
        <v>8692</v>
      </c>
      <c r="AB37" s="80" t="e">
        <f>ARTICULOS_MAYORISTA[[#This Row],[Costo]]*ARTICULOS_MAYORISTA[[#This Row],[Pedido]]</f>
        <v>#DIV/0!</v>
      </c>
      <c r="AF37" s="2"/>
      <c r="AH37" s="2" t="str">
        <f>IF(AND(ARTICULOS_MAYORISTA[[#This Row],[FechaVenc]]=0,ARTICULOS_MAYORISTA[[#This Row],[DiasVenc]]=0),"",ARTICULOS_MAYORISTA[[#This Row],[FechaVenc]]-ARTICULOS_MAYORISTA[[#This Row],[DiasVenc]])</f>
        <v/>
      </c>
      <c r="AO37" s="30" t="s">
        <v>8689</v>
      </c>
    </row>
    <row r="38" spans="1:41" hidden="1" x14ac:dyDescent="0.25">
      <c r="A38" s="1" t="s">
        <v>10453</v>
      </c>
      <c r="C38" t="str">
        <f t="shared" si="4"/>
        <v>ALM70410603</v>
      </c>
      <c r="D38" t="s">
        <v>8689</v>
      </c>
      <c r="E38" s="1" t="s">
        <v>10454</v>
      </c>
      <c r="F38" s="61"/>
      <c r="G38" s="3">
        <v>0</v>
      </c>
      <c r="H38" s="4" t="s">
        <v>8690</v>
      </c>
      <c r="I38">
        <v>6</v>
      </c>
      <c r="J38"/>
      <c r="K38">
        <v>0</v>
      </c>
      <c r="L38" s="65" t="e">
        <f>((ARTICULOS_MAYORISTA[[#This Row],[P. Compra]]*(1+ARTICULOS_MAYORISTA[[#This Row],[IVA]]%))/ARTICULOS_MAYORISTA[[#This Row],[UnidFact]])+ARTICULOS_MAYORISTA[[#This Row],[Flete]]</f>
        <v>#DIV/0!</v>
      </c>
      <c r="M38">
        <v>30</v>
      </c>
      <c r="N38" s="63" t="e">
        <f t="shared" si="5"/>
        <v>#DIV/0!</v>
      </c>
      <c r="O38" s="3" t="e">
        <f>MROUND((ARTICULOS_MAYORISTA[[#This Row],[Precio]]/0.6),10)</f>
        <v>#DIV/0!</v>
      </c>
      <c r="P38" t="s">
        <v>8693</v>
      </c>
      <c r="Q38">
        <v>2</v>
      </c>
      <c r="R38" s="3">
        <f>ARTICULOS_MAYORISTA[[#This Row],[Bulto]]+ARTICULOS_MAYORISTA[[#This Row],[Minimo]]</f>
        <v>8</v>
      </c>
      <c r="S38" t="s">
        <v>35</v>
      </c>
      <c r="T38" t="s">
        <v>4</v>
      </c>
      <c r="U38" t="s">
        <v>69</v>
      </c>
      <c r="V38" t="s">
        <v>10455</v>
      </c>
      <c r="W38" t="s">
        <v>8692</v>
      </c>
      <c r="X38">
        <v>1</v>
      </c>
      <c r="Y38" s="36">
        <v>0</v>
      </c>
      <c r="Z38" t="s">
        <v>8692</v>
      </c>
      <c r="AB38" s="80" t="e">
        <f>ARTICULOS_MAYORISTA[[#This Row],[Costo]]*ARTICULOS_MAYORISTA[[#This Row],[Pedido]]</f>
        <v>#DIV/0!</v>
      </c>
      <c r="AF38" s="2"/>
      <c r="AH38" s="2" t="str">
        <f>IF(AND(ARTICULOS_MAYORISTA[[#This Row],[FechaVenc]]=0,ARTICULOS_MAYORISTA[[#This Row],[DiasVenc]]=0),"",ARTICULOS_MAYORISTA[[#This Row],[FechaVenc]]-ARTICULOS_MAYORISTA[[#This Row],[DiasVenc]])</f>
        <v/>
      </c>
      <c r="AO38" s="30" t="s">
        <v>8689</v>
      </c>
    </row>
    <row r="39" spans="1:41" hidden="1" x14ac:dyDescent="0.25">
      <c r="A39" s="1" t="s">
        <v>10456</v>
      </c>
      <c r="C39" t="str">
        <f t="shared" si="4"/>
        <v>ALM70410610</v>
      </c>
      <c r="D39" t="s">
        <v>8689</v>
      </c>
      <c r="E39" s="1" t="s">
        <v>10457</v>
      </c>
      <c r="F39" s="61"/>
      <c r="G39" s="3">
        <v>0</v>
      </c>
      <c r="H39" s="4" t="s">
        <v>8690</v>
      </c>
      <c r="I39">
        <v>6</v>
      </c>
      <c r="J39"/>
      <c r="K39">
        <v>0</v>
      </c>
      <c r="L39" s="65" t="e">
        <f>((ARTICULOS_MAYORISTA[[#This Row],[P. Compra]]*(1+ARTICULOS_MAYORISTA[[#This Row],[IVA]]%))/ARTICULOS_MAYORISTA[[#This Row],[UnidFact]])+ARTICULOS_MAYORISTA[[#This Row],[Flete]]</f>
        <v>#DIV/0!</v>
      </c>
      <c r="M39">
        <v>30</v>
      </c>
      <c r="N39" s="63" t="e">
        <f t="shared" si="5"/>
        <v>#DIV/0!</v>
      </c>
      <c r="O39" s="3" t="e">
        <f>MROUND((ARTICULOS_MAYORISTA[[#This Row],[Precio]]/0.6),10)</f>
        <v>#DIV/0!</v>
      </c>
      <c r="P39" t="s">
        <v>8693</v>
      </c>
      <c r="Q39">
        <v>2</v>
      </c>
      <c r="R39" s="3">
        <f>ARTICULOS_MAYORISTA[[#This Row],[Bulto]]+ARTICULOS_MAYORISTA[[#This Row],[Minimo]]</f>
        <v>8</v>
      </c>
      <c r="S39" t="s">
        <v>35</v>
      </c>
      <c r="T39" t="s">
        <v>4</v>
      </c>
      <c r="U39" t="s">
        <v>69</v>
      </c>
      <c r="V39" t="s">
        <v>10455</v>
      </c>
      <c r="W39" t="s">
        <v>8692</v>
      </c>
      <c r="X39">
        <v>1</v>
      </c>
      <c r="Y39" s="36">
        <v>0</v>
      </c>
      <c r="Z39" t="s">
        <v>8692</v>
      </c>
      <c r="AB39" s="80" t="e">
        <f>ARTICULOS_MAYORISTA[[#This Row],[Costo]]*ARTICULOS_MAYORISTA[[#This Row],[Pedido]]</f>
        <v>#DIV/0!</v>
      </c>
      <c r="AF39" s="2"/>
      <c r="AH39" s="2" t="str">
        <f>IF(AND(ARTICULOS_MAYORISTA[[#This Row],[FechaVenc]]=0,ARTICULOS_MAYORISTA[[#This Row],[DiasVenc]]=0),"",ARTICULOS_MAYORISTA[[#This Row],[FechaVenc]]-ARTICULOS_MAYORISTA[[#This Row],[DiasVenc]])</f>
        <v/>
      </c>
      <c r="AO39" s="30" t="s">
        <v>8689</v>
      </c>
    </row>
    <row r="40" spans="1:41" hidden="1" x14ac:dyDescent="0.25">
      <c r="A40" s="1" t="s">
        <v>10458</v>
      </c>
      <c r="C40" t="str">
        <f t="shared" si="4"/>
        <v>ALM70320780</v>
      </c>
      <c r="D40" t="s">
        <v>8689</v>
      </c>
      <c r="E40" s="1" t="s">
        <v>10459</v>
      </c>
      <c r="F40" s="61"/>
      <c r="G40" s="3">
        <v>0</v>
      </c>
      <c r="H40" s="4" t="s">
        <v>8690</v>
      </c>
      <c r="I40">
        <v>6</v>
      </c>
      <c r="J40"/>
      <c r="K40">
        <v>0</v>
      </c>
      <c r="L40" s="65" t="e">
        <f>((ARTICULOS_MAYORISTA[[#This Row],[P. Compra]]*(1+ARTICULOS_MAYORISTA[[#This Row],[IVA]]%))/ARTICULOS_MAYORISTA[[#This Row],[UnidFact]])+ARTICULOS_MAYORISTA[[#This Row],[Flete]]</f>
        <v>#DIV/0!</v>
      </c>
      <c r="M40">
        <v>30</v>
      </c>
      <c r="N40" s="63" t="e">
        <f t="shared" si="5"/>
        <v>#DIV/0!</v>
      </c>
      <c r="O40" s="3" t="e">
        <f>MROUND((ARTICULOS_MAYORISTA[[#This Row],[Precio]]/0.6),10)</f>
        <v>#DIV/0!</v>
      </c>
      <c r="P40" t="s">
        <v>8693</v>
      </c>
      <c r="Q40">
        <v>2</v>
      </c>
      <c r="R40" s="3">
        <f>ARTICULOS_MAYORISTA[[#This Row],[Bulto]]+ARTICULOS_MAYORISTA[[#This Row],[Minimo]]</f>
        <v>8</v>
      </c>
      <c r="S40" t="s">
        <v>35</v>
      </c>
      <c r="T40" t="s">
        <v>4</v>
      </c>
      <c r="U40" t="s">
        <v>69</v>
      </c>
      <c r="V40" t="s">
        <v>10455</v>
      </c>
      <c r="W40" t="s">
        <v>8692</v>
      </c>
      <c r="X40">
        <v>1</v>
      </c>
      <c r="Y40" s="36">
        <v>2</v>
      </c>
      <c r="Z40" t="s">
        <v>8692</v>
      </c>
      <c r="AB40" s="80" t="e">
        <f>ARTICULOS_MAYORISTA[[#This Row],[Costo]]*ARTICULOS_MAYORISTA[[#This Row],[Pedido]]</f>
        <v>#DIV/0!</v>
      </c>
      <c r="AF40" s="2"/>
      <c r="AH40" s="2" t="str">
        <f>IF(AND(ARTICULOS_MAYORISTA[[#This Row],[FechaVenc]]=0,ARTICULOS_MAYORISTA[[#This Row],[DiasVenc]]=0),"",ARTICULOS_MAYORISTA[[#This Row],[FechaVenc]]-ARTICULOS_MAYORISTA[[#This Row],[DiasVenc]])</f>
        <v/>
      </c>
      <c r="AO40" s="30" t="s">
        <v>8689</v>
      </c>
    </row>
    <row r="41" spans="1:41" hidden="1" x14ac:dyDescent="0.25">
      <c r="A41" s="1" t="s">
        <v>10463</v>
      </c>
      <c r="C41" t="str">
        <f t="shared" si="4"/>
        <v>ALM99604075</v>
      </c>
      <c r="D41" t="s">
        <v>8689</v>
      </c>
      <c r="E41" s="24" t="s">
        <v>10464</v>
      </c>
      <c r="F41" s="61"/>
      <c r="G41" s="3">
        <v>0</v>
      </c>
      <c r="H41" s="4" t="s">
        <v>8690</v>
      </c>
      <c r="I41">
        <v>6</v>
      </c>
      <c r="J41"/>
      <c r="K41">
        <v>0</v>
      </c>
      <c r="L41" s="65" t="e">
        <f>((ARTICULOS_MAYORISTA[[#This Row],[P. Compra]]*(1+ARTICULOS_MAYORISTA[[#This Row],[IVA]]%))/ARTICULOS_MAYORISTA[[#This Row],[UnidFact]])+ARTICULOS_MAYORISTA[[#This Row],[Flete]]</f>
        <v>#DIV/0!</v>
      </c>
      <c r="M41">
        <v>30</v>
      </c>
      <c r="N41" s="63" t="e">
        <f t="shared" si="5"/>
        <v>#DIV/0!</v>
      </c>
      <c r="O41" s="3" t="e">
        <f>MROUND((ARTICULOS_MAYORISTA[[#This Row],[Precio]]/0.6),10)</f>
        <v>#DIV/0!</v>
      </c>
      <c r="P41" t="s">
        <v>8693</v>
      </c>
      <c r="Q41">
        <v>2</v>
      </c>
      <c r="R41" s="3">
        <f>ARTICULOS_MAYORISTA[[#This Row],[Bulto]]+ARTICULOS_MAYORISTA[[#This Row],[Minimo]]</f>
        <v>8</v>
      </c>
      <c r="S41" t="s">
        <v>35</v>
      </c>
      <c r="T41" t="s">
        <v>4</v>
      </c>
      <c r="U41" t="s">
        <v>69</v>
      </c>
      <c r="V41" t="s">
        <v>8729</v>
      </c>
      <c r="W41" t="s">
        <v>8692</v>
      </c>
      <c r="X41">
        <v>1</v>
      </c>
      <c r="Y41" s="36">
        <v>0</v>
      </c>
      <c r="Z41" t="s">
        <v>8692</v>
      </c>
      <c r="AB41" s="80" t="e">
        <f>ARTICULOS_MAYORISTA[[#This Row],[Costo]]*ARTICULOS_MAYORISTA[[#This Row],[Pedido]]</f>
        <v>#DIV/0!</v>
      </c>
      <c r="AF41" s="2"/>
      <c r="AH41" s="2" t="str">
        <f>IF(AND(ARTICULOS_MAYORISTA[[#This Row],[FechaVenc]]=0,ARTICULOS_MAYORISTA[[#This Row],[DiasVenc]]=0),"",ARTICULOS_MAYORISTA[[#This Row],[FechaVenc]]-ARTICULOS_MAYORISTA[[#This Row],[DiasVenc]])</f>
        <v/>
      </c>
      <c r="AO41" s="30" t="s">
        <v>8689</v>
      </c>
    </row>
    <row r="42" spans="1:41" hidden="1" x14ac:dyDescent="0.25">
      <c r="A42" s="1" t="s">
        <v>10465</v>
      </c>
      <c r="C42" t="str">
        <f t="shared" si="4"/>
        <v>ALM99000020</v>
      </c>
      <c r="D42" t="s">
        <v>8689</v>
      </c>
      <c r="E42" s="24" t="s">
        <v>10466</v>
      </c>
      <c r="F42" s="61"/>
      <c r="G42" s="3">
        <v>0</v>
      </c>
      <c r="H42" s="4" t="s">
        <v>8690</v>
      </c>
      <c r="I42">
        <v>6</v>
      </c>
      <c r="J42"/>
      <c r="K42">
        <v>0</v>
      </c>
      <c r="L42" s="65" t="e">
        <f>((ARTICULOS_MAYORISTA[[#This Row],[P. Compra]]*(1+ARTICULOS_MAYORISTA[[#This Row],[IVA]]%))/ARTICULOS_MAYORISTA[[#This Row],[UnidFact]])+ARTICULOS_MAYORISTA[[#This Row],[Flete]]</f>
        <v>#DIV/0!</v>
      </c>
      <c r="M42">
        <v>30</v>
      </c>
      <c r="N42" s="63" t="e">
        <f t="shared" si="5"/>
        <v>#DIV/0!</v>
      </c>
      <c r="O42" s="3" t="e">
        <f>MROUND((ARTICULOS_MAYORISTA[[#This Row],[Precio]]/0.6),10)</f>
        <v>#DIV/0!</v>
      </c>
      <c r="P42" t="s">
        <v>8693</v>
      </c>
      <c r="Q42">
        <v>2</v>
      </c>
      <c r="R42" s="3">
        <f>ARTICULOS_MAYORISTA[[#This Row],[Bulto]]+ARTICULOS_MAYORISTA[[#This Row],[Minimo]]</f>
        <v>8</v>
      </c>
      <c r="S42" t="s">
        <v>35</v>
      </c>
      <c r="T42" t="s">
        <v>4</v>
      </c>
      <c r="U42" t="s">
        <v>69</v>
      </c>
      <c r="V42" t="s">
        <v>8729</v>
      </c>
      <c r="W42" t="s">
        <v>8692</v>
      </c>
      <c r="X42">
        <v>1</v>
      </c>
      <c r="Y42" s="36">
        <v>0</v>
      </c>
      <c r="Z42" t="s">
        <v>8692</v>
      </c>
      <c r="AB42" s="80" t="e">
        <f>ARTICULOS_MAYORISTA[[#This Row],[Costo]]*ARTICULOS_MAYORISTA[[#This Row],[Pedido]]</f>
        <v>#DIV/0!</v>
      </c>
      <c r="AF42" s="2"/>
      <c r="AH42" s="2" t="str">
        <f>IF(AND(ARTICULOS_MAYORISTA[[#This Row],[FechaVenc]]=0,ARTICULOS_MAYORISTA[[#This Row],[DiasVenc]]=0),"",ARTICULOS_MAYORISTA[[#This Row],[FechaVenc]]-ARTICULOS_MAYORISTA[[#This Row],[DiasVenc]])</f>
        <v/>
      </c>
      <c r="AO42" s="30" t="s">
        <v>8689</v>
      </c>
    </row>
    <row r="43" spans="1:41" hidden="1" x14ac:dyDescent="0.25">
      <c r="A43" s="1" t="s">
        <v>10467</v>
      </c>
      <c r="C43" t="str">
        <f t="shared" si="4"/>
        <v>ALM99603856</v>
      </c>
      <c r="D43" t="s">
        <v>8689</v>
      </c>
      <c r="E43" s="24" t="s">
        <v>10468</v>
      </c>
      <c r="F43" s="61"/>
      <c r="G43" s="3">
        <v>0</v>
      </c>
      <c r="H43" s="4" t="s">
        <v>8690</v>
      </c>
      <c r="I43">
        <v>6</v>
      </c>
      <c r="J43"/>
      <c r="K43">
        <v>0</v>
      </c>
      <c r="L43" s="65" t="e">
        <f>((ARTICULOS_MAYORISTA[[#This Row],[P. Compra]]*(1+ARTICULOS_MAYORISTA[[#This Row],[IVA]]%))/ARTICULOS_MAYORISTA[[#This Row],[UnidFact]])+ARTICULOS_MAYORISTA[[#This Row],[Flete]]</f>
        <v>#DIV/0!</v>
      </c>
      <c r="M43">
        <v>30</v>
      </c>
      <c r="N43" s="63" t="e">
        <f t="shared" si="5"/>
        <v>#DIV/0!</v>
      </c>
      <c r="O43" s="3" t="e">
        <f>MROUND((ARTICULOS_MAYORISTA[[#This Row],[Precio]]/0.6),10)</f>
        <v>#DIV/0!</v>
      </c>
      <c r="P43" t="s">
        <v>8693</v>
      </c>
      <c r="Q43">
        <v>2</v>
      </c>
      <c r="R43" s="3">
        <f>ARTICULOS_MAYORISTA[[#This Row],[Bulto]]+ARTICULOS_MAYORISTA[[#This Row],[Minimo]]</f>
        <v>8</v>
      </c>
      <c r="S43" t="s">
        <v>35</v>
      </c>
      <c r="T43" t="s">
        <v>4</v>
      </c>
      <c r="U43" t="s">
        <v>69</v>
      </c>
      <c r="V43" t="s">
        <v>8729</v>
      </c>
      <c r="W43" t="s">
        <v>8692</v>
      </c>
      <c r="X43">
        <v>1</v>
      </c>
      <c r="Y43" s="36">
        <v>0</v>
      </c>
      <c r="Z43" t="s">
        <v>8692</v>
      </c>
      <c r="AB43" s="80" t="e">
        <f>ARTICULOS_MAYORISTA[[#This Row],[Costo]]*ARTICULOS_MAYORISTA[[#This Row],[Pedido]]</f>
        <v>#DIV/0!</v>
      </c>
      <c r="AF43" s="2"/>
      <c r="AH43" s="2" t="str">
        <f>IF(AND(ARTICULOS_MAYORISTA[[#This Row],[FechaVenc]]=0,ARTICULOS_MAYORISTA[[#This Row],[DiasVenc]]=0),"",ARTICULOS_MAYORISTA[[#This Row],[FechaVenc]]-ARTICULOS_MAYORISTA[[#This Row],[DiasVenc]])</f>
        <v/>
      </c>
      <c r="AO43" s="30" t="s">
        <v>8689</v>
      </c>
    </row>
    <row r="44" spans="1:41" hidden="1" x14ac:dyDescent="0.25">
      <c r="A44" s="24" t="s">
        <v>10469</v>
      </c>
      <c r="C44" t="str">
        <f t="shared" si="4"/>
        <v>ALM99604273</v>
      </c>
      <c r="D44" t="s">
        <v>8689</v>
      </c>
      <c r="E44" s="24" t="s">
        <v>10470</v>
      </c>
      <c r="F44" s="61"/>
      <c r="G44" s="3">
        <v>0</v>
      </c>
      <c r="H44" s="4" t="s">
        <v>8690</v>
      </c>
      <c r="I44">
        <v>6</v>
      </c>
      <c r="J44"/>
      <c r="K44">
        <v>0</v>
      </c>
      <c r="L44" s="65" t="e">
        <f>((ARTICULOS_MAYORISTA[[#This Row],[P. Compra]]*(1+ARTICULOS_MAYORISTA[[#This Row],[IVA]]%))/ARTICULOS_MAYORISTA[[#This Row],[UnidFact]])+ARTICULOS_MAYORISTA[[#This Row],[Flete]]</f>
        <v>#DIV/0!</v>
      </c>
      <c r="M44">
        <v>30</v>
      </c>
      <c r="N44" s="63" t="e">
        <f t="shared" si="5"/>
        <v>#DIV/0!</v>
      </c>
      <c r="O44" s="3" t="e">
        <f>MROUND((ARTICULOS_MAYORISTA[[#This Row],[Precio]]/0.6),10)</f>
        <v>#DIV/0!</v>
      </c>
      <c r="P44" t="s">
        <v>8693</v>
      </c>
      <c r="Q44">
        <v>2</v>
      </c>
      <c r="R44" s="3">
        <f>ARTICULOS_MAYORISTA[[#This Row],[Bulto]]+ARTICULOS_MAYORISTA[[#This Row],[Minimo]]</f>
        <v>8</v>
      </c>
      <c r="S44" t="s">
        <v>35</v>
      </c>
      <c r="T44" t="s">
        <v>4</v>
      </c>
      <c r="U44" t="s">
        <v>69</v>
      </c>
      <c r="V44" t="s">
        <v>8729</v>
      </c>
      <c r="W44" t="s">
        <v>8692</v>
      </c>
      <c r="X44">
        <v>1</v>
      </c>
      <c r="Y44" s="36">
        <v>0</v>
      </c>
      <c r="Z44" t="s">
        <v>8692</v>
      </c>
      <c r="AB44" s="80" t="e">
        <f>ARTICULOS_MAYORISTA[[#This Row],[Costo]]*ARTICULOS_MAYORISTA[[#This Row],[Pedido]]</f>
        <v>#DIV/0!</v>
      </c>
      <c r="AF44" s="2"/>
      <c r="AH44" s="2" t="str">
        <f>IF(AND(ARTICULOS_MAYORISTA[[#This Row],[FechaVenc]]=0,ARTICULOS_MAYORISTA[[#This Row],[DiasVenc]]=0),"",ARTICULOS_MAYORISTA[[#This Row],[FechaVenc]]-ARTICULOS_MAYORISTA[[#This Row],[DiasVenc]])</f>
        <v/>
      </c>
      <c r="AO44" s="30" t="s">
        <v>8689</v>
      </c>
    </row>
    <row r="45" spans="1:41" hidden="1" x14ac:dyDescent="0.25">
      <c r="A45" s="1" t="s">
        <v>10471</v>
      </c>
      <c r="C45" t="str">
        <f t="shared" si="4"/>
        <v>ALM99602910</v>
      </c>
      <c r="D45" t="s">
        <v>8689</v>
      </c>
      <c r="E45" s="1" t="s">
        <v>10472</v>
      </c>
      <c r="F45" s="61"/>
      <c r="G45" s="3">
        <v>0</v>
      </c>
      <c r="H45" s="4" t="s">
        <v>8690</v>
      </c>
      <c r="I45">
        <v>6</v>
      </c>
      <c r="J45"/>
      <c r="K45">
        <v>0</v>
      </c>
      <c r="L45" s="65" t="e">
        <f>((ARTICULOS_MAYORISTA[[#This Row],[P. Compra]]*(1+ARTICULOS_MAYORISTA[[#This Row],[IVA]]%))/ARTICULOS_MAYORISTA[[#This Row],[UnidFact]])+ARTICULOS_MAYORISTA[[#This Row],[Flete]]</f>
        <v>#DIV/0!</v>
      </c>
      <c r="M45">
        <v>30</v>
      </c>
      <c r="N45" s="63" t="e">
        <f t="shared" si="5"/>
        <v>#DIV/0!</v>
      </c>
      <c r="O45" s="3" t="e">
        <f>MROUND((ARTICULOS_MAYORISTA[[#This Row],[Precio]]/0.6),10)</f>
        <v>#DIV/0!</v>
      </c>
      <c r="P45" t="s">
        <v>8693</v>
      </c>
      <c r="Q45">
        <v>2</v>
      </c>
      <c r="R45" s="3">
        <f>ARTICULOS_MAYORISTA[[#This Row],[Bulto]]+ARTICULOS_MAYORISTA[[#This Row],[Minimo]]</f>
        <v>8</v>
      </c>
      <c r="S45" t="s">
        <v>35</v>
      </c>
      <c r="T45" t="s">
        <v>4</v>
      </c>
      <c r="U45" t="s">
        <v>69</v>
      </c>
      <c r="V45" t="s">
        <v>8729</v>
      </c>
      <c r="W45" t="s">
        <v>8692</v>
      </c>
      <c r="X45">
        <v>1</v>
      </c>
      <c r="Y45" s="36">
        <v>0</v>
      </c>
      <c r="Z45" t="s">
        <v>8692</v>
      </c>
      <c r="AB45" s="80" t="e">
        <f>ARTICULOS_MAYORISTA[[#This Row],[Costo]]*ARTICULOS_MAYORISTA[[#This Row],[Pedido]]</f>
        <v>#DIV/0!</v>
      </c>
      <c r="AF45" s="2"/>
      <c r="AH45" s="2" t="str">
        <f>IF(AND(ARTICULOS_MAYORISTA[[#This Row],[FechaVenc]]=0,ARTICULOS_MAYORISTA[[#This Row],[DiasVenc]]=0),"",ARTICULOS_MAYORISTA[[#This Row],[FechaVenc]]-ARTICULOS_MAYORISTA[[#This Row],[DiasVenc]])</f>
        <v/>
      </c>
      <c r="AO45" s="30" t="s">
        <v>8689</v>
      </c>
    </row>
    <row r="46" spans="1:41" hidden="1" x14ac:dyDescent="0.25">
      <c r="A46" s="1" t="s">
        <v>10473</v>
      </c>
      <c r="C46" t="str">
        <f t="shared" si="4"/>
        <v>ALM99603177</v>
      </c>
      <c r="D46" t="s">
        <v>8689</v>
      </c>
      <c r="E46" s="24" t="s">
        <v>10474</v>
      </c>
      <c r="F46" s="61"/>
      <c r="G46" s="3">
        <v>0</v>
      </c>
      <c r="H46" s="4" t="s">
        <v>8690</v>
      </c>
      <c r="I46">
        <v>6</v>
      </c>
      <c r="J46"/>
      <c r="K46">
        <v>0</v>
      </c>
      <c r="L46" s="65" t="e">
        <f>((ARTICULOS_MAYORISTA[[#This Row],[P. Compra]]*(1+ARTICULOS_MAYORISTA[[#This Row],[IVA]]%))/ARTICULOS_MAYORISTA[[#This Row],[UnidFact]])+ARTICULOS_MAYORISTA[[#This Row],[Flete]]</f>
        <v>#DIV/0!</v>
      </c>
      <c r="M46">
        <v>30</v>
      </c>
      <c r="N46" s="63" t="e">
        <f t="shared" si="5"/>
        <v>#DIV/0!</v>
      </c>
      <c r="O46" s="3" t="e">
        <f>MROUND((ARTICULOS_MAYORISTA[[#This Row],[Precio]]/0.6),10)</f>
        <v>#DIV/0!</v>
      </c>
      <c r="P46" t="s">
        <v>8693</v>
      </c>
      <c r="Q46">
        <v>2</v>
      </c>
      <c r="R46" s="3">
        <f>ARTICULOS_MAYORISTA[[#This Row],[Bulto]]+ARTICULOS_MAYORISTA[[#This Row],[Minimo]]</f>
        <v>8</v>
      </c>
      <c r="S46" t="s">
        <v>35</v>
      </c>
      <c r="T46" t="s">
        <v>4</v>
      </c>
      <c r="U46" t="s">
        <v>69</v>
      </c>
      <c r="V46" t="s">
        <v>8729</v>
      </c>
      <c r="W46" t="s">
        <v>8692</v>
      </c>
      <c r="X46">
        <v>1</v>
      </c>
      <c r="Y46" s="36">
        <v>0</v>
      </c>
      <c r="Z46" t="s">
        <v>8692</v>
      </c>
      <c r="AB46" s="80" t="e">
        <f>ARTICULOS_MAYORISTA[[#This Row],[Costo]]*ARTICULOS_MAYORISTA[[#This Row],[Pedido]]</f>
        <v>#DIV/0!</v>
      </c>
      <c r="AF46" s="2"/>
      <c r="AH46" s="2" t="str">
        <f>IF(AND(ARTICULOS_MAYORISTA[[#This Row],[FechaVenc]]=0,ARTICULOS_MAYORISTA[[#This Row],[DiasVenc]]=0),"",ARTICULOS_MAYORISTA[[#This Row],[FechaVenc]]-ARTICULOS_MAYORISTA[[#This Row],[DiasVenc]])</f>
        <v/>
      </c>
      <c r="AO46" s="30" t="s">
        <v>8689</v>
      </c>
    </row>
    <row r="47" spans="1:41" hidden="1" x14ac:dyDescent="0.25">
      <c r="A47" s="1" t="s">
        <v>11844</v>
      </c>
      <c r="C47" t="str">
        <f t="shared" si="4"/>
        <v>PER50097495</v>
      </c>
      <c r="D47" t="s">
        <v>8689</v>
      </c>
      <c r="E47" s="1" t="s">
        <v>11845</v>
      </c>
      <c r="F47" s="61"/>
      <c r="G47" s="3">
        <v>0</v>
      </c>
      <c r="H47" s="4" t="s">
        <v>8690</v>
      </c>
      <c r="I47">
        <v>6</v>
      </c>
      <c r="J47"/>
      <c r="K47">
        <v>0</v>
      </c>
      <c r="L47" s="65" t="e">
        <f>((ARTICULOS_MAYORISTA[[#This Row],[P. Compra]]*(1+ARTICULOS_MAYORISTA[[#This Row],[IVA]]%))/ARTICULOS_MAYORISTA[[#This Row],[UnidFact]])+ARTICULOS_MAYORISTA[[#This Row],[Flete]]</f>
        <v>#DIV/0!</v>
      </c>
      <c r="M47">
        <v>30</v>
      </c>
      <c r="N47" s="63" t="e">
        <f t="shared" si="5"/>
        <v>#DIV/0!</v>
      </c>
      <c r="O47" s="3" t="e">
        <f>MROUND((ARTICULOS_MAYORISTA[[#This Row],[Precio]]/0.6),10)</f>
        <v>#DIV/0!</v>
      </c>
      <c r="P47" s="3" t="s">
        <v>8693</v>
      </c>
      <c r="Q47">
        <v>2</v>
      </c>
      <c r="R47" s="23">
        <f>ARTICULOS_MAYORISTA[[#This Row],[Bulto]]+ARTICULOS_MAYORISTA[[#This Row],[Minimo]]</f>
        <v>8</v>
      </c>
      <c r="S47" t="s">
        <v>35</v>
      </c>
      <c r="T47" t="s">
        <v>33</v>
      </c>
      <c r="U47" t="s">
        <v>71</v>
      </c>
      <c r="V47" t="s">
        <v>10603</v>
      </c>
      <c r="W47" t="s">
        <v>8692</v>
      </c>
      <c r="X47">
        <v>1</v>
      </c>
      <c r="Y47" s="37">
        <v>0</v>
      </c>
      <c r="Z47"/>
      <c r="AB47" s="80" t="e">
        <f>ARTICULOS_MAYORISTA[[#This Row],[Costo]]*ARTICULOS_MAYORISTA[[#This Row],[Pedido]]</f>
        <v>#DIV/0!</v>
      </c>
      <c r="AF47" s="2"/>
      <c r="AH47" s="2" t="str">
        <f>IF(AND(ARTICULOS_MAYORISTA[[#This Row],[FechaVenc]]=0,ARTICULOS_MAYORISTA[[#This Row],[DiasVenc]]=0),"",ARTICULOS_MAYORISTA[[#This Row],[FechaVenc]]-ARTICULOS_MAYORISTA[[#This Row],[DiasVenc]])</f>
        <v/>
      </c>
      <c r="AO47" s="30" t="s">
        <v>8689</v>
      </c>
    </row>
    <row r="48" spans="1:41" hidden="1" x14ac:dyDescent="0.25">
      <c r="A48" s="24" t="s">
        <v>12068</v>
      </c>
      <c r="C48" t="str">
        <f t="shared" si="4"/>
        <v>PER40216144</v>
      </c>
      <c r="D48" t="s">
        <v>8689</v>
      </c>
      <c r="E48" s="24" t="s">
        <v>12070</v>
      </c>
      <c r="F48" s="61"/>
      <c r="G48" s="31">
        <v>0</v>
      </c>
      <c r="H48" s="31" t="s">
        <v>8690</v>
      </c>
      <c r="I48" s="4">
        <v>6</v>
      </c>
      <c r="J48"/>
      <c r="K48">
        <v>0</v>
      </c>
      <c r="L48" s="99" t="e">
        <f>((ARTICULOS_MAYORISTA[[#This Row],[P. Compra]]*(1+ARTICULOS_MAYORISTA[[#This Row],[IVA]]%))/ARTICULOS_MAYORISTA[[#This Row],[UnidFact]])+ARTICULOS_MAYORISTA[[#This Row],[Flete]]</f>
        <v>#DIV/0!</v>
      </c>
      <c r="M48" s="4">
        <v>30</v>
      </c>
      <c r="N48" s="103" t="e">
        <f t="shared" si="5"/>
        <v>#DIV/0!</v>
      </c>
      <c r="O48" s="23" t="e">
        <f>MROUND((ARTICULOS_MAYORISTA[[#This Row],[Precio]]/0.6),10)</f>
        <v>#DIV/0!</v>
      </c>
      <c r="P48" s="3" t="s">
        <v>8693</v>
      </c>
      <c r="Q48" s="3">
        <v>2</v>
      </c>
      <c r="R48" s="23">
        <f>ARTICULOS_MAYORISTA[[#This Row],[Bulto]]+ARTICULOS_MAYORISTA[[#This Row],[Minimo]]</f>
        <v>8</v>
      </c>
      <c r="S48" t="s">
        <v>35</v>
      </c>
      <c r="T48" t="s">
        <v>33</v>
      </c>
      <c r="U48" t="s">
        <v>71</v>
      </c>
      <c r="V48" s="30" t="s">
        <v>12067</v>
      </c>
      <c r="W48" t="s">
        <v>8692</v>
      </c>
      <c r="X48">
        <v>1</v>
      </c>
      <c r="Y48" s="37">
        <v>0</v>
      </c>
      <c r="Z48"/>
      <c r="AB48" s="80" t="e">
        <f>ARTICULOS_MAYORISTA[[#This Row],[Costo]]*ARTICULOS_MAYORISTA[[#This Row],[Pedido]]</f>
        <v>#DIV/0!</v>
      </c>
      <c r="AF48" s="2"/>
      <c r="AH48" s="2" t="str">
        <f>IF(AND(ARTICULOS_MAYORISTA[[#This Row],[FechaVenc]]=0,ARTICULOS_MAYORISTA[[#This Row],[DiasVenc]]=0),"",ARTICULOS_MAYORISTA[[#This Row],[FechaVenc]]-ARTICULOS_MAYORISTA[[#This Row],[DiasVenc]])</f>
        <v/>
      </c>
      <c r="AO48" s="30" t="s">
        <v>8689</v>
      </c>
    </row>
    <row r="49" spans="1:41" hidden="1" x14ac:dyDescent="0.25">
      <c r="A49" s="24" t="s">
        <v>12069</v>
      </c>
      <c r="C49" t="str">
        <f t="shared" si="4"/>
        <v>PER40216151</v>
      </c>
      <c r="D49" t="s">
        <v>8689</v>
      </c>
      <c r="E49" s="24" t="s">
        <v>12071</v>
      </c>
      <c r="F49" s="61"/>
      <c r="G49" s="46">
        <v>0</v>
      </c>
      <c r="H49" s="46" t="s">
        <v>8690</v>
      </c>
      <c r="I49" s="8">
        <v>6</v>
      </c>
      <c r="J49"/>
      <c r="K49">
        <v>0</v>
      </c>
      <c r="L49" s="99" t="e">
        <f>((ARTICULOS_MAYORISTA[[#This Row],[P. Compra]]*(1+ARTICULOS_MAYORISTA[[#This Row],[IVA]]%))/ARTICULOS_MAYORISTA[[#This Row],[UnidFact]])+ARTICULOS_MAYORISTA[[#This Row],[Flete]]</f>
        <v>#DIV/0!</v>
      </c>
      <c r="M49" s="8">
        <v>30</v>
      </c>
      <c r="N49" s="103" t="e">
        <f t="shared" si="5"/>
        <v>#DIV/0!</v>
      </c>
      <c r="O49" s="51" t="e">
        <f>MROUND((ARTICULOS_MAYORISTA[[#This Row],[Precio]]/0.6),10)</f>
        <v>#DIV/0!</v>
      </c>
      <c r="P49" s="7" t="s">
        <v>8693</v>
      </c>
      <c r="Q49" s="7">
        <v>2</v>
      </c>
      <c r="R49" s="51">
        <f>ARTICULOS_MAYORISTA[[#This Row],[Bulto]]+ARTICULOS_MAYORISTA[[#This Row],[Minimo]]</f>
        <v>8</v>
      </c>
      <c r="S49" t="s">
        <v>35</v>
      </c>
      <c r="T49" t="s">
        <v>33</v>
      </c>
      <c r="U49" t="s">
        <v>71</v>
      </c>
      <c r="V49" s="30" t="s">
        <v>12067</v>
      </c>
      <c r="W49" t="s">
        <v>8692</v>
      </c>
      <c r="X49">
        <v>1</v>
      </c>
      <c r="Y49" s="73">
        <v>0</v>
      </c>
      <c r="Z49"/>
      <c r="AB49" s="80" t="e">
        <f>ARTICULOS_MAYORISTA[[#This Row],[Costo]]*ARTICULOS_MAYORISTA[[#This Row],[Pedido]]</f>
        <v>#DIV/0!</v>
      </c>
      <c r="AF49" s="2"/>
      <c r="AH49" s="2" t="str">
        <f>IF(AND(ARTICULOS_MAYORISTA[[#This Row],[FechaVenc]]=0,ARTICULOS_MAYORISTA[[#This Row],[DiasVenc]]=0),"",ARTICULOS_MAYORISTA[[#This Row],[FechaVenc]]-ARTICULOS_MAYORISTA[[#This Row],[DiasVenc]])</f>
        <v/>
      </c>
      <c r="AO49" s="30" t="s">
        <v>8689</v>
      </c>
    </row>
    <row r="50" spans="1:41" hidden="1" x14ac:dyDescent="0.25">
      <c r="A50" s="1" t="s">
        <v>10601</v>
      </c>
      <c r="C50" t="str">
        <f t="shared" si="4"/>
        <v>PER50097426</v>
      </c>
      <c r="D50" t="s">
        <v>8689</v>
      </c>
      <c r="E50" s="1" t="s">
        <v>10602</v>
      </c>
      <c r="F50" s="61"/>
      <c r="G50" s="3">
        <v>0</v>
      </c>
      <c r="H50" s="4" t="s">
        <v>8690</v>
      </c>
      <c r="I50">
        <v>6</v>
      </c>
      <c r="J50"/>
      <c r="K50">
        <v>0</v>
      </c>
      <c r="L50" s="65" t="e">
        <f>((ARTICULOS_MAYORISTA[[#This Row],[P. Compra]]*(1+ARTICULOS_MAYORISTA[[#This Row],[IVA]]%))/ARTICULOS_MAYORISTA[[#This Row],[UnidFact]])+ARTICULOS_MAYORISTA[[#This Row],[Flete]]</f>
        <v>#DIV/0!</v>
      </c>
      <c r="M50">
        <v>30</v>
      </c>
      <c r="N50" s="63" t="e">
        <f t="shared" si="5"/>
        <v>#DIV/0!</v>
      </c>
      <c r="O50" s="3" t="e">
        <f>MROUND((ARTICULOS_MAYORISTA[[#This Row],[Precio]]/0.6),10)</f>
        <v>#DIV/0!</v>
      </c>
      <c r="P50" t="s">
        <v>8693</v>
      </c>
      <c r="Q50">
        <v>2</v>
      </c>
      <c r="R50" s="3">
        <f>ARTICULOS_MAYORISTA[[#This Row],[Bulto]]+ARTICULOS_MAYORISTA[[#This Row],[Minimo]]</f>
        <v>8</v>
      </c>
      <c r="S50" t="s">
        <v>35</v>
      </c>
      <c r="T50" t="s">
        <v>33</v>
      </c>
      <c r="U50" t="s">
        <v>71</v>
      </c>
      <c r="V50" t="s">
        <v>10603</v>
      </c>
      <c r="W50" t="s">
        <v>8692</v>
      </c>
      <c r="X50">
        <v>1</v>
      </c>
      <c r="Y50" s="36">
        <v>0</v>
      </c>
      <c r="Z50"/>
      <c r="AB50" s="80" t="e">
        <f>ARTICULOS_MAYORISTA[[#This Row],[Costo]]*ARTICULOS_MAYORISTA[[#This Row],[Pedido]]</f>
        <v>#DIV/0!</v>
      </c>
      <c r="AF50" s="2"/>
      <c r="AH50" s="2" t="str">
        <f>IF(AND(ARTICULOS_MAYORISTA[[#This Row],[FechaVenc]]=0,ARTICULOS_MAYORISTA[[#This Row],[DiasVenc]]=0),"",ARTICULOS_MAYORISTA[[#This Row],[FechaVenc]]-ARTICULOS_MAYORISTA[[#This Row],[DiasVenc]])</f>
        <v/>
      </c>
      <c r="AO50" s="30" t="s">
        <v>8689</v>
      </c>
    </row>
    <row r="51" spans="1:41" hidden="1" x14ac:dyDescent="0.25">
      <c r="A51" s="1" t="s">
        <v>10604</v>
      </c>
      <c r="C51" t="str">
        <f t="shared" si="4"/>
        <v>PER50097433</v>
      </c>
      <c r="D51" t="s">
        <v>8689</v>
      </c>
      <c r="E51" s="1" t="s">
        <v>10605</v>
      </c>
      <c r="F51" s="61"/>
      <c r="G51" s="3">
        <v>0</v>
      </c>
      <c r="H51" s="4" t="s">
        <v>8690</v>
      </c>
      <c r="I51">
        <v>6</v>
      </c>
      <c r="J51"/>
      <c r="K51">
        <v>0</v>
      </c>
      <c r="L51" s="65" t="e">
        <f>((ARTICULOS_MAYORISTA[[#This Row],[P. Compra]]*(1+ARTICULOS_MAYORISTA[[#This Row],[IVA]]%))/ARTICULOS_MAYORISTA[[#This Row],[UnidFact]])+ARTICULOS_MAYORISTA[[#This Row],[Flete]]</f>
        <v>#DIV/0!</v>
      </c>
      <c r="M51">
        <v>30</v>
      </c>
      <c r="N51" s="63" t="e">
        <f t="shared" si="5"/>
        <v>#DIV/0!</v>
      </c>
      <c r="O51" s="3" t="e">
        <f>MROUND((ARTICULOS_MAYORISTA[[#This Row],[Precio]]/0.6),10)</f>
        <v>#DIV/0!</v>
      </c>
      <c r="P51" t="s">
        <v>8693</v>
      </c>
      <c r="Q51">
        <v>2</v>
      </c>
      <c r="R51" s="3">
        <f>ARTICULOS_MAYORISTA[[#This Row],[Bulto]]+ARTICULOS_MAYORISTA[[#This Row],[Minimo]]</f>
        <v>8</v>
      </c>
      <c r="S51" t="s">
        <v>35</v>
      </c>
      <c r="T51" t="s">
        <v>33</v>
      </c>
      <c r="U51" t="s">
        <v>71</v>
      </c>
      <c r="V51" t="s">
        <v>10603</v>
      </c>
      <c r="W51" t="s">
        <v>8692</v>
      </c>
      <c r="X51">
        <v>1</v>
      </c>
      <c r="Y51" s="36">
        <v>0</v>
      </c>
      <c r="Z51"/>
      <c r="AB51" s="80" t="e">
        <f>ARTICULOS_MAYORISTA[[#This Row],[Costo]]*ARTICULOS_MAYORISTA[[#This Row],[Pedido]]</f>
        <v>#DIV/0!</v>
      </c>
      <c r="AF51" s="2"/>
      <c r="AH51" s="2" t="str">
        <f>IF(AND(ARTICULOS_MAYORISTA[[#This Row],[FechaVenc]]=0,ARTICULOS_MAYORISTA[[#This Row],[DiasVenc]]=0),"",ARTICULOS_MAYORISTA[[#This Row],[FechaVenc]]-ARTICULOS_MAYORISTA[[#This Row],[DiasVenc]])</f>
        <v/>
      </c>
      <c r="AO51" s="30" t="s">
        <v>8689</v>
      </c>
    </row>
    <row r="52" spans="1:41" hidden="1" x14ac:dyDescent="0.25">
      <c r="A52" s="1" t="s">
        <v>10606</v>
      </c>
      <c r="C52" t="str">
        <f t="shared" si="4"/>
        <v>PER50097464</v>
      </c>
      <c r="D52" t="s">
        <v>8689</v>
      </c>
      <c r="E52" s="1" t="s">
        <v>10607</v>
      </c>
      <c r="F52" s="61"/>
      <c r="G52" s="3">
        <v>0</v>
      </c>
      <c r="H52" s="4" t="s">
        <v>8690</v>
      </c>
      <c r="I52">
        <v>6</v>
      </c>
      <c r="J52"/>
      <c r="K52">
        <v>0</v>
      </c>
      <c r="L52" s="65" t="e">
        <f>((ARTICULOS_MAYORISTA[[#This Row],[P. Compra]]*(1+ARTICULOS_MAYORISTA[[#This Row],[IVA]]%))/ARTICULOS_MAYORISTA[[#This Row],[UnidFact]])+ARTICULOS_MAYORISTA[[#This Row],[Flete]]</f>
        <v>#DIV/0!</v>
      </c>
      <c r="M52">
        <v>30</v>
      </c>
      <c r="N52" s="63" t="e">
        <f t="shared" si="5"/>
        <v>#DIV/0!</v>
      </c>
      <c r="O52" s="3" t="e">
        <f>MROUND((ARTICULOS_MAYORISTA[[#This Row],[Precio]]/0.6),10)</f>
        <v>#DIV/0!</v>
      </c>
      <c r="P52" t="s">
        <v>8693</v>
      </c>
      <c r="Q52">
        <v>2</v>
      </c>
      <c r="R52" s="3">
        <f>ARTICULOS_MAYORISTA[[#This Row],[Bulto]]+ARTICULOS_MAYORISTA[[#This Row],[Minimo]]</f>
        <v>8</v>
      </c>
      <c r="S52" t="s">
        <v>35</v>
      </c>
      <c r="T52" t="s">
        <v>33</v>
      </c>
      <c r="U52" t="s">
        <v>71</v>
      </c>
      <c r="V52" t="s">
        <v>10603</v>
      </c>
      <c r="W52" t="s">
        <v>8692</v>
      </c>
      <c r="X52">
        <v>1</v>
      </c>
      <c r="Y52" s="36">
        <v>0</v>
      </c>
      <c r="Z52"/>
      <c r="AB52" s="80" t="e">
        <f>ARTICULOS_MAYORISTA[[#This Row],[Costo]]*ARTICULOS_MAYORISTA[[#This Row],[Pedido]]</f>
        <v>#DIV/0!</v>
      </c>
      <c r="AF52" s="2"/>
      <c r="AH52" s="2" t="str">
        <f>IF(AND(ARTICULOS_MAYORISTA[[#This Row],[FechaVenc]]=0,ARTICULOS_MAYORISTA[[#This Row],[DiasVenc]]=0),"",ARTICULOS_MAYORISTA[[#This Row],[FechaVenc]]-ARTICULOS_MAYORISTA[[#This Row],[DiasVenc]])</f>
        <v/>
      </c>
      <c r="AO52" s="30" t="s">
        <v>8689</v>
      </c>
    </row>
    <row r="53" spans="1:41" hidden="1" x14ac:dyDescent="0.25">
      <c r="A53" s="1" t="s">
        <v>10635</v>
      </c>
      <c r="C53" t="str">
        <f t="shared" si="4"/>
        <v>PER35189453</v>
      </c>
      <c r="D53" t="s">
        <v>8689</v>
      </c>
      <c r="E53" s="1" t="s">
        <v>10636</v>
      </c>
      <c r="F53" s="61"/>
      <c r="G53" s="3">
        <v>0</v>
      </c>
      <c r="H53" s="4" t="s">
        <v>8690</v>
      </c>
      <c r="I53">
        <v>6</v>
      </c>
      <c r="J53"/>
      <c r="K53">
        <v>0</v>
      </c>
      <c r="L53" s="65" t="e">
        <f>((ARTICULOS_MAYORISTA[[#This Row],[P. Compra]]*(1+ARTICULOS_MAYORISTA[[#This Row],[IVA]]%))/ARTICULOS_MAYORISTA[[#This Row],[UnidFact]])+ARTICULOS_MAYORISTA[[#This Row],[Flete]]</f>
        <v>#DIV/0!</v>
      </c>
      <c r="M53">
        <v>30</v>
      </c>
      <c r="N53" s="63" t="e">
        <f t="shared" si="5"/>
        <v>#DIV/0!</v>
      </c>
      <c r="O53" s="3" t="e">
        <f>MROUND((ARTICULOS_MAYORISTA[[#This Row],[Precio]]/0.6),10)</f>
        <v>#DIV/0!</v>
      </c>
      <c r="P53" t="s">
        <v>8693</v>
      </c>
      <c r="Q53">
        <v>2</v>
      </c>
      <c r="R53" s="3">
        <f>ARTICULOS_MAYORISTA[[#This Row],[Bulto]]+ARTICULOS_MAYORISTA[[#This Row],[Minimo]]</f>
        <v>8</v>
      </c>
      <c r="S53" t="s">
        <v>35</v>
      </c>
      <c r="T53" t="s">
        <v>33</v>
      </c>
      <c r="U53" t="s">
        <v>72</v>
      </c>
      <c r="V53" t="s">
        <v>10637</v>
      </c>
      <c r="W53" t="s">
        <v>8692</v>
      </c>
      <c r="X53">
        <v>1</v>
      </c>
      <c r="Y53" s="36">
        <v>0</v>
      </c>
      <c r="Z53"/>
      <c r="AB53" s="80" t="e">
        <f>ARTICULOS_MAYORISTA[[#This Row],[Costo]]*ARTICULOS_MAYORISTA[[#This Row],[Pedido]]</f>
        <v>#DIV/0!</v>
      </c>
      <c r="AF53" s="2"/>
      <c r="AH53" s="2" t="str">
        <f>IF(AND(ARTICULOS_MAYORISTA[[#This Row],[FechaVenc]]=0,ARTICULOS_MAYORISTA[[#This Row],[DiasVenc]]=0),"",ARTICULOS_MAYORISTA[[#This Row],[FechaVenc]]-ARTICULOS_MAYORISTA[[#This Row],[DiasVenc]])</f>
        <v/>
      </c>
      <c r="AO53" s="30" t="s">
        <v>8689</v>
      </c>
    </row>
    <row r="54" spans="1:41" hidden="1" x14ac:dyDescent="0.25">
      <c r="A54" s="1" t="s">
        <v>10638</v>
      </c>
      <c r="C54" t="str">
        <f t="shared" si="4"/>
        <v>PER35198769</v>
      </c>
      <c r="D54" t="s">
        <v>8689</v>
      </c>
      <c r="E54" s="1" t="s">
        <v>10639</v>
      </c>
      <c r="F54" s="61"/>
      <c r="G54" s="3">
        <v>0</v>
      </c>
      <c r="H54" s="4" t="s">
        <v>8690</v>
      </c>
      <c r="I54">
        <v>6</v>
      </c>
      <c r="J54"/>
      <c r="K54">
        <v>0</v>
      </c>
      <c r="L54" s="65" t="e">
        <f>((ARTICULOS_MAYORISTA[[#This Row],[P. Compra]]*(1+ARTICULOS_MAYORISTA[[#This Row],[IVA]]%))/ARTICULOS_MAYORISTA[[#This Row],[UnidFact]])+ARTICULOS_MAYORISTA[[#This Row],[Flete]]</f>
        <v>#DIV/0!</v>
      </c>
      <c r="M54">
        <v>30</v>
      </c>
      <c r="N54" s="63" t="e">
        <f t="shared" si="5"/>
        <v>#DIV/0!</v>
      </c>
      <c r="O54" s="3" t="e">
        <f>MROUND((ARTICULOS_MAYORISTA[[#This Row],[Precio]]/0.6),10)</f>
        <v>#DIV/0!</v>
      </c>
      <c r="P54" t="s">
        <v>8693</v>
      </c>
      <c r="Q54">
        <v>2</v>
      </c>
      <c r="R54" s="3">
        <f>ARTICULOS_MAYORISTA[[#This Row],[Bulto]]+ARTICULOS_MAYORISTA[[#This Row],[Minimo]]</f>
        <v>8</v>
      </c>
      <c r="S54" t="s">
        <v>35</v>
      </c>
      <c r="T54" t="s">
        <v>33</v>
      </c>
      <c r="U54" t="s">
        <v>72</v>
      </c>
      <c r="V54" t="s">
        <v>10637</v>
      </c>
      <c r="W54" t="s">
        <v>8692</v>
      </c>
      <c r="X54">
        <v>1</v>
      </c>
      <c r="Y54" s="36">
        <v>0</v>
      </c>
      <c r="Z54"/>
      <c r="AB54" s="80" t="e">
        <f>ARTICULOS_MAYORISTA[[#This Row],[Costo]]*ARTICULOS_MAYORISTA[[#This Row],[Pedido]]</f>
        <v>#DIV/0!</v>
      </c>
      <c r="AF54" s="2"/>
      <c r="AH54" s="2" t="str">
        <f>IF(AND(ARTICULOS_MAYORISTA[[#This Row],[FechaVenc]]=0,ARTICULOS_MAYORISTA[[#This Row],[DiasVenc]]=0),"",ARTICULOS_MAYORISTA[[#This Row],[FechaVenc]]-ARTICULOS_MAYORISTA[[#This Row],[DiasVenc]])</f>
        <v/>
      </c>
      <c r="AO54" s="30" t="s">
        <v>8689</v>
      </c>
    </row>
    <row r="55" spans="1:41" hidden="1" x14ac:dyDescent="0.25">
      <c r="A55" s="1" t="s">
        <v>10651</v>
      </c>
      <c r="C55" t="str">
        <f t="shared" si="4"/>
        <v>PER33338407</v>
      </c>
      <c r="D55" t="s">
        <v>8689</v>
      </c>
      <c r="E55" s="1" t="s">
        <v>10652</v>
      </c>
      <c r="F55" s="61"/>
      <c r="G55" s="3">
        <v>0</v>
      </c>
      <c r="H55" s="4" t="s">
        <v>8690</v>
      </c>
      <c r="I55">
        <v>6</v>
      </c>
      <c r="J55"/>
      <c r="K55">
        <v>0</v>
      </c>
      <c r="L55" s="65" t="e">
        <f>((ARTICULOS_MAYORISTA[[#This Row],[P. Compra]]*(1+ARTICULOS_MAYORISTA[[#This Row],[IVA]]%))/ARTICULOS_MAYORISTA[[#This Row],[UnidFact]])+ARTICULOS_MAYORISTA[[#This Row],[Flete]]</f>
        <v>#DIV/0!</v>
      </c>
      <c r="M55">
        <v>30</v>
      </c>
      <c r="N55" s="63" t="e">
        <f t="shared" si="5"/>
        <v>#DIV/0!</v>
      </c>
      <c r="O55" s="3" t="e">
        <f>MROUND((ARTICULOS_MAYORISTA[[#This Row],[Precio]]/0.6),10)</f>
        <v>#DIV/0!</v>
      </c>
      <c r="P55" t="s">
        <v>8693</v>
      </c>
      <c r="Q55">
        <v>2</v>
      </c>
      <c r="R55" s="3">
        <f>ARTICULOS_MAYORISTA[[#This Row],[Bulto]]+ARTICULOS_MAYORISTA[[#This Row],[Minimo]]</f>
        <v>8</v>
      </c>
      <c r="S55" t="s">
        <v>35</v>
      </c>
      <c r="T55" t="s">
        <v>33</v>
      </c>
      <c r="U55" t="s">
        <v>72</v>
      </c>
      <c r="V55" t="s">
        <v>8691</v>
      </c>
      <c r="W55" t="s">
        <v>8692</v>
      </c>
      <c r="X55">
        <v>1</v>
      </c>
      <c r="Y55" s="36">
        <v>2</v>
      </c>
      <c r="Z55"/>
      <c r="AB55" s="80" t="e">
        <f>ARTICULOS_MAYORISTA[[#This Row],[Costo]]*ARTICULOS_MAYORISTA[[#This Row],[Pedido]]</f>
        <v>#DIV/0!</v>
      </c>
      <c r="AF55" s="2"/>
      <c r="AH55" s="2" t="str">
        <f>IF(AND(ARTICULOS_MAYORISTA[[#This Row],[FechaVenc]]=0,ARTICULOS_MAYORISTA[[#This Row],[DiasVenc]]=0),"",ARTICULOS_MAYORISTA[[#This Row],[FechaVenc]]-ARTICULOS_MAYORISTA[[#This Row],[DiasVenc]])</f>
        <v/>
      </c>
      <c r="AO55" s="30" t="s">
        <v>8689</v>
      </c>
    </row>
    <row r="56" spans="1:41" hidden="1" x14ac:dyDescent="0.25">
      <c r="A56" s="1" t="s">
        <v>10632</v>
      </c>
      <c r="C56" t="str">
        <f t="shared" si="4"/>
        <v>PER64000261</v>
      </c>
      <c r="D56" t="s">
        <v>8689</v>
      </c>
      <c r="E56" s="1" t="s">
        <v>10633</v>
      </c>
      <c r="F56" s="61"/>
      <c r="G56" s="3">
        <v>0</v>
      </c>
      <c r="H56" s="4" t="s">
        <v>8690</v>
      </c>
      <c r="I56">
        <v>6</v>
      </c>
      <c r="J56"/>
      <c r="K56">
        <v>0</v>
      </c>
      <c r="L56" s="65" t="e">
        <f>((ARTICULOS_MAYORISTA[[#This Row],[P. Compra]]*(1+ARTICULOS_MAYORISTA[[#This Row],[IVA]]%))/ARTICULOS_MAYORISTA[[#This Row],[UnidFact]])+ARTICULOS_MAYORISTA[[#This Row],[Flete]]</f>
        <v>#DIV/0!</v>
      </c>
      <c r="M56">
        <v>30</v>
      </c>
      <c r="N56" s="63" t="e">
        <f t="shared" si="5"/>
        <v>#DIV/0!</v>
      </c>
      <c r="O56" s="3" t="e">
        <f>MROUND((ARTICULOS_MAYORISTA[[#This Row],[Precio]]/0.6),10)</f>
        <v>#DIV/0!</v>
      </c>
      <c r="P56" t="s">
        <v>8693</v>
      </c>
      <c r="Q56">
        <v>2</v>
      </c>
      <c r="R56" s="3">
        <f>ARTICULOS_MAYORISTA[[#This Row],[Bulto]]+ARTICULOS_MAYORISTA[[#This Row],[Minimo]]</f>
        <v>8</v>
      </c>
      <c r="S56" t="s">
        <v>35</v>
      </c>
      <c r="T56" t="s">
        <v>33</v>
      </c>
      <c r="U56" t="s">
        <v>72</v>
      </c>
      <c r="V56" t="s">
        <v>10634</v>
      </c>
      <c r="W56" t="s">
        <v>8692</v>
      </c>
      <c r="X56">
        <v>1</v>
      </c>
      <c r="Y56" s="36">
        <v>6</v>
      </c>
      <c r="Z56"/>
      <c r="AB56" s="80" t="e">
        <f>ARTICULOS_MAYORISTA[[#This Row],[Costo]]*ARTICULOS_MAYORISTA[[#This Row],[Pedido]]</f>
        <v>#DIV/0!</v>
      </c>
      <c r="AF56" s="2"/>
      <c r="AH56" s="2" t="str">
        <f>IF(AND(ARTICULOS_MAYORISTA[[#This Row],[FechaVenc]]=0,ARTICULOS_MAYORISTA[[#This Row],[DiasVenc]]=0),"",ARTICULOS_MAYORISTA[[#This Row],[FechaVenc]]-ARTICULOS_MAYORISTA[[#This Row],[DiasVenc]])</f>
        <v/>
      </c>
      <c r="AO56" s="30" t="s">
        <v>8689</v>
      </c>
    </row>
    <row r="57" spans="1:41" hidden="1" x14ac:dyDescent="0.25">
      <c r="A57" s="1" t="s">
        <v>10640</v>
      </c>
      <c r="C57" t="str">
        <f t="shared" si="4"/>
        <v>PER40171246</v>
      </c>
      <c r="D57" t="s">
        <v>8689</v>
      </c>
      <c r="E57" s="1" t="s">
        <v>10641</v>
      </c>
      <c r="F57" s="61"/>
      <c r="G57" s="3">
        <v>0</v>
      </c>
      <c r="H57" s="4" t="s">
        <v>8690</v>
      </c>
      <c r="I57">
        <v>6</v>
      </c>
      <c r="J57"/>
      <c r="K57">
        <v>0</v>
      </c>
      <c r="L57" s="65" t="e">
        <f>((ARTICULOS_MAYORISTA[[#This Row],[P. Compra]]*(1+ARTICULOS_MAYORISTA[[#This Row],[IVA]]%))/ARTICULOS_MAYORISTA[[#This Row],[UnidFact]])+ARTICULOS_MAYORISTA[[#This Row],[Flete]]</f>
        <v>#DIV/0!</v>
      </c>
      <c r="M57">
        <v>30</v>
      </c>
      <c r="N57" s="63" t="e">
        <f t="shared" si="5"/>
        <v>#DIV/0!</v>
      </c>
      <c r="O57" s="3" t="e">
        <f>MROUND((ARTICULOS_MAYORISTA[[#This Row],[Precio]]/0.6),10)</f>
        <v>#DIV/0!</v>
      </c>
      <c r="P57" t="s">
        <v>8693</v>
      </c>
      <c r="Q57">
        <v>2</v>
      </c>
      <c r="R57" s="3">
        <f>ARTICULOS_MAYORISTA[[#This Row],[Bulto]]+ARTICULOS_MAYORISTA[[#This Row],[Minimo]]</f>
        <v>8</v>
      </c>
      <c r="S57" t="s">
        <v>35</v>
      </c>
      <c r="T57" t="s">
        <v>33</v>
      </c>
      <c r="U57" t="s">
        <v>72</v>
      </c>
      <c r="V57" t="s">
        <v>10642</v>
      </c>
      <c r="W57" t="s">
        <v>8692</v>
      </c>
      <c r="X57">
        <v>1</v>
      </c>
      <c r="Y57" s="36">
        <v>6</v>
      </c>
      <c r="Z57"/>
      <c r="AB57" s="80" t="e">
        <f>ARTICULOS_MAYORISTA[[#This Row],[Costo]]*ARTICULOS_MAYORISTA[[#This Row],[Pedido]]</f>
        <v>#DIV/0!</v>
      </c>
      <c r="AF57" s="2"/>
      <c r="AH57" s="2" t="str">
        <f>IF(AND(ARTICULOS_MAYORISTA[[#This Row],[FechaVenc]]=0,ARTICULOS_MAYORISTA[[#This Row],[DiasVenc]]=0),"",ARTICULOS_MAYORISTA[[#This Row],[FechaVenc]]-ARTICULOS_MAYORISTA[[#This Row],[DiasVenc]])</f>
        <v/>
      </c>
      <c r="AO57" s="30" t="s">
        <v>8689</v>
      </c>
    </row>
    <row r="58" spans="1:41" hidden="1" x14ac:dyDescent="0.25">
      <c r="A58" s="1" t="s">
        <v>10648</v>
      </c>
      <c r="C58" t="str">
        <f t="shared" si="4"/>
        <v>PER05022794</v>
      </c>
      <c r="D58" t="s">
        <v>8689</v>
      </c>
      <c r="E58" s="1" t="s">
        <v>10649</v>
      </c>
      <c r="F58" s="61"/>
      <c r="G58" s="3">
        <v>0</v>
      </c>
      <c r="H58" s="4" t="s">
        <v>8690</v>
      </c>
      <c r="I58">
        <v>6</v>
      </c>
      <c r="J58"/>
      <c r="K58">
        <v>0</v>
      </c>
      <c r="L58" s="65" t="e">
        <f>((ARTICULOS_MAYORISTA[[#This Row],[P. Compra]]*(1+ARTICULOS_MAYORISTA[[#This Row],[IVA]]%))/ARTICULOS_MAYORISTA[[#This Row],[UnidFact]])+ARTICULOS_MAYORISTA[[#This Row],[Flete]]</f>
        <v>#DIV/0!</v>
      </c>
      <c r="M58">
        <v>30</v>
      </c>
      <c r="N58" s="63" t="e">
        <f t="shared" si="5"/>
        <v>#DIV/0!</v>
      </c>
      <c r="O58" s="3" t="e">
        <f>MROUND((ARTICULOS_MAYORISTA[[#This Row],[Precio]]/0.6),10)</f>
        <v>#DIV/0!</v>
      </c>
      <c r="P58" t="s">
        <v>8693</v>
      </c>
      <c r="Q58">
        <v>2</v>
      </c>
      <c r="R58" s="3">
        <f>ARTICULOS_MAYORISTA[[#This Row],[Bulto]]+ARTICULOS_MAYORISTA[[#This Row],[Minimo]]</f>
        <v>8</v>
      </c>
      <c r="S58" t="s">
        <v>35</v>
      </c>
      <c r="T58" t="s">
        <v>33</v>
      </c>
      <c r="U58" t="s">
        <v>72</v>
      </c>
      <c r="V58" t="s">
        <v>10650</v>
      </c>
      <c r="W58" t="s">
        <v>8692</v>
      </c>
      <c r="X58">
        <v>1</v>
      </c>
      <c r="Y58" s="36">
        <v>1</v>
      </c>
      <c r="Z58"/>
      <c r="AB58" s="80" t="e">
        <f>ARTICULOS_MAYORISTA[[#This Row],[Costo]]*ARTICULOS_MAYORISTA[[#This Row],[Pedido]]</f>
        <v>#DIV/0!</v>
      </c>
      <c r="AF58" s="2"/>
      <c r="AH58" s="2" t="str">
        <f>IF(AND(ARTICULOS_MAYORISTA[[#This Row],[FechaVenc]]=0,ARTICULOS_MAYORISTA[[#This Row],[DiasVenc]]=0),"",ARTICULOS_MAYORISTA[[#This Row],[FechaVenc]]-ARTICULOS_MAYORISTA[[#This Row],[DiasVenc]])</f>
        <v/>
      </c>
      <c r="AO58" s="30" t="s">
        <v>8689</v>
      </c>
    </row>
    <row r="59" spans="1:41" hidden="1" x14ac:dyDescent="0.25">
      <c r="A59" s="1" t="s">
        <v>10627</v>
      </c>
      <c r="C59" t="str">
        <f t="shared" si="4"/>
        <v>PER21007206</v>
      </c>
      <c r="D59" t="s">
        <v>8689</v>
      </c>
      <c r="E59" s="1" t="s">
        <v>10628</v>
      </c>
      <c r="F59" s="61"/>
      <c r="G59" s="3">
        <v>0</v>
      </c>
      <c r="H59" s="4" t="s">
        <v>8690</v>
      </c>
      <c r="I59">
        <v>6</v>
      </c>
      <c r="J59"/>
      <c r="K59">
        <v>0</v>
      </c>
      <c r="L59" s="65" t="e">
        <f>((ARTICULOS_MAYORISTA[[#This Row],[P. Compra]]*(1+ARTICULOS_MAYORISTA[[#This Row],[IVA]]%))/ARTICULOS_MAYORISTA[[#This Row],[UnidFact]])+ARTICULOS_MAYORISTA[[#This Row],[Flete]]</f>
        <v>#DIV/0!</v>
      </c>
      <c r="M59">
        <v>30</v>
      </c>
      <c r="N59" s="63" t="e">
        <f t="shared" si="5"/>
        <v>#DIV/0!</v>
      </c>
      <c r="O59" s="3" t="e">
        <f>MROUND((ARTICULOS_MAYORISTA[[#This Row],[Precio]]/0.6),10)</f>
        <v>#DIV/0!</v>
      </c>
      <c r="P59" t="s">
        <v>8693</v>
      </c>
      <c r="Q59">
        <v>2</v>
      </c>
      <c r="R59" s="3">
        <f>ARTICULOS_MAYORISTA[[#This Row],[Bulto]]+ARTICULOS_MAYORISTA[[#This Row],[Minimo]]</f>
        <v>8</v>
      </c>
      <c r="S59" t="s">
        <v>35</v>
      </c>
      <c r="T59" t="s">
        <v>33</v>
      </c>
      <c r="U59" t="s">
        <v>72</v>
      </c>
      <c r="V59" t="s">
        <v>10629</v>
      </c>
      <c r="W59" t="s">
        <v>8692</v>
      </c>
      <c r="X59">
        <v>1</v>
      </c>
      <c r="Y59" s="36">
        <v>3</v>
      </c>
      <c r="Z59"/>
      <c r="AB59" s="80" t="e">
        <f>ARTICULOS_MAYORISTA[[#This Row],[Costo]]*ARTICULOS_MAYORISTA[[#This Row],[Pedido]]</f>
        <v>#DIV/0!</v>
      </c>
      <c r="AF59" s="2"/>
      <c r="AH59" s="2" t="str">
        <f>IF(AND(ARTICULOS_MAYORISTA[[#This Row],[FechaVenc]]=0,ARTICULOS_MAYORISTA[[#This Row],[DiasVenc]]=0),"",ARTICULOS_MAYORISTA[[#This Row],[FechaVenc]]-ARTICULOS_MAYORISTA[[#This Row],[DiasVenc]])</f>
        <v/>
      </c>
      <c r="AO59" s="30" t="s">
        <v>8689</v>
      </c>
    </row>
    <row r="60" spans="1:41" hidden="1" x14ac:dyDescent="0.25">
      <c r="A60" s="1" t="s">
        <v>12587</v>
      </c>
      <c r="C60" t="str">
        <f t="shared" ref="C60" si="6">CONCATENATE(LEFT(T60,3),RIGHT(A60,8))</f>
        <v>PER00194672</v>
      </c>
      <c r="D60" t="s">
        <v>8689</v>
      </c>
      <c r="E60" s="1" t="s">
        <v>12588</v>
      </c>
      <c r="F60" s="61"/>
      <c r="G60" s="3">
        <v>0</v>
      </c>
      <c r="H60" s="4" t="s">
        <v>8690</v>
      </c>
      <c r="I60">
        <v>6</v>
      </c>
      <c r="J60"/>
      <c r="K60">
        <v>0</v>
      </c>
      <c r="L60" s="65" t="e">
        <f>((ARTICULOS_MAYORISTA[[#This Row],[P. Compra]]*(1+ARTICULOS_MAYORISTA[[#This Row],[IVA]]%))/ARTICULOS_MAYORISTA[[#This Row],[UnidFact]])+ARTICULOS_MAYORISTA[[#This Row],[Flete]]</f>
        <v>#DIV/0!</v>
      </c>
      <c r="M60">
        <v>30</v>
      </c>
      <c r="N60" s="63" t="e">
        <f t="shared" ref="N60" si="7">IF(L60&gt;=5,MROUND(L60/(1-M60/100),10),10)</f>
        <v>#DIV/0!</v>
      </c>
      <c r="O60" s="3" t="e">
        <f>MROUND((ARTICULOS_MAYORISTA[[#This Row],[Precio]]/0.6),10)</f>
        <v>#DIV/0!</v>
      </c>
      <c r="P60" t="s">
        <v>8693</v>
      </c>
      <c r="Q60">
        <v>2</v>
      </c>
      <c r="R60" s="3">
        <f>ARTICULOS_MAYORISTA[[#This Row],[Bulto]]+ARTICULOS_MAYORISTA[[#This Row],[Minimo]]</f>
        <v>8</v>
      </c>
      <c r="S60" t="s">
        <v>35</v>
      </c>
      <c r="T60" t="s">
        <v>33</v>
      </c>
      <c r="U60" t="s">
        <v>72</v>
      </c>
      <c r="V60" t="s">
        <v>10629</v>
      </c>
      <c r="W60" t="s">
        <v>8692</v>
      </c>
      <c r="X60">
        <v>1</v>
      </c>
      <c r="Y60" s="36">
        <v>3</v>
      </c>
      <c r="Z60"/>
      <c r="AB60" s="80" t="e">
        <f>ARTICULOS_MAYORISTA[[#This Row],[Costo]]*ARTICULOS_MAYORISTA[[#This Row],[Pedido]]</f>
        <v>#DIV/0!</v>
      </c>
      <c r="AF60" s="2"/>
      <c r="AH60" s="2" t="str">
        <f>IF(AND(ARTICULOS_MAYORISTA[[#This Row],[FechaVenc]]=0,ARTICULOS_MAYORISTA[[#This Row],[DiasVenc]]=0),"",ARTICULOS_MAYORISTA[[#This Row],[FechaVenc]]-ARTICULOS_MAYORISTA[[#This Row],[DiasVenc]])</f>
        <v/>
      </c>
      <c r="AO60" s="30" t="s">
        <v>8689</v>
      </c>
    </row>
    <row r="61" spans="1:41" hidden="1" x14ac:dyDescent="0.25">
      <c r="A61" s="1" t="s">
        <v>10630</v>
      </c>
      <c r="C61" t="str">
        <f t="shared" si="4"/>
        <v>PER46056623</v>
      </c>
      <c r="D61" t="s">
        <v>8689</v>
      </c>
      <c r="E61" s="1" t="s">
        <v>10631</v>
      </c>
      <c r="F61" s="61"/>
      <c r="G61" s="3">
        <v>0</v>
      </c>
      <c r="H61" s="4" t="s">
        <v>8690</v>
      </c>
      <c r="I61">
        <v>6</v>
      </c>
      <c r="J61"/>
      <c r="K61">
        <v>0</v>
      </c>
      <c r="L61" s="65" t="e">
        <f>((ARTICULOS_MAYORISTA[[#This Row],[P. Compra]]*(1+ARTICULOS_MAYORISTA[[#This Row],[IVA]]%))/ARTICULOS_MAYORISTA[[#This Row],[UnidFact]])+ARTICULOS_MAYORISTA[[#This Row],[Flete]]</f>
        <v>#DIV/0!</v>
      </c>
      <c r="M61">
        <v>30</v>
      </c>
      <c r="N61" s="63" t="e">
        <f t="shared" si="5"/>
        <v>#DIV/0!</v>
      </c>
      <c r="O61" s="3" t="e">
        <f>MROUND((ARTICULOS_MAYORISTA[[#This Row],[Precio]]/0.6),10)</f>
        <v>#DIV/0!</v>
      </c>
      <c r="P61" t="s">
        <v>8693</v>
      </c>
      <c r="Q61">
        <v>2</v>
      </c>
      <c r="R61" s="3">
        <f>ARTICULOS_MAYORISTA[[#This Row],[Bulto]]+ARTICULOS_MAYORISTA[[#This Row],[Minimo]]</f>
        <v>8</v>
      </c>
      <c r="S61" t="s">
        <v>35</v>
      </c>
      <c r="T61" t="s">
        <v>33</v>
      </c>
      <c r="U61" t="s">
        <v>72</v>
      </c>
      <c r="V61" t="s">
        <v>10629</v>
      </c>
      <c r="W61" t="s">
        <v>8692</v>
      </c>
      <c r="X61">
        <v>1</v>
      </c>
      <c r="Y61" s="36">
        <v>0</v>
      </c>
      <c r="Z61"/>
      <c r="AB61" s="80" t="e">
        <f>ARTICULOS_MAYORISTA[[#This Row],[Costo]]*ARTICULOS_MAYORISTA[[#This Row],[Pedido]]</f>
        <v>#DIV/0!</v>
      </c>
      <c r="AF61" s="2"/>
      <c r="AH61" s="2" t="str">
        <f>IF(AND(ARTICULOS_MAYORISTA[[#This Row],[FechaVenc]]=0,ARTICULOS_MAYORISTA[[#This Row],[DiasVenc]]=0),"",ARTICULOS_MAYORISTA[[#This Row],[FechaVenc]]-ARTICULOS_MAYORISTA[[#This Row],[DiasVenc]])</f>
        <v/>
      </c>
      <c r="AO61" s="30" t="s">
        <v>8689</v>
      </c>
    </row>
    <row r="62" spans="1:41" hidden="1" x14ac:dyDescent="0.25">
      <c r="A62" s="1" t="s">
        <v>10624</v>
      </c>
      <c r="C62" t="str">
        <f t="shared" si="4"/>
        <v>PER41710997</v>
      </c>
      <c r="D62" t="s">
        <v>8689</v>
      </c>
      <c r="E62" s="1" t="s">
        <v>10625</v>
      </c>
      <c r="F62" s="61"/>
      <c r="G62" s="3">
        <v>0</v>
      </c>
      <c r="H62" s="4" t="s">
        <v>8690</v>
      </c>
      <c r="I62">
        <v>6</v>
      </c>
      <c r="J62"/>
      <c r="K62">
        <v>0</v>
      </c>
      <c r="L62" s="65" t="e">
        <f>((ARTICULOS_MAYORISTA[[#This Row],[P. Compra]]*(1+ARTICULOS_MAYORISTA[[#This Row],[IVA]]%))/ARTICULOS_MAYORISTA[[#This Row],[UnidFact]])+ARTICULOS_MAYORISTA[[#This Row],[Flete]]</f>
        <v>#DIV/0!</v>
      </c>
      <c r="M62">
        <v>30</v>
      </c>
      <c r="N62" s="63" t="e">
        <f t="shared" si="5"/>
        <v>#DIV/0!</v>
      </c>
      <c r="O62" s="3" t="e">
        <f>MROUND((ARTICULOS_MAYORISTA[[#This Row],[Precio]]/0.6),10)</f>
        <v>#DIV/0!</v>
      </c>
      <c r="P62" t="s">
        <v>8693</v>
      </c>
      <c r="Q62">
        <v>2</v>
      </c>
      <c r="R62" s="3">
        <f>ARTICULOS_MAYORISTA[[#This Row],[Bulto]]+ARTICULOS_MAYORISTA[[#This Row],[Minimo]]</f>
        <v>8</v>
      </c>
      <c r="S62" t="s">
        <v>35</v>
      </c>
      <c r="T62" t="s">
        <v>33</v>
      </c>
      <c r="U62" t="s">
        <v>72</v>
      </c>
      <c r="V62" t="s">
        <v>10626</v>
      </c>
      <c r="W62" t="s">
        <v>8692</v>
      </c>
      <c r="X62">
        <v>1</v>
      </c>
      <c r="Y62" s="36">
        <v>4</v>
      </c>
      <c r="Z62"/>
      <c r="AB62" s="80" t="e">
        <f>ARTICULOS_MAYORISTA[[#This Row],[Costo]]*ARTICULOS_MAYORISTA[[#This Row],[Pedido]]</f>
        <v>#DIV/0!</v>
      </c>
      <c r="AF62" s="2"/>
      <c r="AH62" s="2" t="str">
        <f>IF(AND(ARTICULOS_MAYORISTA[[#This Row],[FechaVenc]]=0,ARTICULOS_MAYORISTA[[#This Row],[DiasVenc]]=0),"",ARTICULOS_MAYORISTA[[#This Row],[FechaVenc]]-ARTICULOS_MAYORISTA[[#This Row],[DiasVenc]])</f>
        <v/>
      </c>
      <c r="AO62" s="30" t="s">
        <v>8689</v>
      </c>
    </row>
    <row r="63" spans="1:41" hidden="1" x14ac:dyDescent="0.25">
      <c r="A63" s="1" t="s">
        <v>10643</v>
      </c>
      <c r="C63" t="str">
        <f t="shared" si="4"/>
        <v>PER90000847</v>
      </c>
      <c r="D63" t="s">
        <v>8689</v>
      </c>
      <c r="E63" s="1" t="s">
        <v>10644</v>
      </c>
      <c r="F63" s="61"/>
      <c r="G63" s="3">
        <v>0</v>
      </c>
      <c r="H63" s="4" t="s">
        <v>8690</v>
      </c>
      <c r="I63">
        <v>6</v>
      </c>
      <c r="J63"/>
      <c r="K63">
        <v>0</v>
      </c>
      <c r="L63" s="65" t="e">
        <f>((ARTICULOS_MAYORISTA[[#This Row],[P. Compra]]*(1+ARTICULOS_MAYORISTA[[#This Row],[IVA]]%))/ARTICULOS_MAYORISTA[[#This Row],[UnidFact]])+ARTICULOS_MAYORISTA[[#This Row],[Flete]]</f>
        <v>#DIV/0!</v>
      </c>
      <c r="M63">
        <v>30</v>
      </c>
      <c r="N63" s="63" t="e">
        <f t="shared" si="5"/>
        <v>#DIV/0!</v>
      </c>
      <c r="O63" s="3" t="e">
        <f>MROUND((ARTICULOS_MAYORISTA[[#This Row],[Precio]]/0.6),10)</f>
        <v>#DIV/0!</v>
      </c>
      <c r="P63" t="s">
        <v>8693</v>
      </c>
      <c r="Q63">
        <v>2</v>
      </c>
      <c r="R63" s="3">
        <f>ARTICULOS_MAYORISTA[[#This Row],[Bulto]]+ARTICULOS_MAYORISTA[[#This Row],[Minimo]]</f>
        <v>8</v>
      </c>
      <c r="S63" t="s">
        <v>35</v>
      </c>
      <c r="T63" t="s">
        <v>33</v>
      </c>
      <c r="U63" t="s">
        <v>72</v>
      </c>
      <c r="V63" t="s">
        <v>10645</v>
      </c>
      <c r="W63" t="s">
        <v>8692</v>
      </c>
      <c r="X63">
        <v>1</v>
      </c>
      <c r="Y63" s="36">
        <v>3</v>
      </c>
      <c r="Z63"/>
      <c r="AB63" s="80" t="e">
        <f>ARTICULOS_MAYORISTA[[#This Row],[Costo]]*ARTICULOS_MAYORISTA[[#This Row],[Pedido]]</f>
        <v>#DIV/0!</v>
      </c>
      <c r="AF63" s="2"/>
      <c r="AH63" s="2" t="str">
        <f>IF(AND(ARTICULOS_MAYORISTA[[#This Row],[FechaVenc]]=0,ARTICULOS_MAYORISTA[[#This Row],[DiasVenc]]=0),"",ARTICULOS_MAYORISTA[[#This Row],[FechaVenc]]-ARTICULOS_MAYORISTA[[#This Row],[DiasVenc]])</f>
        <v/>
      </c>
      <c r="AO63" s="30" t="s">
        <v>8689</v>
      </c>
    </row>
    <row r="64" spans="1:41" hidden="1" x14ac:dyDescent="0.25">
      <c r="A64" s="1" t="s">
        <v>10646</v>
      </c>
      <c r="C64" t="str">
        <f t="shared" si="4"/>
        <v>PER90000830</v>
      </c>
      <c r="D64" t="s">
        <v>8689</v>
      </c>
      <c r="E64" s="1" t="s">
        <v>10647</v>
      </c>
      <c r="F64" s="61"/>
      <c r="G64" s="3">
        <v>0</v>
      </c>
      <c r="H64" s="4" t="s">
        <v>8690</v>
      </c>
      <c r="I64">
        <v>6</v>
      </c>
      <c r="J64"/>
      <c r="K64">
        <v>0</v>
      </c>
      <c r="L64" s="65" t="e">
        <f>((ARTICULOS_MAYORISTA[[#This Row],[P. Compra]]*(1+ARTICULOS_MAYORISTA[[#This Row],[IVA]]%))/ARTICULOS_MAYORISTA[[#This Row],[UnidFact]])+ARTICULOS_MAYORISTA[[#This Row],[Flete]]</f>
        <v>#DIV/0!</v>
      </c>
      <c r="M64">
        <v>30</v>
      </c>
      <c r="N64" s="63" t="e">
        <f t="shared" si="5"/>
        <v>#DIV/0!</v>
      </c>
      <c r="O64" s="3" t="e">
        <f>MROUND((ARTICULOS_MAYORISTA[[#This Row],[Precio]]/0.6),10)</f>
        <v>#DIV/0!</v>
      </c>
      <c r="P64" t="s">
        <v>8693</v>
      </c>
      <c r="Q64">
        <v>2</v>
      </c>
      <c r="R64" s="3">
        <f>ARTICULOS_MAYORISTA[[#This Row],[Bulto]]+ARTICULOS_MAYORISTA[[#This Row],[Minimo]]</f>
        <v>8</v>
      </c>
      <c r="S64" t="s">
        <v>35</v>
      </c>
      <c r="T64" t="s">
        <v>33</v>
      </c>
      <c r="U64" t="s">
        <v>72</v>
      </c>
      <c r="V64" t="s">
        <v>10645</v>
      </c>
      <c r="W64" t="s">
        <v>8692</v>
      </c>
      <c r="X64">
        <v>1</v>
      </c>
      <c r="Y64" s="36">
        <v>2</v>
      </c>
      <c r="Z64"/>
      <c r="AB64" s="80" t="e">
        <f>ARTICULOS_MAYORISTA[[#This Row],[Costo]]*ARTICULOS_MAYORISTA[[#This Row],[Pedido]]</f>
        <v>#DIV/0!</v>
      </c>
      <c r="AF64" s="2"/>
      <c r="AH64" s="2" t="str">
        <f>IF(AND(ARTICULOS_MAYORISTA[[#This Row],[FechaVenc]]=0,ARTICULOS_MAYORISTA[[#This Row],[DiasVenc]]=0),"",ARTICULOS_MAYORISTA[[#This Row],[FechaVenc]]-ARTICULOS_MAYORISTA[[#This Row],[DiasVenc]])</f>
        <v/>
      </c>
      <c r="AO64" s="30" t="s">
        <v>8689</v>
      </c>
    </row>
    <row r="65" spans="1:41" hidden="1" x14ac:dyDescent="0.25">
      <c r="A65" s="1" t="s">
        <v>10615</v>
      </c>
      <c r="C65" t="str">
        <f t="shared" si="4"/>
        <v>PER50913306</v>
      </c>
      <c r="D65" t="s">
        <v>8689</v>
      </c>
      <c r="E65" s="1" t="s">
        <v>10616</v>
      </c>
      <c r="F65" s="61"/>
      <c r="G65" s="3">
        <v>0</v>
      </c>
      <c r="H65" s="4" t="s">
        <v>8690</v>
      </c>
      <c r="I65">
        <v>6</v>
      </c>
      <c r="J65"/>
      <c r="K65">
        <v>0</v>
      </c>
      <c r="L65" s="65" t="e">
        <f>((ARTICULOS_MAYORISTA[[#This Row],[P. Compra]]*(1+ARTICULOS_MAYORISTA[[#This Row],[IVA]]%))/ARTICULOS_MAYORISTA[[#This Row],[UnidFact]])+ARTICULOS_MAYORISTA[[#This Row],[Flete]]</f>
        <v>#DIV/0!</v>
      </c>
      <c r="M65">
        <v>30</v>
      </c>
      <c r="N65" s="63" t="e">
        <f t="shared" si="5"/>
        <v>#DIV/0!</v>
      </c>
      <c r="O65" s="3" t="e">
        <f>MROUND((ARTICULOS_MAYORISTA[[#This Row],[Precio]]/0.6),10)</f>
        <v>#DIV/0!</v>
      </c>
      <c r="P65" t="s">
        <v>8693</v>
      </c>
      <c r="Q65">
        <v>2</v>
      </c>
      <c r="R65" s="3">
        <f>ARTICULOS_MAYORISTA[[#This Row],[Bulto]]+ARTICULOS_MAYORISTA[[#This Row],[Minimo]]</f>
        <v>8</v>
      </c>
      <c r="S65" t="s">
        <v>35</v>
      </c>
      <c r="T65" t="s">
        <v>33</v>
      </c>
      <c r="U65" t="s">
        <v>72</v>
      </c>
      <c r="V65" t="s">
        <v>10617</v>
      </c>
      <c r="W65" t="s">
        <v>8692</v>
      </c>
      <c r="X65">
        <v>1</v>
      </c>
      <c r="Y65" s="36">
        <v>1</v>
      </c>
      <c r="Z65"/>
      <c r="AB65" s="80" t="e">
        <f>ARTICULOS_MAYORISTA[[#This Row],[Costo]]*ARTICULOS_MAYORISTA[[#This Row],[Pedido]]</f>
        <v>#DIV/0!</v>
      </c>
      <c r="AF65" s="2"/>
      <c r="AH65" s="2" t="str">
        <f>IF(AND(ARTICULOS_MAYORISTA[[#This Row],[FechaVenc]]=0,ARTICULOS_MAYORISTA[[#This Row],[DiasVenc]]=0),"",ARTICULOS_MAYORISTA[[#This Row],[FechaVenc]]-ARTICULOS_MAYORISTA[[#This Row],[DiasVenc]])</f>
        <v/>
      </c>
      <c r="AO65" s="30" t="s">
        <v>8689</v>
      </c>
    </row>
    <row r="66" spans="1:41" hidden="1" x14ac:dyDescent="0.25">
      <c r="A66" s="1" t="s">
        <v>10618</v>
      </c>
      <c r="C66" t="str">
        <f t="shared" si="4"/>
        <v>PER50044208</v>
      </c>
      <c r="D66" t="s">
        <v>8689</v>
      </c>
      <c r="E66" s="1" t="s">
        <v>10619</v>
      </c>
      <c r="F66" s="61"/>
      <c r="G66" s="3">
        <v>0</v>
      </c>
      <c r="H66" s="4" t="s">
        <v>8690</v>
      </c>
      <c r="I66">
        <v>6</v>
      </c>
      <c r="J66"/>
      <c r="K66">
        <v>0</v>
      </c>
      <c r="L66" s="65" t="e">
        <f>((ARTICULOS_MAYORISTA[[#This Row],[P. Compra]]*(1+ARTICULOS_MAYORISTA[[#This Row],[IVA]]%))/ARTICULOS_MAYORISTA[[#This Row],[UnidFact]])+ARTICULOS_MAYORISTA[[#This Row],[Flete]]</f>
        <v>#DIV/0!</v>
      </c>
      <c r="M66">
        <v>30</v>
      </c>
      <c r="N66" s="63" t="e">
        <f t="shared" si="5"/>
        <v>#DIV/0!</v>
      </c>
      <c r="O66" s="3" t="e">
        <f>MROUND((ARTICULOS_MAYORISTA[[#This Row],[Precio]]/0.6),10)</f>
        <v>#DIV/0!</v>
      </c>
      <c r="P66" t="s">
        <v>8693</v>
      </c>
      <c r="Q66">
        <v>2</v>
      </c>
      <c r="R66" s="3">
        <f>ARTICULOS_MAYORISTA[[#This Row],[Bulto]]+ARTICULOS_MAYORISTA[[#This Row],[Minimo]]</f>
        <v>8</v>
      </c>
      <c r="S66" t="s">
        <v>35</v>
      </c>
      <c r="T66" t="s">
        <v>33</v>
      </c>
      <c r="U66" t="s">
        <v>72</v>
      </c>
      <c r="V66" t="s">
        <v>10617</v>
      </c>
      <c r="W66" t="s">
        <v>8692</v>
      </c>
      <c r="X66">
        <v>1</v>
      </c>
      <c r="Y66" s="36">
        <v>2</v>
      </c>
      <c r="Z66"/>
      <c r="AB66" s="80" t="e">
        <f>ARTICULOS_MAYORISTA[[#This Row],[Costo]]*ARTICULOS_MAYORISTA[[#This Row],[Pedido]]</f>
        <v>#DIV/0!</v>
      </c>
      <c r="AF66" s="2"/>
      <c r="AH66" s="2" t="str">
        <f>IF(AND(ARTICULOS_MAYORISTA[[#This Row],[FechaVenc]]=0,ARTICULOS_MAYORISTA[[#This Row],[DiasVenc]]=0),"",ARTICULOS_MAYORISTA[[#This Row],[FechaVenc]]-ARTICULOS_MAYORISTA[[#This Row],[DiasVenc]])</f>
        <v/>
      </c>
      <c r="AO66" s="30" t="s">
        <v>8689</v>
      </c>
    </row>
    <row r="67" spans="1:41" hidden="1" x14ac:dyDescent="0.25">
      <c r="A67" s="1" t="s">
        <v>10620</v>
      </c>
      <c r="C67" t="str">
        <f t="shared" si="4"/>
        <v>PER50044239</v>
      </c>
      <c r="D67" t="s">
        <v>8689</v>
      </c>
      <c r="E67" s="1" t="s">
        <v>10621</v>
      </c>
      <c r="F67" s="61"/>
      <c r="G67" s="3">
        <v>0</v>
      </c>
      <c r="H67" s="4" t="s">
        <v>8690</v>
      </c>
      <c r="I67">
        <v>6</v>
      </c>
      <c r="J67"/>
      <c r="K67">
        <v>0</v>
      </c>
      <c r="L67" s="65" t="e">
        <f>((ARTICULOS_MAYORISTA[[#This Row],[P. Compra]]*(1+ARTICULOS_MAYORISTA[[#This Row],[IVA]]%))/ARTICULOS_MAYORISTA[[#This Row],[UnidFact]])+ARTICULOS_MAYORISTA[[#This Row],[Flete]]</f>
        <v>#DIV/0!</v>
      </c>
      <c r="M67">
        <v>30</v>
      </c>
      <c r="N67" s="63" t="e">
        <f t="shared" si="5"/>
        <v>#DIV/0!</v>
      </c>
      <c r="O67" s="3" t="e">
        <f>MROUND((ARTICULOS_MAYORISTA[[#This Row],[Precio]]/0.6),10)</f>
        <v>#DIV/0!</v>
      </c>
      <c r="P67" t="s">
        <v>8693</v>
      </c>
      <c r="Q67">
        <v>2</v>
      </c>
      <c r="R67" s="3">
        <f>ARTICULOS_MAYORISTA[[#This Row],[Bulto]]+ARTICULOS_MAYORISTA[[#This Row],[Minimo]]</f>
        <v>8</v>
      </c>
      <c r="S67" t="s">
        <v>35</v>
      </c>
      <c r="T67" t="s">
        <v>33</v>
      </c>
      <c r="U67" t="s">
        <v>72</v>
      </c>
      <c r="V67" t="s">
        <v>10617</v>
      </c>
      <c r="W67" t="s">
        <v>8692</v>
      </c>
      <c r="X67">
        <v>1</v>
      </c>
      <c r="Y67" s="36">
        <v>0</v>
      </c>
      <c r="Z67"/>
      <c r="AB67" s="80" t="e">
        <f>ARTICULOS_MAYORISTA[[#This Row],[Costo]]*ARTICULOS_MAYORISTA[[#This Row],[Pedido]]</f>
        <v>#DIV/0!</v>
      </c>
      <c r="AF67" s="2"/>
      <c r="AH67" s="2" t="str">
        <f>IF(AND(ARTICULOS_MAYORISTA[[#This Row],[FechaVenc]]=0,ARTICULOS_MAYORISTA[[#This Row],[DiasVenc]]=0),"",ARTICULOS_MAYORISTA[[#This Row],[FechaVenc]]-ARTICULOS_MAYORISTA[[#This Row],[DiasVenc]])</f>
        <v/>
      </c>
      <c r="AO67" s="30" t="s">
        <v>8689</v>
      </c>
    </row>
    <row r="68" spans="1:41" hidden="1" x14ac:dyDescent="0.25">
      <c r="A68" s="1" t="s">
        <v>10622</v>
      </c>
      <c r="C68" t="str">
        <f t="shared" si="4"/>
        <v>PER50044246</v>
      </c>
      <c r="D68" t="s">
        <v>8689</v>
      </c>
      <c r="E68" s="1" t="s">
        <v>10623</v>
      </c>
      <c r="F68" s="61"/>
      <c r="G68" s="3">
        <v>0</v>
      </c>
      <c r="H68" s="4" t="s">
        <v>8690</v>
      </c>
      <c r="I68">
        <v>6</v>
      </c>
      <c r="J68"/>
      <c r="K68">
        <v>0</v>
      </c>
      <c r="L68" s="65" t="e">
        <f>((ARTICULOS_MAYORISTA[[#This Row],[P. Compra]]*(1+ARTICULOS_MAYORISTA[[#This Row],[IVA]]%))/ARTICULOS_MAYORISTA[[#This Row],[UnidFact]])+ARTICULOS_MAYORISTA[[#This Row],[Flete]]</f>
        <v>#DIV/0!</v>
      </c>
      <c r="M68">
        <v>30</v>
      </c>
      <c r="N68" s="63" t="e">
        <f t="shared" si="5"/>
        <v>#DIV/0!</v>
      </c>
      <c r="O68" s="3" t="e">
        <f>MROUND((ARTICULOS_MAYORISTA[[#This Row],[Precio]]/0.6),10)</f>
        <v>#DIV/0!</v>
      </c>
      <c r="P68" t="s">
        <v>8693</v>
      </c>
      <c r="Q68">
        <v>2</v>
      </c>
      <c r="R68" s="3">
        <f>ARTICULOS_MAYORISTA[[#This Row],[Bulto]]+ARTICULOS_MAYORISTA[[#This Row],[Minimo]]</f>
        <v>8</v>
      </c>
      <c r="S68" t="s">
        <v>35</v>
      </c>
      <c r="T68" t="s">
        <v>33</v>
      </c>
      <c r="U68" t="s">
        <v>72</v>
      </c>
      <c r="V68" t="s">
        <v>10617</v>
      </c>
      <c r="W68" t="s">
        <v>8692</v>
      </c>
      <c r="X68">
        <v>1</v>
      </c>
      <c r="Y68" s="36">
        <v>0</v>
      </c>
      <c r="Z68"/>
      <c r="AB68" s="80" t="e">
        <f>ARTICULOS_MAYORISTA[[#This Row],[Costo]]*ARTICULOS_MAYORISTA[[#This Row],[Pedido]]</f>
        <v>#DIV/0!</v>
      </c>
      <c r="AF68" s="2"/>
      <c r="AH68" s="2" t="str">
        <f>IF(AND(ARTICULOS_MAYORISTA[[#This Row],[FechaVenc]]=0,ARTICULOS_MAYORISTA[[#This Row],[DiasVenc]]=0),"",ARTICULOS_MAYORISTA[[#This Row],[FechaVenc]]-ARTICULOS_MAYORISTA[[#This Row],[DiasVenc]])</f>
        <v/>
      </c>
      <c r="AO68" s="30" t="s">
        <v>8689</v>
      </c>
    </row>
    <row r="69" spans="1:41" hidden="1" x14ac:dyDescent="0.25">
      <c r="A69" s="24" t="s">
        <v>10675</v>
      </c>
      <c r="C69" t="str">
        <f t="shared" ref="C69:C100" si="8">CONCATENATE(LEFT(T69,3),RIGHT(A69,8))</f>
        <v>PER42714657</v>
      </c>
      <c r="D69" s="30" t="s">
        <v>8689</v>
      </c>
      <c r="E69" s="24" t="s">
        <v>10676</v>
      </c>
      <c r="F69" s="61"/>
      <c r="G69" s="3">
        <v>0</v>
      </c>
      <c r="H69" s="4" t="s">
        <v>8690</v>
      </c>
      <c r="I69">
        <v>6</v>
      </c>
      <c r="J69"/>
      <c r="K69">
        <v>0</v>
      </c>
      <c r="L69" s="65" t="e">
        <f>((ARTICULOS_MAYORISTA[[#This Row],[P. Compra]]*(1+ARTICULOS_MAYORISTA[[#This Row],[IVA]]%))/ARTICULOS_MAYORISTA[[#This Row],[UnidFact]])+ARTICULOS_MAYORISTA[[#This Row],[Flete]]</f>
        <v>#DIV/0!</v>
      </c>
      <c r="M69">
        <v>30</v>
      </c>
      <c r="N69" s="63" t="e">
        <f t="shared" ref="N69:N100" si="9">IF(L69&gt;=5,MROUND(L69/(1-M69/100),10),10)</f>
        <v>#DIV/0!</v>
      </c>
      <c r="O69" s="3" t="e">
        <f>MROUND((ARTICULOS_MAYORISTA[[#This Row],[Precio]]/0.6),10)</f>
        <v>#DIV/0!</v>
      </c>
      <c r="P69" t="s">
        <v>8693</v>
      </c>
      <c r="Q69">
        <v>2</v>
      </c>
      <c r="R69" s="3">
        <f>ARTICULOS_MAYORISTA[[#This Row],[Bulto]]+ARTICULOS_MAYORISTA[[#This Row],[Minimo]]</f>
        <v>8</v>
      </c>
      <c r="S69" t="s">
        <v>35</v>
      </c>
      <c r="T69" t="s">
        <v>33</v>
      </c>
      <c r="U69" t="s">
        <v>72</v>
      </c>
      <c r="V69" s="30" t="s">
        <v>10665</v>
      </c>
      <c r="W69" t="s">
        <v>8692</v>
      </c>
      <c r="X69">
        <v>1</v>
      </c>
      <c r="Y69" s="37">
        <v>4</v>
      </c>
      <c r="Z69"/>
      <c r="AB69" s="80" t="e">
        <f>ARTICULOS_MAYORISTA[[#This Row],[Costo]]*ARTICULOS_MAYORISTA[[#This Row],[Pedido]]</f>
        <v>#DIV/0!</v>
      </c>
      <c r="AF69" s="2"/>
      <c r="AH69" s="2" t="str">
        <f>IF(AND(ARTICULOS_MAYORISTA[[#This Row],[FechaVenc]]=0,ARTICULOS_MAYORISTA[[#This Row],[DiasVenc]]=0),"",ARTICULOS_MAYORISTA[[#This Row],[FechaVenc]]-ARTICULOS_MAYORISTA[[#This Row],[DiasVenc]])</f>
        <v/>
      </c>
      <c r="AO69" s="30" t="s">
        <v>8689</v>
      </c>
    </row>
    <row r="70" spans="1:41" hidden="1" x14ac:dyDescent="0.25">
      <c r="A70" s="1" t="s">
        <v>10608</v>
      </c>
      <c r="C70" t="str">
        <f t="shared" si="8"/>
        <v>PER74187742</v>
      </c>
      <c r="D70" t="s">
        <v>8689</v>
      </c>
      <c r="E70" s="1" t="s">
        <v>10609</v>
      </c>
      <c r="F70" s="61"/>
      <c r="G70" s="3">
        <v>0</v>
      </c>
      <c r="H70" s="4" t="s">
        <v>8690</v>
      </c>
      <c r="I70">
        <v>6</v>
      </c>
      <c r="J70"/>
      <c r="K70">
        <v>0</v>
      </c>
      <c r="L70" s="65" t="e">
        <f>((ARTICULOS_MAYORISTA[[#This Row],[P. Compra]]*(1+ARTICULOS_MAYORISTA[[#This Row],[IVA]]%))/ARTICULOS_MAYORISTA[[#This Row],[UnidFact]])+ARTICULOS_MAYORISTA[[#This Row],[Flete]]</f>
        <v>#DIV/0!</v>
      </c>
      <c r="M70">
        <v>30</v>
      </c>
      <c r="N70" s="63" t="e">
        <f t="shared" si="9"/>
        <v>#DIV/0!</v>
      </c>
      <c r="O70" s="3" t="e">
        <f>MROUND((ARTICULOS_MAYORISTA[[#This Row],[Precio]]/0.6),10)</f>
        <v>#DIV/0!</v>
      </c>
      <c r="P70" t="s">
        <v>8693</v>
      </c>
      <c r="Q70">
        <v>2</v>
      </c>
      <c r="R70" s="3">
        <f>ARTICULOS_MAYORISTA[[#This Row],[Bulto]]+ARTICULOS_MAYORISTA[[#This Row],[Minimo]]</f>
        <v>8</v>
      </c>
      <c r="S70" t="s">
        <v>35</v>
      </c>
      <c r="T70" t="s">
        <v>33</v>
      </c>
      <c r="U70" t="s">
        <v>72</v>
      </c>
      <c r="V70" t="s">
        <v>10610</v>
      </c>
      <c r="W70" t="s">
        <v>8692</v>
      </c>
      <c r="X70">
        <v>1</v>
      </c>
      <c r="Y70" s="36">
        <v>2</v>
      </c>
      <c r="Z70"/>
      <c r="AB70" s="80" t="e">
        <f>ARTICULOS_MAYORISTA[[#This Row],[Costo]]*ARTICULOS_MAYORISTA[[#This Row],[Pedido]]</f>
        <v>#DIV/0!</v>
      </c>
      <c r="AF70" s="2"/>
      <c r="AH70" s="2" t="str">
        <f>IF(AND(ARTICULOS_MAYORISTA[[#This Row],[FechaVenc]]=0,ARTICULOS_MAYORISTA[[#This Row],[DiasVenc]]=0),"",ARTICULOS_MAYORISTA[[#This Row],[FechaVenc]]-ARTICULOS_MAYORISTA[[#This Row],[DiasVenc]])</f>
        <v/>
      </c>
      <c r="AO70" s="30" t="s">
        <v>8689</v>
      </c>
    </row>
    <row r="71" spans="1:41" hidden="1" x14ac:dyDescent="0.25">
      <c r="A71" s="1" t="s">
        <v>10611</v>
      </c>
      <c r="C71" t="str">
        <f t="shared" si="8"/>
        <v>PER74003110</v>
      </c>
      <c r="D71" t="s">
        <v>8689</v>
      </c>
      <c r="E71" s="1" t="s">
        <v>10612</v>
      </c>
      <c r="F71" s="61"/>
      <c r="G71" s="3">
        <v>0</v>
      </c>
      <c r="H71" s="4" t="s">
        <v>8690</v>
      </c>
      <c r="I71">
        <v>6</v>
      </c>
      <c r="J71"/>
      <c r="K71">
        <v>0</v>
      </c>
      <c r="L71" s="65" t="e">
        <f>((ARTICULOS_MAYORISTA[[#This Row],[P. Compra]]*(1+ARTICULOS_MAYORISTA[[#This Row],[IVA]]%))/ARTICULOS_MAYORISTA[[#This Row],[UnidFact]])+ARTICULOS_MAYORISTA[[#This Row],[Flete]]</f>
        <v>#DIV/0!</v>
      </c>
      <c r="M71">
        <v>30</v>
      </c>
      <c r="N71" s="63" t="e">
        <f t="shared" si="9"/>
        <v>#DIV/0!</v>
      </c>
      <c r="O71" s="3" t="e">
        <f>MROUND((ARTICULOS_MAYORISTA[[#This Row],[Precio]]/0.6),10)</f>
        <v>#DIV/0!</v>
      </c>
      <c r="P71" t="s">
        <v>8693</v>
      </c>
      <c r="Q71">
        <v>2</v>
      </c>
      <c r="R71" s="3">
        <f>ARTICULOS_MAYORISTA[[#This Row],[Bulto]]+ARTICULOS_MAYORISTA[[#This Row],[Minimo]]</f>
        <v>8</v>
      </c>
      <c r="S71" t="s">
        <v>35</v>
      </c>
      <c r="T71" t="s">
        <v>33</v>
      </c>
      <c r="U71" t="s">
        <v>72</v>
      </c>
      <c r="V71" t="s">
        <v>10610</v>
      </c>
      <c r="W71" t="s">
        <v>8692</v>
      </c>
      <c r="X71">
        <v>1</v>
      </c>
      <c r="Y71" s="36">
        <v>2</v>
      </c>
      <c r="Z71"/>
      <c r="AB71" s="80" t="e">
        <f>ARTICULOS_MAYORISTA[[#This Row],[Costo]]*ARTICULOS_MAYORISTA[[#This Row],[Pedido]]</f>
        <v>#DIV/0!</v>
      </c>
      <c r="AF71" s="2"/>
      <c r="AH71" s="2" t="str">
        <f>IF(AND(ARTICULOS_MAYORISTA[[#This Row],[FechaVenc]]=0,ARTICULOS_MAYORISTA[[#This Row],[DiasVenc]]=0),"",ARTICULOS_MAYORISTA[[#This Row],[FechaVenc]]-ARTICULOS_MAYORISTA[[#This Row],[DiasVenc]])</f>
        <v/>
      </c>
      <c r="AO71" s="30" t="s">
        <v>8689</v>
      </c>
    </row>
    <row r="72" spans="1:41" hidden="1" x14ac:dyDescent="0.25">
      <c r="A72" s="1" t="s">
        <v>10613</v>
      </c>
      <c r="C72" t="str">
        <f t="shared" si="8"/>
        <v>PER74005299</v>
      </c>
      <c r="D72" t="s">
        <v>8689</v>
      </c>
      <c r="E72" s="1" t="s">
        <v>10614</v>
      </c>
      <c r="F72" s="61"/>
      <c r="G72" s="3">
        <v>0</v>
      </c>
      <c r="H72" s="4" t="s">
        <v>8690</v>
      </c>
      <c r="I72">
        <v>6</v>
      </c>
      <c r="J72"/>
      <c r="K72">
        <v>0</v>
      </c>
      <c r="L72" s="65" t="e">
        <f>((ARTICULOS_MAYORISTA[[#This Row],[P. Compra]]*(1+ARTICULOS_MAYORISTA[[#This Row],[IVA]]%))/ARTICULOS_MAYORISTA[[#This Row],[UnidFact]])+ARTICULOS_MAYORISTA[[#This Row],[Flete]]</f>
        <v>#DIV/0!</v>
      </c>
      <c r="M72">
        <v>30</v>
      </c>
      <c r="N72" s="63" t="e">
        <f t="shared" si="9"/>
        <v>#DIV/0!</v>
      </c>
      <c r="O72" s="3" t="e">
        <f>MROUND((ARTICULOS_MAYORISTA[[#This Row],[Precio]]/0.6),10)</f>
        <v>#DIV/0!</v>
      </c>
      <c r="P72" t="s">
        <v>8693</v>
      </c>
      <c r="Q72">
        <v>2</v>
      </c>
      <c r="R72" s="3">
        <f>ARTICULOS_MAYORISTA[[#This Row],[Bulto]]+ARTICULOS_MAYORISTA[[#This Row],[Minimo]]</f>
        <v>8</v>
      </c>
      <c r="S72" t="s">
        <v>35</v>
      </c>
      <c r="T72" t="s">
        <v>33</v>
      </c>
      <c r="U72" t="s">
        <v>72</v>
      </c>
      <c r="V72" t="s">
        <v>10610</v>
      </c>
      <c r="W72" t="s">
        <v>8692</v>
      </c>
      <c r="X72">
        <v>1</v>
      </c>
      <c r="Y72" s="36">
        <v>0</v>
      </c>
      <c r="Z72"/>
      <c r="AB72" s="80" t="e">
        <f>ARTICULOS_MAYORISTA[[#This Row],[Costo]]*ARTICULOS_MAYORISTA[[#This Row],[Pedido]]</f>
        <v>#DIV/0!</v>
      </c>
      <c r="AF72" s="2"/>
      <c r="AH72" s="2" t="str">
        <f>IF(AND(ARTICULOS_MAYORISTA[[#This Row],[FechaVenc]]=0,ARTICULOS_MAYORISTA[[#This Row],[DiasVenc]]=0),"",ARTICULOS_MAYORISTA[[#This Row],[FechaVenc]]-ARTICULOS_MAYORISTA[[#This Row],[DiasVenc]])</f>
        <v/>
      </c>
      <c r="AO72" s="30" t="s">
        <v>8689</v>
      </c>
    </row>
    <row r="73" spans="1:41" hidden="1" x14ac:dyDescent="0.25">
      <c r="A73" s="1" t="s">
        <v>10677</v>
      </c>
      <c r="C73" t="str">
        <f t="shared" si="8"/>
        <v>PER20010490</v>
      </c>
      <c r="D73" t="s">
        <v>8689</v>
      </c>
      <c r="E73" s="1" t="s">
        <v>10678</v>
      </c>
      <c r="F73" s="61"/>
      <c r="G73" s="3">
        <v>0</v>
      </c>
      <c r="H73" s="4" t="s">
        <v>8690</v>
      </c>
      <c r="I73">
        <v>6</v>
      </c>
      <c r="J73"/>
      <c r="K73">
        <v>0</v>
      </c>
      <c r="L73" s="65" t="e">
        <f>((ARTICULOS_MAYORISTA[[#This Row],[P. Compra]]*(1+ARTICULOS_MAYORISTA[[#This Row],[IVA]]%))/ARTICULOS_MAYORISTA[[#This Row],[UnidFact]])+ARTICULOS_MAYORISTA[[#This Row],[Flete]]</f>
        <v>#DIV/0!</v>
      </c>
      <c r="M73">
        <v>30</v>
      </c>
      <c r="N73" s="63" t="e">
        <f t="shared" si="9"/>
        <v>#DIV/0!</v>
      </c>
      <c r="O73" s="3" t="e">
        <f>MROUND((ARTICULOS_MAYORISTA[[#This Row],[Precio]]/0.6),10)</f>
        <v>#DIV/0!</v>
      </c>
      <c r="P73" t="s">
        <v>8693</v>
      </c>
      <c r="Q73">
        <v>2</v>
      </c>
      <c r="R73" s="23">
        <f>ARTICULOS_MAYORISTA[[#This Row],[Bulto]]+ARTICULOS_MAYORISTA[[#This Row],[Minimo]]</f>
        <v>8</v>
      </c>
      <c r="S73" t="s">
        <v>35</v>
      </c>
      <c r="T73" t="s">
        <v>33</v>
      </c>
      <c r="U73" t="s">
        <v>73</v>
      </c>
      <c r="V73" t="s">
        <v>10679</v>
      </c>
      <c r="W73" t="s">
        <v>8692</v>
      </c>
      <c r="X73">
        <v>1</v>
      </c>
      <c r="Y73" s="37">
        <v>10</v>
      </c>
      <c r="Z73"/>
      <c r="AB73" s="80" t="e">
        <f>ARTICULOS_MAYORISTA[[#This Row],[Costo]]*ARTICULOS_MAYORISTA[[#This Row],[Pedido]]</f>
        <v>#DIV/0!</v>
      </c>
      <c r="AF73" s="2"/>
      <c r="AH73" s="2" t="str">
        <f>IF(AND(ARTICULOS_MAYORISTA[[#This Row],[FechaVenc]]=0,ARTICULOS_MAYORISTA[[#This Row],[DiasVenc]]=0),"",ARTICULOS_MAYORISTA[[#This Row],[FechaVenc]]-ARTICULOS_MAYORISTA[[#This Row],[DiasVenc]])</f>
        <v/>
      </c>
      <c r="AO73" s="30" t="s">
        <v>8689</v>
      </c>
    </row>
    <row r="74" spans="1:41" hidden="1" x14ac:dyDescent="0.25">
      <c r="A74" s="1" t="s">
        <v>10680</v>
      </c>
      <c r="C74" t="str">
        <f t="shared" si="8"/>
        <v>PER20996626</v>
      </c>
      <c r="D74" t="s">
        <v>8689</v>
      </c>
      <c r="E74" s="1" t="s">
        <v>10681</v>
      </c>
      <c r="F74" s="61"/>
      <c r="G74" s="3">
        <v>0</v>
      </c>
      <c r="H74" s="4" t="s">
        <v>8690</v>
      </c>
      <c r="I74">
        <v>6</v>
      </c>
      <c r="J74"/>
      <c r="K74">
        <v>0</v>
      </c>
      <c r="L74" s="65" t="e">
        <f>((ARTICULOS_MAYORISTA[[#This Row],[P. Compra]]*(1+ARTICULOS_MAYORISTA[[#This Row],[IVA]]%))/ARTICULOS_MAYORISTA[[#This Row],[UnidFact]])+ARTICULOS_MAYORISTA[[#This Row],[Flete]]</f>
        <v>#DIV/0!</v>
      </c>
      <c r="M74">
        <v>30</v>
      </c>
      <c r="N74" s="63" t="e">
        <f t="shared" si="9"/>
        <v>#DIV/0!</v>
      </c>
      <c r="O74" s="3" t="e">
        <f>MROUND((ARTICULOS_MAYORISTA[[#This Row],[Precio]]/0.6),10)</f>
        <v>#DIV/0!</v>
      </c>
      <c r="P74" t="s">
        <v>8693</v>
      </c>
      <c r="Q74">
        <v>2</v>
      </c>
      <c r="R74" s="23">
        <f>ARTICULOS_MAYORISTA[[#This Row],[Bulto]]+ARTICULOS_MAYORISTA[[#This Row],[Minimo]]</f>
        <v>8</v>
      </c>
      <c r="S74" t="s">
        <v>35</v>
      </c>
      <c r="T74" t="s">
        <v>33</v>
      </c>
      <c r="U74" t="s">
        <v>73</v>
      </c>
      <c r="V74" t="s">
        <v>10679</v>
      </c>
      <c r="W74" t="s">
        <v>8692</v>
      </c>
      <c r="X74">
        <v>1</v>
      </c>
      <c r="Y74" s="37">
        <v>18</v>
      </c>
      <c r="Z74"/>
      <c r="AB74" s="80" t="e">
        <f>ARTICULOS_MAYORISTA[[#This Row],[Costo]]*ARTICULOS_MAYORISTA[[#This Row],[Pedido]]</f>
        <v>#DIV/0!</v>
      </c>
      <c r="AF74" s="2"/>
      <c r="AH74" s="2" t="str">
        <f>IF(AND(ARTICULOS_MAYORISTA[[#This Row],[FechaVenc]]=0,ARTICULOS_MAYORISTA[[#This Row],[DiasVenc]]=0),"",ARTICULOS_MAYORISTA[[#This Row],[FechaVenc]]-ARTICULOS_MAYORISTA[[#This Row],[DiasVenc]])</f>
        <v/>
      </c>
      <c r="AO74" s="30" t="s">
        <v>8689</v>
      </c>
    </row>
    <row r="75" spans="1:41" hidden="1" x14ac:dyDescent="0.25">
      <c r="A75" s="1" t="s">
        <v>10475</v>
      </c>
      <c r="C75" t="str">
        <f t="shared" si="8"/>
        <v>ALM70936493</v>
      </c>
      <c r="D75" t="s">
        <v>8689</v>
      </c>
      <c r="E75" s="24" t="s">
        <v>10476</v>
      </c>
      <c r="F75" s="61"/>
      <c r="G75" s="3">
        <v>0</v>
      </c>
      <c r="H75" s="4" t="s">
        <v>8690</v>
      </c>
      <c r="I75">
        <v>6</v>
      </c>
      <c r="J75"/>
      <c r="K75">
        <v>0</v>
      </c>
      <c r="L75" s="65" t="e">
        <f>((ARTICULOS_MAYORISTA[[#This Row],[P. Compra]]*(1+ARTICULOS_MAYORISTA[[#This Row],[IVA]]%))/ARTICULOS_MAYORISTA[[#This Row],[UnidFact]])+ARTICULOS_MAYORISTA[[#This Row],[Flete]]</f>
        <v>#DIV/0!</v>
      </c>
      <c r="M75">
        <v>30</v>
      </c>
      <c r="N75" s="63" t="e">
        <f t="shared" si="9"/>
        <v>#DIV/0!</v>
      </c>
      <c r="O75" s="3" t="e">
        <f>MROUND((ARTICULOS_MAYORISTA[[#This Row],[Precio]]/0.6),10)</f>
        <v>#DIV/0!</v>
      </c>
      <c r="P75" t="s">
        <v>8693</v>
      </c>
      <c r="Q75">
        <v>2</v>
      </c>
      <c r="R75" s="3">
        <f>ARTICULOS_MAYORISTA[[#This Row],[Bulto]]+ARTICULOS_MAYORISTA[[#This Row],[Minimo]]</f>
        <v>8</v>
      </c>
      <c r="S75" t="s">
        <v>35</v>
      </c>
      <c r="T75" t="s">
        <v>4</v>
      </c>
      <c r="U75" t="s">
        <v>75</v>
      </c>
      <c r="V75" t="s">
        <v>10477</v>
      </c>
      <c r="W75" t="s">
        <v>8692</v>
      </c>
      <c r="X75">
        <v>1</v>
      </c>
      <c r="Y75" s="36">
        <v>2</v>
      </c>
      <c r="Z75" t="s">
        <v>8692</v>
      </c>
      <c r="AB75" s="80" t="e">
        <f>ARTICULOS_MAYORISTA[[#This Row],[Costo]]*ARTICULOS_MAYORISTA[[#This Row],[Pedido]]</f>
        <v>#DIV/0!</v>
      </c>
      <c r="AF75" s="2"/>
      <c r="AH75" s="2" t="str">
        <f>IF(AND(ARTICULOS_MAYORISTA[[#This Row],[FechaVenc]]=0,ARTICULOS_MAYORISTA[[#This Row],[DiasVenc]]=0),"",ARTICULOS_MAYORISTA[[#This Row],[FechaVenc]]-ARTICULOS_MAYORISTA[[#This Row],[DiasVenc]])</f>
        <v/>
      </c>
      <c r="AO75" s="30" t="s">
        <v>8689</v>
      </c>
    </row>
    <row r="76" spans="1:41" hidden="1" x14ac:dyDescent="0.25">
      <c r="A76" s="1" t="s">
        <v>10478</v>
      </c>
      <c r="C76" t="str">
        <f t="shared" si="8"/>
        <v>ALM70936516</v>
      </c>
      <c r="D76" t="s">
        <v>8689</v>
      </c>
      <c r="E76" s="1" t="s">
        <v>10479</v>
      </c>
      <c r="F76" s="61"/>
      <c r="G76" s="3">
        <v>0</v>
      </c>
      <c r="H76" s="4" t="s">
        <v>8690</v>
      </c>
      <c r="I76">
        <v>6</v>
      </c>
      <c r="J76"/>
      <c r="K76">
        <v>0</v>
      </c>
      <c r="L76" s="65" t="e">
        <f>((ARTICULOS_MAYORISTA[[#This Row],[P. Compra]]*(1+ARTICULOS_MAYORISTA[[#This Row],[IVA]]%))/ARTICULOS_MAYORISTA[[#This Row],[UnidFact]])+ARTICULOS_MAYORISTA[[#This Row],[Flete]]</f>
        <v>#DIV/0!</v>
      </c>
      <c r="M76">
        <v>30</v>
      </c>
      <c r="N76" s="63" t="e">
        <f t="shared" si="9"/>
        <v>#DIV/0!</v>
      </c>
      <c r="O76" s="3" t="e">
        <f>MROUND((ARTICULOS_MAYORISTA[[#This Row],[Precio]]/0.6),10)</f>
        <v>#DIV/0!</v>
      </c>
      <c r="P76" t="s">
        <v>8693</v>
      </c>
      <c r="Q76">
        <v>2</v>
      </c>
      <c r="R76" s="3">
        <f>ARTICULOS_MAYORISTA[[#This Row],[Bulto]]+ARTICULOS_MAYORISTA[[#This Row],[Minimo]]</f>
        <v>8</v>
      </c>
      <c r="S76" t="s">
        <v>35</v>
      </c>
      <c r="T76" t="s">
        <v>4</v>
      </c>
      <c r="U76" t="s">
        <v>75</v>
      </c>
      <c r="V76" t="s">
        <v>10477</v>
      </c>
      <c r="W76" t="s">
        <v>8692</v>
      </c>
      <c r="X76">
        <v>1</v>
      </c>
      <c r="Y76" s="36">
        <v>0</v>
      </c>
      <c r="Z76" t="s">
        <v>8692</v>
      </c>
      <c r="AB76" s="80" t="e">
        <f>ARTICULOS_MAYORISTA[[#This Row],[Costo]]*ARTICULOS_MAYORISTA[[#This Row],[Pedido]]</f>
        <v>#DIV/0!</v>
      </c>
      <c r="AF76" s="2"/>
      <c r="AH76" s="2" t="str">
        <f>IF(AND(ARTICULOS_MAYORISTA[[#This Row],[FechaVenc]]=0,ARTICULOS_MAYORISTA[[#This Row],[DiasVenc]]=0),"",ARTICULOS_MAYORISTA[[#This Row],[FechaVenc]]-ARTICULOS_MAYORISTA[[#This Row],[DiasVenc]])</f>
        <v/>
      </c>
      <c r="AO76" s="30" t="s">
        <v>8689</v>
      </c>
    </row>
    <row r="77" spans="1:41" hidden="1" x14ac:dyDescent="0.25">
      <c r="A77" s="1" t="s">
        <v>10480</v>
      </c>
      <c r="C77" t="str">
        <f t="shared" si="8"/>
        <v>ALM50161227</v>
      </c>
      <c r="D77" t="s">
        <v>8689</v>
      </c>
      <c r="E77" s="24" t="s">
        <v>10481</v>
      </c>
      <c r="F77" s="61"/>
      <c r="G77" s="3">
        <v>0</v>
      </c>
      <c r="H77" s="4" t="s">
        <v>8690</v>
      </c>
      <c r="I77">
        <v>6</v>
      </c>
      <c r="J77"/>
      <c r="K77">
        <v>0</v>
      </c>
      <c r="L77" s="65" t="e">
        <f>((ARTICULOS_MAYORISTA[[#This Row],[P. Compra]]*(1+ARTICULOS_MAYORISTA[[#This Row],[IVA]]%))/ARTICULOS_MAYORISTA[[#This Row],[UnidFact]])+ARTICULOS_MAYORISTA[[#This Row],[Flete]]</f>
        <v>#DIV/0!</v>
      </c>
      <c r="M77">
        <v>30</v>
      </c>
      <c r="N77" s="63" t="e">
        <f t="shared" si="9"/>
        <v>#DIV/0!</v>
      </c>
      <c r="O77" s="3" t="e">
        <f>MROUND((ARTICULOS_MAYORISTA[[#This Row],[Precio]]/0.6),10)</f>
        <v>#DIV/0!</v>
      </c>
      <c r="P77" t="s">
        <v>8693</v>
      </c>
      <c r="Q77">
        <v>2</v>
      </c>
      <c r="R77" s="3">
        <f>ARTICULOS_MAYORISTA[[#This Row],[Bulto]]+ARTICULOS_MAYORISTA[[#This Row],[Minimo]]</f>
        <v>8</v>
      </c>
      <c r="S77" t="s">
        <v>35</v>
      </c>
      <c r="T77" t="s">
        <v>4</v>
      </c>
      <c r="U77" t="s">
        <v>75</v>
      </c>
      <c r="V77" t="s">
        <v>10482</v>
      </c>
      <c r="W77" t="s">
        <v>8692</v>
      </c>
      <c r="X77">
        <v>1</v>
      </c>
      <c r="Y77" s="36">
        <v>0</v>
      </c>
      <c r="Z77" t="s">
        <v>8692</v>
      </c>
      <c r="AB77" s="80" t="e">
        <f>ARTICULOS_MAYORISTA[[#This Row],[Costo]]*ARTICULOS_MAYORISTA[[#This Row],[Pedido]]</f>
        <v>#DIV/0!</v>
      </c>
      <c r="AF77" s="2"/>
      <c r="AH77" s="2" t="str">
        <f>IF(AND(ARTICULOS_MAYORISTA[[#This Row],[FechaVenc]]=0,ARTICULOS_MAYORISTA[[#This Row],[DiasVenc]]=0),"",ARTICULOS_MAYORISTA[[#This Row],[FechaVenc]]-ARTICULOS_MAYORISTA[[#This Row],[DiasVenc]])</f>
        <v/>
      </c>
      <c r="AO77" s="30" t="s">
        <v>8689</v>
      </c>
    </row>
    <row r="78" spans="1:41" hidden="1" x14ac:dyDescent="0.25">
      <c r="A78" s="1" t="s">
        <v>10483</v>
      </c>
      <c r="C78" t="str">
        <f t="shared" si="8"/>
        <v>ALM50161029</v>
      </c>
      <c r="D78" t="s">
        <v>8689</v>
      </c>
      <c r="E78" s="24" t="s">
        <v>10484</v>
      </c>
      <c r="F78" s="61"/>
      <c r="G78" s="3">
        <v>0</v>
      </c>
      <c r="H78" s="4" t="s">
        <v>8690</v>
      </c>
      <c r="I78">
        <v>6</v>
      </c>
      <c r="J78"/>
      <c r="K78">
        <v>0</v>
      </c>
      <c r="L78" s="65" t="e">
        <f>((ARTICULOS_MAYORISTA[[#This Row],[P. Compra]]*(1+ARTICULOS_MAYORISTA[[#This Row],[IVA]]%))/ARTICULOS_MAYORISTA[[#This Row],[UnidFact]])+ARTICULOS_MAYORISTA[[#This Row],[Flete]]</f>
        <v>#DIV/0!</v>
      </c>
      <c r="M78">
        <v>30</v>
      </c>
      <c r="N78" s="63" t="e">
        <f t="shared" si="9"/>
        <v>#DIV/0!</v>
      </c>
      <c r="O78" s="3" t="e">
        <f>MROUND((ARTICULOS_MAYORISTA[[#This Row],[Precio]]/0.6),10)</f>
        <v>#DIV/0!</v>
      </c>
      <c r="P78" t="s">
        <v>8693</v>
      </c>
      <c r="Q78">
        <v>2</v>
      </c>
      <c r="R78" s="3">
        <f>ARTICULOS_MAYORISTA[[#This Row],[Bulto]]+ARTICULOS_MAYORISTA[[#This Row],[Minimo]]</f>
        <v>8</v>
      </c>
      <c r="S78" t="s">
        <v>35</v>
      </c>
      <c r="T78" t="s">
        <v>4</v>
      </c>
      <c r="U78" t="s">
        <v>75</v>
      </c>
      <c r="V78" t="s">
        <v>10482</v>
      </c>
      <c r="W78" t="s">
        <v>8692</v>
      </c>
      <c r="X78">
        <v>1</v>
      </c>
      <c r="Y78" s="36">
        <v>0</v>
      </c>
      <c r="Z78" t="s">
        <v>8692</v>
      </c>
      <c r="AB78" s="80" t="e">
        <f>ARTICULOS_MAYORISTA[[#This Row],[Costo]]*ARTICULOS_MAYORISTA[[#This Row],[Pedido]]</f>
        <v>#DIV/0!</v>
      </c>
      <c r="AF78" s="2"/>
      <c r="AH78" s="2" t="str">
        <f>IF(AND(ARTICULOS_MAYORISTA[[#This Row],[FechaVenc]]=0,ARTICULOS_MAYORISTA[[#This Row],[DiasVenc]]=0),"",ARTICULOS_MAYORISTA[[#This Row],[FechaVenc]]-ARTICULOS_MAYORISTA[[#This Row],[DiasVenc]])</f>
        <v/>
      </c>
      <c r="AO78" s="30" t="s">
        <v>8689</v>
      </c>
    </row>
    <row r="79" spans="1:41" hidden="1" x14ac:dyDescent="0.25">
      <c r="A79" s="1" t="s">
        <v>10485</v>
      </c>
      <c r="C79" t="str">
        <f t="shared" si="8"/>
        <v>ALM50100172</v>
      </c>
      <c r="D79" t="s">
        <v>8689</v>
      </c>
      <c r="E79" s="24" t="s">
        <v>12598</v>
      </c>
      <c r="F79" s="61"/>
      <c r="G79" s="3">
        <v>0</v>
      </c>
      <c r="H79" s="4" t="s">
        <v>8690</v>
      </c>
      <c r="I79">
        <v>6</v>
      </c>
      <c r="J79"/>
      <c r="K79">
        <v>0</v>
      </c>
      <c r="L79" s="65" t="e">
        <f>((ARTICULOS_MAYORISTA[[#This Row],[P. Compra]]*(1+ARTICULOS_MAYORISTA[[#This Row],[IVA]]%))/ARTICULOS_MAYORISTA[[#This Row],[UnidFact]])+ARTICULOS_MAYORISTA[[#This Row],[Flete]]</f>
        <v>#DIV/0!</v>
      </c>
      <c r="M79">
        <v>30</v>
      </c>
      <c r="N79" s="63" t="e">
        <f t="shared" si="9"/>
        <v>#DIV/0!</v>
      </c>
      <c r="O79" s="3" t="e">
        <f>MROUND((ARTICULOS_MAYORISTA[[#This Row],[Precio]]/0.6),10)</f>
        <v>#DIV/0!</v>
      </c>
      <c r="P79" t="s">
        <v>8693</v>
      </c>
      <c r="Q79">
        <v>2</v>
      </c>
      <c r="R79" s="3">
        <f>ARTICULOS_MAYORISTA[[#This Row],[Bulto]]+ARTICULOS_MAYORISTA[[#This Row],[Minimo]]</f>
        <v>8</v>
      </c>
      <c r="S79" t="s">
        <v>35</v>
      </c>
      <c r="T79" t="s">
        <v>4</v>
      </c>
      <c r="U79" t="s">
        <v>75</v>
      </c>
      <c r="V79" t="s">
        <v>10482</v>
      </c>
      <c r="W79" t="s">
        <v>8692</v>
      </c>
      <c r="X79">
        <v>1</v>
      </c>
      <c r="Y79" s="36">
        <v>65</v>
      </c>
      <c r="Z79" t="s">
        <v>8692</v>
      </c>
      <c r="AB79" s="80" t="e">
        <f>ARTICULOS_MAYORISTA[[#This Row],[Costo]]*ARTICULOS_MAYORISTA[[#This Row],[Pedido]]</f>
        <v>#DIV/0!</v>
      </c>
      <c r="AF79" s="2"/>
      <c r="AH79" s="2" t="str">
        <f>IF(AND(ARTICULOS_MAYORISTA[[#This Row],[FechaVenc]]=0,ARTICULOS_MAYORISTA[[#This Row],[DiasVenc]]=0),"",ARTICULOS_MAYORISTA[[#This Row],[FechaVenc]]-ARTICULOS_MAYORISTA[[#This Row],[DiasVenc]])</f>
        <v/>
      </c>
      <c r="AO79" s="30" t="s">
        <v>8689</v>
      </c>
    </row>
    <row r="80" spans="1:41" hidden="1" x14ac:dyDescent="0.25">
      <c r="A80" s="1" t="s">
        <v>10489</v>
      </c>
      <c r="C80" t="str">
        <f t="shared" si="8"/>
        <v>ALM87120363</v>
      </c>
      <c r="D80" t="s">
        <v>8689</v>
      </c>
      <c r="E80" s="24" t="s">
        <v>9174</v>
      </c>
      <c r="F80" s="61"/>
      <c r="G80" s="3">
        <v>0</v>
      </c>
      <c r="H80" s="4" t="s">
        <v>8690</v>
      </c>
      <c r="I80">
        <v>6</v>
      </c>
      <c r="J80"/>
      <c r="K80">
        <v>0</v>
      </c>
      <c r="L80" s="65" t="e">
        <f>((ARTICULOS_MAYORISTA[[#This Row],[P. Compra]]*(1+ARTICULOS_MAYORISTA[[#This Row],[IVA]]%))/ARTICULOS_MAYORISTA[[#This Row],[UnidFact]])+ARTICULOS_MAYORISTA[[#This Row],[Flete]]</f>
        <v>#DIV/0!</v>
      </c>
      <c r="M80">
        <v>30</v>
      </c>
      <c r="N80" s="63" t="e">
        <f t="shared" si="9"/>
        <v>#DIV/0!</v>
      </c>
      <c r="O80" s="3" t="e">
        <f>MROUND((ARTICULOS_MAYORISTA[[#This Row],[Precio]]/0.6),10)</f>
        <v>#DIV/0!</v>
      </c>
      <c r="P80" t="s">
        <v>8693</v>
      </c>
      <c r="Q80">
        <v>2</v>
      </c>
      <c r="R80" s="3">
        <f>ARTICULOS_MAYORISTA[[#This Row],[Bulto]]+ARTICULOS_MAYORISTA[[#This Row],[Minimo]]</f>
        <v>8</v>
      </c>
      <c r="S80" t="s">
        <v>35</v>
      </c>
      <c r="T80" t="s">
        <v>4</v>
      </c>
      <c r="U80" t="s">
        <v>75</v>
      </c>
      <c r="V80" t="s">
        <v>10488</v>
      </c>
      <c r="W80" t="s">
        <v>8692</v>
      </c>
      <c r="X80">
        <v>1</v>
      </c>
      <c r="Y80" s="36">
        <v>1</v>
      </c>
      <c r="Z80" t="s">
        <v>8692</v>
      </c>
      <c r="AB80" s="80" t="e">
        <f>ARTICULOS_MAYORISTA[[#This Row],[Costo]]*ARTICULOS_MAYORISTA[[#This Row],[Pedido]]</f>
        <v>#DIV/0!</v>
      </c>
      <c r="AF80" s="2"/>
      <c r="AH80" s="2" t="str">
        <f>IF(AND(ARTICULOS_MAYORISTA[[#This Row],[FechaVenc]]=0,ARTICULOS_MAYORISTA[[#This Row],[DiasVenc]]=0),"",ARTICULOS_MAYORISTA[[#This Row],[FechaVenc]]-ARTICULOS_MAYORISTA[[#This Row],[DiasVenc]])</f>
        <v/>
      </c>
      <c r="AO80" s="30" t="s">
        <v>8689</v>
      </c>
    </row>
    <row r="81" spans="1:41" hidden="1" x14ac:dyDescent="0.25">
      <c r="A81" s="1" t="s">
        <v>10496</v>
      </c>
      <c r="C81" t="str">
        <f t="shared" si="8"/>
        <v>ALM87001785</v>
      </c>
      <c r="D81" t="s">
        <v>8689</v>
      </c>
      <c r="E81" s="24" t="s">
        <v>9174</v>
      </c>
      <c r="F81" s="61"/>
      <c r="G81" s="3">
        <v>0</v>
      </c>
      <c r="H81" s="4" t="s">
        <v>8690</v>
      </c>
      <c r="I81">
        <v>6</v>
      </c>
      <c r="J81"/>
      <c r="K81">
        <v>0</v>
      </c>
      <c r="L81" s="65" t="e">
        <f>((ARTICULOS_MAYORISTA[[#This Row],[P. Compra]]*(1+ARTICULOS_MAYORISTA[[#This Row],[IVA]]%))/ARTICULOS_MAYORISTA[[#This Row],[UnidFact]])+ARTICULOS_MAYORISTA[[#This Row],[Flete]]</f>
        <v>#DIV/0!</v>
      </c>
      <c r="M81">
        <v>30</v>
      </c>
      <c r="N81" s="63" t="e">
        <f t="shared" si="9"/>
        <v>#DIV/0!</v>
      </c>
      <c r="O81" s="3" t="e">
        <f>MROUND((ARTICULOS_MAYORISTA[[#This Row],[Precio]]/0.6),10)</f>
        <v>#DIV/0!</v>
      </c>
      <c r="P81" t="s">
        <v>8693</v>
      </c>
      <c r="Q81">
        <v>2</v>
      </c>
      <c r="R81" s="3">
        <f>ARTICULOS_MAYORISTA[[#This Row],[Bulto]]+ARTICULOS_MAYORISTA[[#This Row],[Minimo]]</f>
        <v>8</v>
      </c>
      <c r="S81" t="s">
        <v>35</v>
      </c>
      <c r="T81" t="s">
        <v>4</v>
      </c>
      <c r="U81" t="s">
        <v>75</v>
      </c>
      <c r="V81" t="s">
        <v>10488</v>
      </c>
      <c r="W81" t="s">
        <v>8692</v>
      </c>
      <c r="X81">
        <v>1</v>
      </c>
      <c r="Y81" s="36">
        <v>3</v>
      </c>
      <c r="Z81" t="s">
        <v>8692</v>
      </c>
      <c r="AB81" s="80" t="e">
        <f>ARTICULOS_MAYORISTA[[#This Row],[Costo]]*ARTICULOS_MAYORISTA[[#This Row],[Pedido]]</f>
        <v>#DIV/0!</v>
      </c>
      <c r="AF81" s="2"/>
      <c r="AH81" s="2" t="str">
        <f>IF(AND(ARTICULOS_MAYORISTA[[#This Row],[FechaVenc]]=0,ARTICULOS_MAYORISTA[[#This Row],[DiasVenc]]=0),"",ARTICULOS_MAYORISTA[[#This Row],[FechaVenc]]-ARTICULOS_MAYORISTA[[#This Row],[DiasVenc]])</f>
        <v/>
      </c>
      <c r="AO81" s="30" t="s">
        <v>8689</v>
      </c>
    </row>
    <row r="82" spans="1:41" hidden="1" x14ac:dyDescent="0.25">
      <c r="A82" s="1" t="s">
        <v>10497</v>
      </c>
      <c r="C82" t="str">
        <f t="shared" si="8"/>
        <v>ALM87711837</v>
      </c>
      <c r="D82" t="s">
        <v>8689</v>
      </c>
      <c r="E82" s="24" t="s">
        <v>9174</v>
      </c>
      <c r="F82" s="61"/>
      <c r="G82" s="3">
        <v>0</v>
      </c>
      <c r="H82" s="4" t="s">
        <v>8690</v>
      </c>
      <c r="I82">
        <v>6</v>
      </c>
      <c r="J82"/>
      <c r="K82">
        <v>0</v>
      </c>
      <c r="L82" s="65" t="e">
        <f>((ARTICULOS_MAYORISTA[[#This Row],[P. Compra]]*(1+ARTICULOS_MAYORISTA[[#This Row],[IVA]]%))/ARTICULOS_MAYORISTA[[#This Row],[UnidFact]])+ARTICULOS_MAYORISTA[[#This Row],[Flete]]</f>
        <v>#DIV/0!</v>
      </c>
      <c r="M82">
        <v>30</v>
      </c>
      <c r="N82" s="63" t="e">
        <f t="shared" si="9"/>
        <v>#DIV/0!</v>
      </c>
      <c r="O82" s="3" t="e">
        <f>MROUND((ARTICULOS_MAYORISTA[[#This Row],[Precio]]/0.6),10)</f>
        <v>#DIV/0!</v>
      </c>
      <c r="P82" t="s">
        <v>8693</v>
      </c>
      <c r="Q82">
        <v>2</v>
      </c>
      <c r="R82" s="3">
        <f>ARTICULOS_MAYORISTA[[#This Row],[Bulto]]+ARTICULOS_MAYORISTA[[#This Row],[Minimo]]</f>
        <v>8</v>
      </c>
      <c r="S82" t="s">
        <v>35</v>
      </c>
      <c r="T82" t="s">
        <v>4</v>
      </c>
      <c r="U82" t="s">
        <v>75</v>
      </c>
      <c r="V82" t="s">
        <v>10488</v>
      </c>
      <c r="W82" t="s">
        <v>8692</v>
      </c>
      <c r="X82">
        <v>1</v>
      </c>
      <c r="Y82" s="36">
        <v>3</v>
      </c>
      <c r="Z82" t="s">
        <v>8692</v>
      </c>
      <c r="AB82" s="80" t="e">
        <f>ARTICULOS_MAYORISTA[[#This Row],[Costo]]*ARTICULOS_MAYORISTA[[#This Row],[Pedido]]</f>
        <v>#DIV/0!</v>
      </c>
      <c r="AF82" s="2"/>
      <c r="AH82" s="2" t="str">
        <f>IF(AND(ARTICULOS_MAYORISTA[[#This Row],[FechaVenc]]=0,ARTICULOS_MAYORISTA[[#This Row],[DiasVenc]]=0),"",ARTICULOS_MAYORISTA[[#This Row],[FechaVenc]]-ARTICULOS_MAYORISTA[[#This Row],[DiasVenc]])</f>
        <v/>
      </c>
      <c r="AO82" s="30" t="s">
        <v>8689</v>
      </c>
    </row>
    <row r="83" spans="1:41" hidden="1" x14ac:dyDescent="0.25">
      <c r="A83" s="1" t="s">
        <v>10500</v>
      </c>
      <c r="C83" t="str">
        <f t="shared" si="8"/>
        <v>ALM87800142</v>
      </c>
      <c r="D83" t="s">
        <v>8689</v>
      </c>
      <c r="E83" s="24" t="s">
        <v>9174</v>
      </c>
      <c r="F83" s="61"/>
      <c r="G83" s="3">
        <v>0</v>
      </c>
      <c r="H83" s="4" t="s">
        <v>8690</v>
      </c>
      <c r="I83">
        <v>6</v>
      </c>
      <c r="J83"/>
      <c r="K83">
        <v>0</v>
      </c>
      <c r="L83" s="65" t="e">
        <f>((ARTICULOS_MAYORISTA[[#This Row],[P. Compra]]*(1+ARTICULOS_MAYORISTA[[#This Row],[IVA]]%))/ARTICULOS_MAYORISTA[[#This Row],[UnidFact]])+ARTICULOS_MAYORISTA[[#This Row],[Flete]]</f>
        <v>#DIV/0!</v>
      </c>
      <c r="M83">
        <v>30</v>
      </c>
      <c r="N83" s="63" t="e">
        <f t="shared" si="9"/>
        <v>#DIV/0!</v>
      </c>
      <c r="O83" s="3" t="e">
        <f>MROUND((ARTICULOS_MAYORISTA[[#This Row],[Precio]]/0.6),10)</f>
        <v>#DIV/0!</v>
      </c>
      <c r="P83" t="s">
        <v>8693</v>
      </c>
      <c r="Q83">
        <v>2</v>
      </c>
      <c r="R83" s="3">
        <f>ARTICULOS_MAYORISTA[[#This Row],[Bulto]]+ARTICULOS_MAYORISTA[[#This Row],[Minimo]]</f>
        <v>8</v>
      </c>
      <c r="S83" t="s">
        <v>35</v>
      </c>
      <c r="T83" t="s">
        <v>4</v>
      </c>
      <c r="U83" t="s">
        <v>75</v>
      </c>
      <c r="V83" t="s">
        <v>10488</v>
      </c>
      <c r="W83" t="s">
        <v>8692</v>
      </c>
      <c r="X83">
        <v>1</v>
      </c>
      <c r="Y83" s="36">
        <v>3</v>
      </c>
      <c r="Z83" t="s">
        <v>8692</v>
      </c>
      <c r="AB83" s="80" t="e">
        <f>ARTICULOS_MAYORISTA[[#This Row],[Costo]]*ARTICULOS_MAYORISTA[[#This Row],[Pedido]]</f>
        <v>#DIV/0!</v>
      </c>
      <c r="AF83" s="2"/>
      <c r="AH83" s="2" t="str">
        <f>IF(AND(ARTICULOS_MAYORISTA[[#This Row],[FechaVenc]]=0,ARTICULOS_MAYORISTA[[#This Row],[DiasVenc]]=0),"",ARTICULOS_MAYORISTA[[#This Row],[FechaVenc]]-ARTICULOS_MAYORISTA[[#This Row],[DiasVenc]])</f>
        <v/>
      </c>
      <c r="AO83" s="30" t="s">
        <v>8689</v>
      </c>
    </row>
    <row r="84" spans="1:41" hidden="1" x14ac:dyDescent="0.25">
      <c r="A84" s="1" t="s">
        <v>10486</v>
      </c>
      <c r="C84" t="str">
        <f t="shared" si="8"/>
        <v>ALM87800050</v>
      </c>
      <c r="D84" t="s">
        <v>8689</v>
      </c>
      <c r="E84" s="1" t="s">
        <v>10487</v>
      </c>
      <c r="F84" s="61"/>
      <c r="G84" s="3">
        <v>0</v>
      </c>
      <c r="H84" s="4" t="s">
        <v>8690</v>
      </c>
      <c r="I84">
        <v>6</v>
      </c>
      <c r="J84"/>
      <c r="K84">
        <v>0</v>
      </c>
      <c r="L84" s="65" t="e">
        <f>((ARTICULOS_MAYORISTA[[#This Row],[P. Compra]]*(1+ARTICULOS_MAYORISTA[[#This Row],[IVA]]%))/ARTICULOS_MAYORISTA[[#This Row],[UnidFact]])+ARTICULOS_MAYORISTA[[#This Row],[Flete]]</f>
        <v>#DIV/0!</v>
      </c>
      <c r="M84">
        <v>30</v>
      </c>
      <c r="N84" s="63" t="e">
        <f t="shared" si="9"/>
        <v>#DIV/0!</v>
      </c>
      <c r="O84" s="3" t="e">
        <f>MROUND((ARTICULOS_MAYORISTA[[#This Row],[Precio]]/0.6),10)</f>
        <v>#DIV/0!</v>
      </c>
      <c r="P84" t="s">
        <v>8693</v>
      </c>
      <c r="Q84">
        <v>2</v>
      </c>
      <c r="R84" s="3">
        <f>ARTICULOS_MAYORISTA[[#This Row],[Bulto]]+ARTICULOS_MAYORISTA[[#This Row],[Minimo]]</f>
        <v>8</v>
      </c>
      <c r="S84" t="s">
        <v>35</v>
      </c>
      <c r="T84" t="s">
        <v>4</v>
      </c>
      <c r="U84" t="s">
        <v>75</v>
      </c>
      <c r="V84" t="s">
        <v>10488</v>
      </c>
      <c r="W84" t="s">
        <v>8692</v>
      </c>
      <c r="X84">
        <v>1</v>
      </c>
      <c r="Y84" s="36">
        <v>6</v>
      </c>
      <c r="Z84" t="s">
        <v>8692</v>
      </c>
      <c r="AB84" s="80" t="e">
        <f>ARTICULOS_MAYORISTA[[#This Row],[Costo]]*ARTICULOS_MAYORISTA[[#This Row],[Pedido]]</f>
        <v>#DIV/0!</v>
      </c>
      <c r="AF84" s="2"/>
      <c r="AH84" s="2" t="str">
        <f>IF(AND(ARTICULOS_MAYORISTA[[#This Row],[FechaVenc]]=0,ARTICULOS_MAYORISTA[[#This Row],[DiasVenc]]=0),"",ARTICULOS_MAYORISTA[[#This Row],[FechaVenc]]-ARTICULOS_MAYORISTA[[#This Row],[DiasVenc]])</f>
        <v/>
      </c>
      <c r="AO84" s="30" t="s">
        <v>8689</v>
      </c>
    </row>
    <row r="85" spans="1:41" hidden="1" x14ac:dyDescent="0.25">
      <c r="A85" s="1" t="s">
        <v>10490</v>
      </c>
      <c r="C85" t="str">
        <f t="shared" si="8"/>
        <v>ALM87000290</v>
      </c>
      <c r="D85" t="s">
        <v>8689</v>
      </c>
      <c r="E85" s="1" t="s">
        <v>10491</v>
      </c>
      <c r="F85" s="61"/>
      <c r="G85" s="3">
        <v>0</v>
      </c>
      <c r="H85" s="4" t="s">
        <v>8690</v>
      </c>
      <c r="I85">
        <v>6</v>
      </c>
      <c r="J85"/>
      <c r="K85">
        <v>0</v>
      </c>
      <c r="L85" s="65" t="e">
        <f>((ARTICULOS_MAYORISTA[[#This Row],[P. Compra]]*(1+ARTICULOS_MAYORISTA[[#This Row],[IVA]]%))/ARTICULOS_MAYORISTA[[#This Row],[UnidFact]])+ARTICULOS_MAYORISTA[[#This Row],[Flete]]</f>
        <v>#DIV/0!</v>
      </c>
      <c r="M85">
        <v>30</v>
      </c>
      <c r="N85" s="63" t="e">
        <f t="shared" si="9"/>
        <v>#DIV/0!</v>
      </c>
      <c r="O85" s="3" t="e">
        <f>MROUND((ARTICULOS_MAYORISTA[[#This Row],[Precio]]/0.6),10)</f>
        <v>#DIV/0!</v>
      </c>
      <c r="P85" t="s">
        <v>8693</v>
      </c>
      <c r="Q85">
        <v>2</v>
      </c>
      <c r="R85" s="3">
        <f>ARTICULOS_MAYORISTA[[#This Row],[Bulto]]+ARTICULOS_MAYORISTA[[#This Row],[Minimo]]</f>
        <v>8</v>
      </c>
      <c r="S85" t="s">
        <v>35</v>
      </c>
      <c r="T85" t="s">
        <v>4</v>
      </c>
      <c r="U85" t="s">
        <v>75</v>
      </c>
      <c r="V85" t="s">
        <v>10488</v>
      </c>
      <c r="W85" t="s">
        <v>8692</v>
      </c>
      <c r="X85">
        <v>1</v>
      </c>
      <c r="Y85" s="36">
        <v>1</v>
      </c>
      <c r="Z85" t="s">
        <v>8692</v>
      </c>
      <c r="AB85" s="80" t="e">
        <f>ARTICULOS_MAYORISTA[[#This Row],[Costo]]*ARTICULOS_MAYORISTA[[#This Row],[Pedido]]</f>
        <v>#DIV/0!</v>
      </c>
      <c r="AF85" s="2"/>
      <c r="AH85" s="2" t="str">
        <f>IF(AND(ARTICULOS_MAYORISTA[[#This Row],[FechaVenc]]=0,ARTICULOS_MAYORISTA[[#This Row],[DiasVenc]]=0),"",ARTICULOS_MAYORISTA[[#This Row],[FechaVenc]]-ARTICULOS_MAYORISTA[[#This Row],[DiasVenc]])</f>
        <v/>
      </c>
      <c r="AO85" s="30" t="s">
        <v>8689</v>
      </c>
    </row>
    <row r="86" spans="1:41" hidden="1" x14ac:dyDescent="0.25">
      <c r="A86" s="1" t="s">
        <v>10492</v>
      </c>
      <c r="C86" t="str">
        <f t="shared" si="8"/>
        <v>ALM87712056</v>
      </c>
      <c r="D86" t="s">
        <v>8689</v>
      </c>
      <c r="E86" s="1" t="s">
        <v>10493</v>
      </c>
      <c r="F86" s="61"/>
      <c r="G86" s="3">
        <v>0</v>
      </c>
      <c r="H86" s="4" t="s">
        <v>8690</v>
      </c>
      <c r="I86">
        <v>6</v>
      </c>
      <c r="J86"/>
      <c r="K86">
        <v>0</v>
      </c>
      <c r="L86" s="65" t="e">
        <f>((ARTICULOS_MAYORISTA[[#This Row],[P. Compra]]*(1+ARTICULOS_MAYORISTA[[#This Row],[IVA]]%))/ARTICULOS_MAYORISTA[[#This Row],[UnidFact]])+ARTICULOS_MAYORISTA[[#This Row],[Flete]]</f>
        <v>#DIV/0!</v>
      </c>
      <c r="M86">
        <v>30</v>
      </c>
      <c r="N86" s="63" t="e">
        <f t="shared" si="9"/>
        <v>#DIV/0!</v>
      </c>
      <c r="O86" s="3" t="e">
        <f>MROUND((ARTICULOS_MAYORISTA[[#This Row],[Precio]]/0.6),10)</f>
        <v>#DIV/0!</v>
      </c>
      <c r="P86" t="s">
        <v>8693</v>
      </c>
      <c r="Q86">
        <v>2</v>
      </c>
      <c r="R86" s="3">
        <f>ARTICULOS_MAYORISTA[[#This Row],[Bulto]]+ARTICULOS_MAYORISTA[[#This Row],[Minimo]]</f>
        <v>8</v>
      </c>
      <c r="S86" t="s">
        <v>35</v>
      </c>
      <c r="T86" t="s">
        <v>4</v>
      </c>
      <c r="U86" t="s">
        <v>75</v>
      </c>
      <c r="V86" t="s">
        <v>10488</v>
      </c>
      <c r="W86" t="s">
        <v>8692</v>
      </c>
      <c r="X86">
        <v>1</v>
      </c>
      <c r="Y86" s="36">
        <v>4</v>
      </c>
      <c r="Z86" t="s">
        <v>8692</v>
      </c>
      <c r="AB86" s="80" t="e">
        <f>ARTICULOS_MAYORISTA[[#This Row],[Costo]]*ARTICULOS_MAYORISTA[[#This Row],[Pedido]]</f>
        <v>#DIV/0!</v>
      </c>
      <c r="AF86" s="2"/>
      <c r="AH86" s="2" t="str">
        <f>IF(AND(ARTICULOS_MAYORISTA[[#This Row],[FechaVenc]]=0,ARTICULOS_MAYORISTA[[#This Row],[DiasVenc]]=0),"",ARTICULOS_MAYORISTA[[#This Row],[FechaVenc]]-ARTICULOS_MAYORISTA[[#This Row],[DiasVenc]])</f>
        <v/>
      </c>
      <c r="AO86" s="30" t="s">
        <v>8689</v>
      </c>
    </row>
    <row r="87" spans="1:41" hidden="1" x14ac:dyDescent="0.25">
      <c r="A87" s="1" t="s">
        <v>10494</v>
      </c>
      <c r="C87" t="str">
        <f t="shared" si="8"/>
        <v>ALM87000283</v>
      </c>
      <c r="D87" t="s">
        <v>8689</v>
      </c>
      <c r="E87" s="1" t="s">
        <v>10495</v>
      </c>
      <c r="F87" s="61"/>
      <c r="G87" s="3">
        <v>0</v>
      </c>
      <c r="H87" s="4" t="s">
        <v>8690</v>
      </c>
      <c r="I87">
        <v>6</v>
      </c>
      <c r="J87"/>
      <c r="K87">
        <v>0</v>
      </c>
      <c r="L87" s="65" t="e">
        <f>((ARTICULOS_MAYORISTA[[#This Row],[P. Compra]]*(1+ARTICULOS_MAYORISTA[[#This Row],[IVA]]%))/ARTICULOS_MAYORISTA[[#This Row],[UnidFact]])+ARTICULOS_MAYORISTA[[#This Row],[Flete]]</f>
        <v>#DIV/0!</v>
      </c>
      <c r="M87">
        <v>30</v>
      </c>
      <c r="N87" s="63" t="e">
        <f t="shared" si="9"/>
        <v>#DIV/0!</v>
      </c>
      <c r="O87" s="3" t="e">
        <f>MROUND((ARTICULOS_MAYORISTA[[#This Row],[Precio]]/0.6),10)</f>
        <v>#DIV/0!</v>
      </c>
      <c r="P87" t="s">
        <v>8693</v>
      </c>
      <c r="Q87">
        <v>2</v>
      </c>
      <c r="R87" s="3">
        <f>ARTICULOS_MAYORISTA[[#This Row],[Bulto]]+ARTICULOS_MAYORISTA[[#This Row],[Minimo]]</f>
        <v>8</v>
      </c>
      <c r="S87" t="s">
        <v>35</v>
      </c>
      <c r="T87" t="s">
        <v>4</v>
      </c>
      <c r="U87" t="s">
        <v>75</v>
      </c>
      <c r="V87" t="s">
        <v>10488</v>
      </c>
      <c r="W87" t="s">
        <v>8692</v>
      </c>
      <c r="X87">
        <v>1</v>
      </c>
      <c r="Y87" s="36">
        <v>0</v>
      </c>
      <c r="Z87" t="s">
        <v>8692</v>
      </c>
      <c r="AB87" s="80" t="e">
        <f>ARTICULOS_MAYORISTA[[#This Row],[Costo]]*ARTICULOS_MAYORISTA[[#This Row],[Pedido]]</f>
        <v>#DIV/0!</v>
      </c>
      <c r="AF87" s="2"/>
      <c r="AH87" s="2" t="str">
        <f>IF(AND(ARTICULOS_MAYORISTA[[#This Row],[FechaVenc]]=0,ARTICULOS_MAYORISTA[[#This Row],[DiasVenc]]=0),"",ARTICULOS_MAYORISTA[[#This Row],[FechaVenc]]-ARTICULOS_MAYORISTA[[#This Row],[DiasVenc]])</f>
        <v/>
      </c>
      <c r="AO87" s="30" t="s">
        <v>8689</v>
      </c>
    </row>
    <row r="88" spans="1:41" hidden="1" x14ac:dyDescent="0.25">
      <c r="A88" s="1" t="s">
        <v>10498</v>
      </c>
      <c r="C88" t="str">
        <f t="shared" si="8"/>
        <v>ALM87800135</v>
      </c>
      <c r="D88" t="s">
        <v>8689</v>
      </c>
      <c r="E88" s="1" t="s">
        <v>10499</v>
      </c>
      <c r="F88" s="61"/>
      <c r="G88" s="3">
        <v>0</v>
      </c>
      <c r="H88" s="4" t="s">
        <v>8690</v>
      </c>
      <c r="I88">
        <v>6</v>
      </c>
      <c r="J88"/>
      <c r="K88">
        <v>0</v>
      </c>
      <c r="L88" s="65" t="e">
        <f>((ARTICULOS_MAYORISTA[[#This Row],[P. Compra]]*(1+ARTICULOS_MAYORISTA[[#This Row],[IVA]]%))/ARTICULOS_MAYORISTA[[#This Row],[UnidFact]])+ARTICULOS_MAYORISTA[[#This Row],[Flete]]</f>
        <v>#DIV/0!</v>
      </c>
      <c r="M88">
        <v>30</v>
      </c>
      <c r="N88" s="63" t="e">
        <f t="shared" si="9"/>
        <v>#DIV/0!</v>
      </c>
      <c r="O88" s="3" t="e">
        <f>MROUND((ARTICULOS_MAYORISTA[[#This Row],[Precio]]/0.6),10)</f>
        <v>#DIV/0!</v>
      </c>
      <c r="P88" t="s">
        <v>8693</v>
      </c>
      <c r="Q88">
        <v>2</v>
      </c>
      <c r="R88" s="3">
        <f>ARTICULOS_MAYORISTA[[#This Row],[Bulto]]+ARTICULOS_MAYORISTA[[#This Row],[Minimo]]</f>
        <v>8</v>
      </c>
      <c r="S88" t="s">
        <v>35</v>
      </c>
      <c r="T88" t="s">
        <v>4</v>
      </c>
      <c r="U88" t="s">
        <v>75</v>
      </c>
      <c r="V88" t="s">
        <v>10488</v>
      </c>
      <c r="W88" t="s">
        <v>8692</v>
      </c>
      <c r="X88">
        <v>1</v>
      </c>
      <c r="Y88" s="36">
        <v>4</v>
      </c>
      <c r="Z88" t="s">
        <v>8692</v>
      </c>
      <c r="AB88" s="80" t="e">
        <f>ARTICULOS_MAYORISTA[[#This Row],[Costo]]*ARTICULOS_MAYORISTA[[#This Row],[Pedido]]</f>
        <v>#DIV/0!</v>
      </c>
      <c r="AF88" s="2"/>
      <c r="AH88" s="2" t="str">
        <f>IF(AND(ARTICULOS_MAYORISTA[[#This Row],[FechaVenc]]=0,ARTICULOS_MAYORISTA[[#This Row],[DiasVenc]]=0),"",ARTICULOS_MAYORISTA[[#This Row],[FechaVenc]]-ARTICULOS_MAYORISTA[[#This Row],[DiasVenc]])</f>
        <v/>
      </c>
      <c r="AO88" s="30" t="s">
        <v>8689</v>
      </c>
    </row>
    <row r="89" spans="1:41" hidden="1" x14ac:dyDescent="0.25">
      <c r="A89" s="1" t="s">
        <v>10501</v>
      </c>
      <c r="C89" t="str">
        <f t="shared" si="8"/>
        <v>ALM87013634</v>
      </c>
      <c r="D89" t="s">
        <v>8689</v>
      </c>
      <c r="E89" s="1" t="s">
        <v>10502</v>
      </c>
      <c r="F89" s="61"/>
      <c r="G89" s="3">
        <v>0</v>
      </c>
      <c r="H89" s="4" t="s">
        <v>8690</v>
      </c>
      <c r="I89">
        <v>6</v>
      </c>
      <c r="J89"/>
      <c r="K89">
        <v>0</v>
      </c>
      <c r="L89" s="65" t="e">
        <f>((ARTICULOS_MAYORISTA[[#This Row],[P. Compra]]*(1+ARTICULOS_MAYORISTA[[#This Row],[IVA]]%))/ARTICULOS_MAYORISTA[[#This Row],[UnidFact]])+ARTICULOS_MAYORISTA[[#This Row],[Flete]]</f>
        <v>#DIV/0!</v>
      </c>
      <c r="M89">
        <v>25</v>
      </c>
      <c r="N89" s="63" t="e">
        <f t="shared" si="9"/>
        <v>#DIV/0!</v>
      </c>
      <c r="O89" s="3" t="e">
        <f>MROUND((ARTICULOS_MAYORISTA[[#This Row],[Precio]]/0.6),10)</f>
        <v>#DIV/0!</v>
      </c>
      <c r="P89" t="s">
        <v>8693</v>
      </c>
      <c r="Q89">
        <v>2</v>
      </c>
      <c r="R89" s="3">
        <f>ARTICULOS_MAYORISTA[[#This Row],[Bulto]]+ARTICULOS_MAYORISTA[[#This Row],[Minimo]]</f>
        <v>8</v>
      </c>
      <c r="S89" t="s">
        <v>35</v>
      </c>
      <c r="T89" t="s">
        <v>4</v>
      </c>
      <c r="U89" t="s">
        <v>75</v>
      </c>
      <c r="V89" t="s">
        <v>10488</v>
      </c>
      <c r="W89" t="s">
        <v>8692</v>
      </c>
      <c r="X89">
        <v>1</v>
      </c>
      <c r="Y89" s="36">
        <v>0</v>
      </c>
      <c r="Z89" t="s">
        <v>8692</v>
      </c>
      <c r="AB89" s="80" t="e">
        <f>ARTICULOS_MAYORISTA[[#This Row],[Costo]]*ARTICULOS_MAYORISTA[[#This Row],[Pedido]]</f>
        <v>#DIV/0!</v>
      </c>
      <c r="AF89" s="2"/>
      <c r="AH89" s="2" t="str">
        <f>IF(AND(ARTICULOS_MAYORISTA[[#This Row],[FechaVenc]]=0,ARTICULOS_MAYORISTA[[#This Row],[DiasVenc]]=0),"",ARTICULOS_MAYORISTA[[#This Row],[FechaVenc]]-ARTICULOS_MAYORISTA[[#This Row],[DiasVenc]])</f>
        <v/>
      </c>
      <c r="AO89" s="30" t="s">
        <v>8689</v>
      </c>
    </row>
    <row r="90" spans="1:41" hidden="1" x14ac:dyDescent="0.25">
      <c r="A90" s="1" t="s">
        <v>10505</v>
      </c>
      <c r="C90" t="str">
        <f t="shared" si="8"/>
        <v>ALM87013504</v>
      </c>
      <c r="D90" t="s">
        <v>8689</v>
      </c>
      <c r="E90" s="24" t="s">
        <v>10506</v>
      </c>
      <c r="F90" s="61"/>
      <c r="G90" s="3">
        <v>0</v>
      </c>
      <c r="H90" s="4" t="s">
        <v>8690</v>
      </c>
      <c r="I90">
        <v>6</v>
      </c>
      <c r="J90"/>
      <c r="K90">
        <v>0</v>
      </c>
      <c r="L90" s="65" t="e">
        <f>((ARTICULOS_MAYORISTA[[#This Row],[P. Compra]]*(1+ARTICULOS_MAYORISTA[[#This Row],[IVA]]%))/ARTICULOS_MAYORISTA[[#This Row],[UnidFact]])+ARTICULOS_MAYORISTA[[#This Row],[Flete]]</f>
        <v>#DIV/0!</v>
      </c>
      <c r="M90">
        <v>25</v>
      </c>
      <c r="N90" s="63" t="e">
        <f t="shared" si="9"/>
        <v>#DIV/0!</v>
      </c>
      <c r="O90" s="3" t="e">
        <f>MROUND((ARTICULOS_MAYORISTA[[#This Row],[Precio]]/0.6),10)</f>
        <v>#DIV/0!</v>
      </c>
      <c r="P90" t="s">
        <v>8693</v>
      </c>
      <c r="Q90">
        <v>2</v>
      </c>
      <c r="R90" s="3">
        <f>ARTICULOS_MAYORISTA[[#This Row],[Bulto]]+ARTICULOS_MAYORISTA[[#This Row],[Minimo]]</f>
        <v>8</v>
      </c>
      <c r="S90" t="s">
        <v>35</v>
      </c>
      <c r="T90" t="s">
        <v>4</v>
      </c>
      <c r="U90" t="s">
        <v>75</v>
      </c>
      <c r="V90" t="s">
        <v>10488</v>
      </c>
      <c r="W90" t="s">
        <v>8692</v>
      </c>
      <c r="X90">
        <v>1</v>
      </c>
      <c r="Y90" s="36">
        <v>0</v>
      </c>
      <c r="Z90" t="s">
        <v>8692</v>
      </c>
      <c r="AB90" s="80" t="e">
        <f>ARTICULOS_MAYORISTA[[#This Row],[Costo]]*ARTICULOS_MAYORISTA[[#This Row],[Pedido]]</f>
        <v>#DIV/0!</v>
      </c>
      <c r="AF90" s="2"/>
      <c r="AH90" s="2" t="str">
        <f>IF(AND(ARTICULOS_MAYORISTA[[#This Row],[FechaVenc]]=0,ARTICULOS_MAYORISTA[[#This Row],[DiasVenc]]=0),"",ARTICULOS_MAYORISTA[[#This Row],[FechaVenc]]-ARTICULOS_MAYORISTA[[#This Row],[DiasVenc]])</f>
        <v/>
      </c>
      <c r="AO90" s="30" t="s">
        <v>8689</v>
      </c>
    </row>
    <row r="91" spans="1:41" hidden="1" x14ac:dyDescent="0.25">
      <c r="A91" s="1" t="s">
        <v>10503</v>
      </c>
      <c r="C91" t="str">
        <f t="shared" si="8"/>
        <v>ALM87013627</v>
      </c>
      <c r="D91" t="s">
        <v>8689</v>
      </c>
      <c r="E91" s="24" t="s">
        <v>10504</v>
      </c>
      <c r="F91" s="61"/>
      <c r="G91" s="3">
        <v>0</v>
      </c>
      <c r="H91" s="4" t="s">
        <v>8690</v>
      </c>
      <c r="I91">
        <v>6</v>
      </c>
      <c r="J91"/>
      <c r="K91">
        <v>0</v>
      </c>
      <c r="L91" s="65" t="e">
        <f>((ARTICULOS_MAYORISTA[[#This Row],[P. Compra]]*(1+ARTICULOS_MAYORISTA[[#This Row],[IVA]]%))/ARTICULOS_MAYORISTA[[#This Row],[UnidFact]])+ARTICULOS_MAYORISTA[[#This Row],[Flete]]</f>
        <v>#DIV/0!</v>
      </c>
      <c r="M91">
        <v>25</v>
      </c>
      <c r="N91" s="63" t="e">
        <f t="shared" si="9"/>
        <v>#DIV/0!</v>
      </c>
      <c r="O91" s="3" t="e">
        <f>MROUND((ARTICULOS_MAYORISTA[[#This Row],[Precio]]/0.6),10)</f>
        <v>#DIV/0!</v>
      </c>
      <c r="P91" t="s">
        <v>8693</v>
      </c>
      <c r="Q91">
        <v>2</v>
      </c>
      <c r="R91" s="3">
        <f>ARTICULOS_MAYORISTA[[#This Row],[Bulto]]+ARTICULOS_MAYORISTA[[#This Row],[Minimo]]</f>
        <v>8</v>
      </c>
      <c r="S91" t="s">
        <v>35</v>
      </c>
      <c r="T91" t="s">
        <v>4</v>
      </c>
      <c r="U91" t="s">
        <v>75</v>
      </c>
      <c r="V91" t="s">
        <v>10488</v>
      </c>
      <c r="W91" t="s">
        <v>8692</v>
      </c>
      <c r="X91">
        <v>1</v>
      </c>
      <c r="Y91" s="36">
        <v>3</v>
      </c>
      <c r="Z91" t="s">
        <v>8692</v>
      </c>
      <c r="AB91" s="80" t="e">
        <f>ARTICULOS_MAYORISTA[[#This Row],[Costo]]*ARTICULOS_MAYORISTA[[#This Row],[Pedido]]</f>
        <v>#DIV/0!</v>
      </c>
      <c r="AF91" s="2"/>
      <c r="AH91" s="2" t="str">
        <f>IF(AND(ARTICULOS_MAYORISTA[[#This Row],[FechaVenc]]=0,ARTICULOS_MAYORISTA[[#This Row],[DiasVenc]]=0),"",ARTICULOS_MAYORISTA[[#This Row],[FechaVenc]]-ARTICULOS_MAYORISTA[[#This Row],[DiasVenc]])</f>
        <v/>
      </c>
      <c r="AO91" s="30" t="s">
        <v>8689</v>
      </c>
    </row>
    <row r="92" spans="1:41" hidden="1" x14ac:dyDescent="0.25">
      <c r="A92" s="1" t="s">
        <v>10507</v>
      </c>
      <c r="C92" t="str">
        <f t="shared" si="8"/>
        <v>ALM87014631</v>
      </c>
      <c r="D92" t="s">
        <v>8689</v>
      </c>
      <c r="E92" s="1" t="s">
        <v>10508</v>
      </c>
      <c r="F92" s="61"/>
      <c r="G92" s="3">
        <v>0</v>
      </c>
      <c r="H92" s="4" t="s">
        <v>8690</v>
      </c>
      <c r="I92">
        <v>6</v>
      </c>
      <c r="J92"/>
      <c r="K92">
        <v>0</v>
      </c>
      <c r="L92" s="65" t="e">
        <f>((ARTICULOS_MAYORISTA[[#This Row],[P. Compra]]*(1+ARTICULOS_MAYORISTA[[#This Row],[IVA]]%))/ARTICULOS_MAYORISTA[[#This Row],[UnidFact]])+ARTICULOS_MAYORISTA[[#This Row],[Flete]]</f>
        <v>#DIV/0!</v>
      </c>
      <c r="M92">
        <v>30</v>
      </c>
      <c r="N92" s="63" t="e">
        <f t="shared" si="9"/>
        <v>#DIV/0!</v>
      </c>
      <c r="O92" s="3" t="e">
        <f>MROUND((ARTICULOS_MAYORISTA[[#This Row],[Precio]]/0.6),10)</f>
        <v>#DIV/0!</v>
      </c>
      <c r="P92" t="s">
        <v>8693</v>
      </c>
      <c r="Q92">
        <v>2</v>
      </c>
      <c r="R92" s="3">
        <f>ARTICULOS_MAYORISTA[[#This Row],[Bulto]]+ARTICULOS_MAYORISTA[[#This Row],[Minimo]]</f>
        <v>8</v>
      </c>
      <c r="S92" t="s">
        <v>35</v>
      </c>
      <c r="T92" t="s">
        <v>4</v>
      </c>
      <c r="U92" t="s">
        <v>75</v>
      </c>
      <c r="V92" t="s">
        <v>10509</v>
      </c>
      <c r="W92" t="s">
        <v>8692</v>
      </c>
      <c r="X92">
        <v>1</v>
      </c>
      <c r="Y92" s="36">
        <v>0</v>
      </c>
      <c r="Z92" t="s">
        <v>8692</v>
      </c>
      <c r="AB92" s="80" t="e">
        <f>ARTICULOS_MAYORISTA[[#This Row],[Costo]]*ARTICULOS_MAYORISTA[[#This Row],[Pedido]]</f>
        <v>#DIV/0!</v>
      </c>
      <c r="AF92" s="2"/>
      <c r="AH92" s="2" t="str">
        <f>IF(AND(ARTICULOS_MAYORISTA[[#This Row],[FechaVenc]]=0,ARTICULOS_MAYORISTA[[#This Row],[DiasVenc]]=0),"",ARTICULOS_MAYORISTA[[#This Row],[FechaVenc]]-ARTICULOS_MAYORISTA[[#This Row],[DiasVenc]])</f>
        <v/>
      </c>
      <c r="AO92" s="30" t="s">
        <v>8689</v>
      </c>
    </row>
    <row r="93" spans="1:41" hidden="1" x14ac:dyDescent="0.25">
      <c r="A93" s="1" t="s">
        <v>10510</v>
      </c>
      <c r="C93" t="str">
        <f t="shared" si="8"/>
        <v>ALM87014624</v>
      </c>
      <c r="D93" t="s">
        <v>8689</v>
      </c>
      <c r="E93" s="1" t="s">
        <v>10511</v>
      </c>
      <c r="F93" s="61"/>
      <c r="G93" s="3">
        <v>0</v>
      </c>
      <c r="H93" s="4" t="s">
        <v>8690</v>
      </c>
      <c r="I93">
        <v>6</v>
      </c>
      <c r="J93"/>
      <c r="K93">
        <v>0</v>
      </c>
      <c r="L93" s="65" t="e">
        <f>((ARTICULOS_MAYORISTA[[#This Row],[P. Compra]]*(1+ARTICULOS_MAYORISTA[[#This Row],[IVA]]%))/ARTICULOS_MAYORISTA[[#This Row],[UnidFact]])+ARTICULOS_MAYORISTA[[#This Row],[Flete]]</f>
        <v>#DIV/0!</v>
      </c>
      <c r="M93">
        <v>30</v>
      </c>
      <c r="N93" s="63" t="e">
        <f t="shared" si="9"/>
        <v>#DIV/0!</v>
      </c>
      <c r="O93" s="3" t="e">
        <f>MROUND((ARTICULOS_MAYORISTA[[#This Row],[Precio]]/0.6),10)</f>
        <v>#DIV/0!</v>
      </c>
      <c r="P93" t="s">
        <v>8693</v>
      </c>
      <c r="Q93">
        <v>2</v>
      </c>
      <c r="R93" s="3">
        <f>ARTICULOS_MAYORISTA[[#This Row],[Bulto]]+ARTICULOS_MAYORISTA[[#This Row],[Minimo]]</f>
        <v>8</v>
      </c>
      <c r="S93" t="s">
        <v>35</v>
      </c>
      <c r="T93" t="s">
        <v>4</v>
      </c>
      <c r="U93" t="s">
        <v>75</v>
      </c>
      <c r="V93" t="s">
        <v>10509</v>
      </c>
      <c r="W93" t="s">
        <v>8692</v>
      </c>
      <c r="X93">
        <v>1</v>
      </c>
      <c r="Y93" s="36">
        <v>8</v>
      </c>
      <c r="Z93" t="s">
        <v>8692</v>
      </c>
      <c r="AB93" s="80" t="e">
        <f>ARTICULOS_MAYORISTA[[#This Row],[Costo]]*ARTICULOS_MAYORISTA[[#This Row],[Pedido]]</f>
        <v>#DIV/0!</v>
      </c>
      <c r="AF93" s="2"/>
      <c r="AH93" s="2" t="str">
        <f>IF(AND(ARTICULOS_MAYORISTA[[#This Row],[FechaVenc]]=0,ARTICULOS_MAYORISTA[[#This Row],[DiasVenc]]=0),"",ARTICULOS_MAYORISTA[[#This Row],[FechaVenc]]-ARTICULOS_MAYORISTA[[#This Row],[DiasVenc]])</f>
        <v/>
      </c>
      <c r="AO93" s="30" t="s">
        <v>8689</v>
      </c>
    </row>
    <row r="94" spans="1:41" hidden="1" x14ac:dyDescent="0.25">
      <c r="A94" s="1" t="s">
        <v>10563</v>
      </c>
      <c r="C94" t="str">
        <f t="shared" si="8"/>
        <v>FRE42770103</v>
      </c>
      <c r="D94" t="s">
        <v>8689</v>
      </c>
      <c r="E94" s="1" t="s">
        <v>10564</v>
      </c>
      <c r="F94" s="61"/>
      <c r="G94" s="3">
        <v>0</v>
      </c>
      <c r="H94" s="4" t="s">
        <v>8690</v>
      </c>
      <c r="I94">
        <v>6</v>
      </c>
      <c r="J94"/>
      <c r="K94">
        <v>0</v>
      </c>
      <c r="L94" s="65" t="e">
        <f>((ARTICULOS_MAYORISTA[[#This Row],[P. Compra]]*(1+ARTICULOS_MAYORISTA[[#This Row],[IVA]]%))/ARTICULOS_MAYORISTA[[#This Row],[UnidFact]])+ARTICULOS_MAYORISTA[[#This Row],[Flete]]</f>
        <v>#DIV/0!</v>
      </c>
      <c r="M94">
        <v>30</v>
      </c>
      <c r="N94" s="63" t="e">
        <f t="shared" si="9"/>
        <v>#DIV/0!</v>
      </c>
      <c r="O94" s="3" t="e">
        <f>MROUND((ARTICULOS_MAYORISTA[[#This Row],[Precio]]/0.6),10)</f>
        <v>#DIV/0!</v>
      </c>
      <c r="P94" t="s">
        <v>8693</v>
      </c>
      <c r="Q94">
        <v>2</v>
      </c>
      <c r="R94" s="3">
        <f>ARTICULOS_MAYORISTA[[#This Row],[Bulto]]+ARTICULOS_MAYORISTA[[#This Row],[Minimo]]</f>
        <v>8</v>
      </c>
      <c r="S94" t="s">
        <v>35</v>
      </c>
      <c r="T94" t="s">
        <v>21</v>
      </c>
      <c r="U94" t="s">
        <v>79</v>
      </c>
      <c r="V94" t="s">
        <v>10516</v>
      </c>
      <c r="W94" t="s">
        <v>8692</v>
      </c>
      <c r="X94">
        <v>1</v>
      </c>
      <c r="Y94" s="36">
        <v>0</v>
      </c>
      <c r="Z94" t="s">
        <v>8692</v>
      </c>
      <c r="AB94" s="80" t="e">
        <f>ARTICULOS_MAYORISTA[[#This Row],[Costo]]*ARTICULOS_MAYORISTA[[#This Row],[Pedido]]</f>
        <v>#DIV/0!</v>
      </c>
      <c r="AF94" s="2"/>
      <c r="AH94" s="2" t="str">
        <f>IF(AND(ARTICULOS_MAYORISTA[[#This Row],[FechaVenc]]=0,ARTICULOS_MAYORISTA[[#This Row],[DiasVenc]]=0),"",ARTICULOS_MAYORISTA[[#This Row],[FechaVenc]]-ARTICULOS_MAYORISTA[[#This Row],[DiasVenc]])</f>
        <v/>
      </c>
      <c r="AO94" s="30" t="s">
        <v>8689</v>
      </c>
    </row>
    <row r="95" spans="1:41" hidden="1" x14ac:dyDescent="0.25">
      <c r="A95" s="1" t="s">
        <v>10565</v>
      </c>
      <c r="C95" t="str">
        <f t="shared" si="8"/>
        <v>FRE42770202</v>
      </c>
      <c r="D95" t="s">
        <v>8689</v>
      </c>
      <c r="E95" s="1" t="s">
        <v>10566</v>
      </c>
      <c r="F95" s="61"/>
      <c r="G95" s="3">
        <v>0</v>
      </c>
      <c r="H95" s="4" t="s">
        <v>8690</v>
      </c>
      <c r="I95">
        <v>6</v>
      </c>
      <c r="J95"/>
      <c r="K95">
        <v>0</v>
      </c>
      <c r="L95" s="65" t="e">
        <f>((ARTICULOS_MAYORISTA[[#This Row],[P. Compra]]*(1+ARTICULOS_MAYORISTA[[#This Row],[IVA]]%))/ARTICULOS_MAYORISTA[[#This Row],[UnidFact]])+ARTICULOS_MAYORISTA[[#This Row],[Flete]]</f>
        <v>#DIV/0!</v>
      </c>
      <c r="M95">
        <v>30</v>
      </c>
      <c r="N95" s="63" t="e">
        <f t="shared" si="9"/>
        <v>#DIV/0!</v>
      </c>
      <c r="O95" s="3" t="e">
        <f>MROUND((ARTICULOS_MAYORISTA[[#This Row],[Precio]]/0.6),10)</f>
        <v>#DIV/0!</v>
      </c>
      <c r="P95" t="s">
        <v>8693</v>
      </c>
      <c r="Q95">
        <v>2</v>
      </c>
      <c r="R95" s="3">
        <f>ARTICULOS_MAYORISTA[[#This Row],[Bulto]]+ARTICULOS_MAYORISTA[[#This Row],[Minimo]]</f>
        <v>8</v>
      </c>
      <c r="S95" t="s">
        <v>35</v>
      </c>
      <c r="T95" t="s">
        <v>21</v>
      </c>
      <c r="U95" t="s">
        <v>79</v>
      </c>
      <c r="V95" t="s">
        <v>10516</v>
      </c>
      <c r="W95" t="s">
        <v>8692</v>
      </c>
      <c r="X95">
        <v>1</v>
      </c>
      <c r="Y95" s="36">
        <v>0</v>
      </c>
      <c r="Z95" t="s">
        <v>8692</v>
      </c>
      <c r="AB95" s="80" t="e">
        <f>ARTICULOS_MAYORISTA[[#This Row],[Costo]]*ARTICULOS_MAYORISTA[[#This Row],[Pedido]]</f>
        <v>#DIV/0!</v>
      </c>
      <c r="AF95" s="2"/>
      <c r="AH95" s="2" t="str">
        <f>IF(AND(ARTICULOS_MAYORISTA[[#This Row],[FechaVenc]]=0,ARTICULOS_MAYORISTA[[#This Row],[DiasVenc]]=0),"",ARTICULOS_MAYORISTA[[#This Row],[FechaVenc]]-ARTICULOS_MAYORISTA[[#This Row],[DiasVenc]])</f>
        <v/>
      </c>
      <c r="AO95" s="30" t="s">
        <v>8689</v>
      </c>
    </row>
    <row r="96" spans="1:41" hidden="1" x14ac:dyDescent="0.25">
      <c r="A96" s="1" t="s">
        <v>10567</v>
      </c>
      <c r="C96" t="str">
        <f t="shared" si="8"/>
        <v>FRE42771209</v>
      </c>
      <c r="D96" t="s">
        <v>8689</v>
      </c>
      <c r="E96" s="24" t="s">
        <v>10568</v>
      </c>
      <c r="F96" s="61"/>
      <c r="G96" s="3">
        <v>0</v>
      </c>
      <c r="H96" s="4" t="s">
        <v>8690</v>
      </c>
      <c r="I96">
        <v>6</v>
      </c>
      <c r="J96"/>
      <c r="K96">
        <v>0</v>
      </c>
      <c r="L96" s="65" t="e">
        <f>((ARTICULOS_MAYORISTA[[#This Row],[P. Compra]]*(1+ARTICULOS_MAYORISTA[[#This Row],[IVA]]%))/ARTICULOS_MAYORISTA[[#This Row],[UnidFact]])+ARTICULOS_MAYORISTA[[#This Row],[Flete]]</f>
        <v>#DIV/0!</v>
      </c>
      <c r="M96">
        <v>30</v>
      </c>
      <c r="N96" s="63" t="e">
        <f t="shared" si="9"/>
        <v>#DIV/0!</v>
      </c>
      <c r="O96" s="3" t="e">
        <f>MROUND((ARTICULOS_MAYORISTA[[#This Row],[Precio]]/0.6),10)</f>
        <v>#DIV/0!</v>
      </c>
      <c r="P96" t="s">
        <v>8693</v>
      </c>
      <c r="Q96">
        <v>2</v>
      </c>
      <c r="R96" s="3">
        <f>ARTICULOS_MAYORISTA[[#This Row],[Bulto]]+ARTICULOS_MAYORISTA[[#This Row],[Minimo]]</f>
        <v>8</v>
      </c>
      <c r="S96" t="s">
        <v>35</v>
      </c>
      <c r="T96" t="s">
        <v>21</v>
      </c>
      <c r="U96" t="s">
        <v>79</v>
      </c>
      <c r="V96" t="s">
        <v>10516</v>
      </c>
      <c r="W96" t="s">
        <v>8692</v>
      </c>
      <c r="X96">
        <v>1</v>
      </c>
      <c r="Y96" s="36">
        <v>0</v>
      </c>
      <c r="Z96" t="s">
        <v>8692</v>
      </c>
      <c r="AB96" s="80" t="e">
        <f>ARTICULOS_MAYORISTA[[#This Row],[Costo]]*ARTICULOS_MAYORISTA[[#This Row],[Pedido]]</f>
        <v>#DIV/0!</v>
      </c>
      <c r="AF96" s="2"/>
      <c r="AH96" s="2" t="str">
        <f>IF(AND(ARTICULOS_MAYORISTA[[#This Row],[FechaVenc]]=0,ARTICULOS_MAYORISTA[[#This Row],[DiasVenc]]=0),"",ARTICULOS_MAYORISTA[[#This Row],[FechaVenc]]-ARTICULOS_MAYORISTA[[#This Row],[DiasVenc]])</f>
        <v/>
      </c>
      <c r="AO96" s="30" t="s">
        <v>8689</v>
      </c>
    </row>
    <row r="97" spans="1:41" hidden="1" x14ac:dyDescent="0.25">
      <c r="A97" s="1" t="s">
        <v>10569</v>
      </c>
      <c r="C97" t="str">
        <f t="shared" si="8"/>
        <v>FRE42770301</v>
      </c>
      <c r="D97" t="s">
        <v>8689</v>
      </c>
      <c r="E97" s="1" t="s">
        <v>10570</v>
      </c>
      <c r="F97" s="61"/>
      <c r="G97" s="3">
        <v>0</v>
      </c>
      <c r="H97" s="4" t="s">
        <v>8690</v>
      </c>
      <c r="I97">
        <v>6</v>
      </c>
      <c r="J97"/>
      <c r="K97">
        <v>0</v>
      </c>
      <c r="L97" s="65" t="e">
        <f>((ARTICULOS_MAYORISTA[[#This Row],[P. Compra]]*(1+ARTICULOS_MAYORISTA[[#This Row],[IVA]]%))/ARTICULOS_MAYORISTA[[#This Row],[UnidFact]])+ARTICULOS_MAYORISTA[[#This Row],[Flete]]</f>
        <v>#DIV/0!</v>
      </c>
      <c r="M97">
        <v>30</v>
      </c>
      <c r="N97" s="63" t="e">
        <f t="shared" si="9"/>
        <v>#DIV/0!</v>
      </c>
      <c r="O97" s="3" t="e">
        <f>MROUND((ARTICULOS_MAYORISTA[[#This Row],[Precio]]/0.6),10)</f>
        <v>#DIV/0!</v>
      </c>
      <c r="P97" t="s">
        <v>8693</v>
      </c>
      <c r="Q97">
        <v>2</v>
      </c>
      <c r="R97" s="3">
        <f>ARTICULOS_MAYORISTA[[#This Row],[Bulto]]+ARTICULOS_MAYORISTA[[#This Row],[Minimo]]</f>
        <v>8</v>
      </c>
      <c r="S97" t="s">
        <v>35</v>
      </c>
      <c r="T97" t="s">
        <v>21</v>
      </c>
      <c r="U97" t="s">
        <v>79</v>
      </c>
      <c r="V97" t="s">
        <v>10516</v>
      </c>
      <c r="W97" t="s">
        <v>8692</v>
      </c>
      <c r="X97">
        <v>1</v>
      </c>
      <c r="Y97" s="36">
        <v>0</v>
      </c>
      <c r="Z97" t="s">
        <v>8692</v>
      </c>
      <c r="AB97" s="80" t="e">
        <f>ARTICULOS_MAYORISTA[[#This Row],[Costo]]*ARTICULOS_MAYORISTA[[#This Row],[Pedido]]</f>
        <v>#DIV/0!</v>
      </c>
      <c r="AF97" s="2"/>
      <c r="AH97" s="2" t="str">
        <f>IF(AND(ARTICULOS_MAYORISTA[[#This Row],[FechaVenc]]=0,ARTICULOS_MAYORISTA[[#This Row],[DiasVenc]]=0),"",ARTICULOS_MAYORISTA[[#This Row],[FechaVenc]]-ARTICULOS_MAYORISTA[[#This Row],[DiasVenc]])</f>
        <v/>
      </c>
      <c r="AO97" s="30" t="s">
        <v>8689</v>
      </c>
    </row>
    <row r="98" spans="1:41" hidden="1" x14ac:dyDescent="0.25">
      <c r="A98" s="1" t="s">
        <v>10571</v>
      </c>
      <c r="C98" t="str">
        <f t="shared" si="8"/>
        <v>FRE42034915</v>
      </c>
      <c r="D98" t="s">
        <v>8689</v>
      </c>
      <c r="E98" s="1" t="s">
        <v>10572</v>
      </c>
      <c r="F98" s="61"/>
      <c r="G98" s="3">
        <v>0</v>
      </c>
      <c r="H98" s="4" t="s">
        <v>8690</v>
      </c>
      <c r="I98">
        <v>6</v>
      </c>
      <c r="J98"/>
      <c r="K98">
        <v>0</v>
      </c>
      <c r="L98" s="65" t="e">
        <f>((ARTICULOS_MAYORISTA[[#This Row],[P. Compra]]*(1+ARTICULOS_MAYORISTA[[#This Row],[IVA]]%))/ARTICULOS_MAYORISTA[[#This Row],[UnidFact]])+ARTICULOS_MAYORISTA[[#This Row],[Flete]]</f>
        <v>#DIV/0!</v>
      </c>
      <c r="M98">
        <v>30</v>
      </c>
      <c r="N98" s="63" t="e">
        <f t="shared" si="9"/>
        <v>#DIV/0!</v>
      </c>
      <c r="O98" s="3" t="e">
        <f>MROUND((ARTICULOS_MAYORISTA[[#This Row],[Precio]]/0.6),10)</f>
        <v>#DIV/0!</v>
      </c>
      <c r="P98" t="s">
        <v>8693</v>
      </c>
      <c r="Q98">
        <v>2</v>
      </c>
      <c r="R98" s="3">
        <f>ARTICULOS_MAYORISTA[[#This Row],[Bulto]]+ARTICULOS_MAYORISTA[[#This Row],[Minimo]]</f>
        <v>8</v>
      </c>
      <c r="S98" t="s">
        <v>35</v>
      </c>
      <c r="T98" t="s">
        <v>21</v>
      </c>
      <c r="U98" t="s">
        <v>79</v>
      </c>
      <c r="V98" t="s">
        <v>10516</v>
      </c>
      <c r="W98" t="s">
        <v>8692</v>
      </c>
      <c r="X98">
        <v>1</v>
      </c>
      <c r="Y98" s="36">
        <v>0</v>
      </c>
      <c r="Z98" t="s">
        <v>8692</v>
      </c>
      <c r="AB98" s="80" t="e">
        <f>ARTICULOS_MAYORISTA[[#This Row],[Costo]]*ARTICULOS_MAYORISTA[[#This Row],[Pedido]]</f>
        <v>#DIV/0!</v>
      </c>
      <c r="AF98" s="2"/>
      <c r="AH98" s="2" t="str">
        <f>IF(AND(ARTICULOS_MAYORISTA[[#This Row],[FechaVenc]]=0,ARTICULOS_MAYORISTA[[#This Row],[DiasVenc]]=0),"",ARTICULOS_MAYORISTA[[#This Row],[FechaVenc]]-ARTICULOS_MAYORISTA[[#This Row],[DiasVenc]])</f>
        <v/>
      </c>
      <c r="AO98" s="30" t="s">
        <v>8689</v>
      </c>
    </row>
    <row r="99" spans="1:41" hidden="1" x14ac:dyDescent="0.25">
      <c r="A99" s="1" t="s">
        <v>10573</v>
      </c>
      <c r="C99" t="str">
        <f t="shared" si="8"/>
        <v>FRE42034922</v>
      </c>
      <c r="D99" t="s">
        <v>8689</v>
      </c>
      <c r="E99" s="1" t="s">
        <v>10574</v>
      </c>
      <c r="F99" s="61"/>
      <c r="G99" s="3">
        <v>0</v>
      </c>
      <c r="H99" s="4" t="s">
        <v>8690</v>
      </c>
      <c r="I99">
        <v>6</v>
      </c>
      <c r="J99"/>
      <c r="K99">
        <v>0</v>
      </c>
      <c r="L99" s="65" t="e">
        <f>((ARTICULOS_MAYORISTA[[#This Row],[P. Compra]]*(1+ARTICULOS_MAYORISTA[[#This Row],[IVA]]%))/ARTICULOS_MAYORISTA[[#This Row],[UnidFact]])+ARTICULOS_MAYORISTA[[#This Row],[Flete]]</f>
        <v>#DIV/0!</v>
      </c>
      <c r="M99">
        <v>30</v>
      </c>
      <c r="N99" s="63" t="e">
        <f t="shared" si="9"/>
        <v>#DIV/0!</v>
      </c>
      <c r="O99" s="3" t="e">
        <f>MROUND((ARTICULOS_MAYORISTA[[#This Row],[Precio]]/0.6),10)</f>
        <v>#DIV/0!</v>
      </c>
      <c r="P99" t="s">
        <v>8693</v>
      </c>
      <c r="Q99">
        <v>2</v>
      </c>
      <c r="R99" s="3">
        <f>ARTICULOS_MAYORISTA[[#This Row],[Bulto]]+ARTICULOS_MAYORISTA[[#This Row],[Minimo]]</f>
        <v>8</v>
      </c>
      <c r="S99" t="s">
        <v>35</v>
      </c>
      <c r="T99" t="s">
        <v>21</v>
      </c>
      <c r="U99" t="s">
        <v>79</v>
      </c>
      <c r="V99" s="30" t="s">
        <v>10516</v>
      </c>
      <c r="W99" t="s">
        <v>8692</v>
      </c>
      <c r="X99">
        <v>1</v>
      </c>
      <c r="Y99" s="36">
        <v>0</v>
      </c>
      <c r="Z99" t="s">
        <v>8692</v>
      </c>
      <c r="AB99" s="80" t="e">
        <f>ARTICULOS_MAYORISTA[[#This Row],[Costo]]*ARTICULOS_MAYORISTA[[#This Row],[Pedido]]</f>
        <v>#DIV/0!</v>
      </c>
      <c r="AF99" s="2"/>
      <c r="AH99" s="2" t="str">
        <f>IF(AND(ARTICULOS_MAYORISTA[[#This Row],[FechaVenc]]=0,ARTICULOS_MAYORISTA[[#This Row],[DiasVenc]]=0),"",ARTICULOS_MAYORISTA[[#This Row],[FechaVenc]]-ARTICULOS_MAYORISTA[[#This Row],[DiasVenc]])</f>
        <v/>
      </c>
      <c r="AO99" s="30" t="s">
        <v>8689</v>
      </c>
    </row>
    <row r="100" spans="1:41" hidden="1" x14ac:dyDescent="0.25">
      <c r="A100" s="1" t="s">
        <v>10575</v>
      </c>
      <c r="C100" t="str">
        <f t="shared" si="8"/>
        <v>FRE40448003</v>
      </c>
      <c r="D100" t="s">
        <v>8689</v>
      </c>
      <c r="E100" s="1" t="s">
        <v>10576</v>
      </c>
      <c r="F100" s="61"/>
      <c r="G100" s="3">
        <v>0</v>
      </c>
      <c r="H100" s="4" t="s">
        <v>8690</v>
      </c>
      <c r="I100">
        <v>6</v>
      </c>
      <c r="J100"/>
      <c r="K100">
        <v>0</v>
      </c>
      <c r="L100" s="65" t="e">
        <f>((ARTICULOS_MAYORISTA[[#This Row],[P. Compra]]*(1+ARTICULOS_MAYORISTA[[#This Row],[IVA]]%))/ARTICULOS_MAYORISTA[[#This Row],[UnidFact]])+ARTICULOS_MAYORISTA[[#This Row],[Flete]]</f>
        <v>#DIV/0!</v>
      </c>
      <c r="M100">
        <v>30</v>
      </c>
      <c r="N100" s="63" t="e">
        <f t="shared" si="9"/>
        <v>#DIV/0!</v>
      </c>
      <c r="O100" s="3" t="e">
        <f>MROUND((ARTICULOS_MAYORISTA[[#This Row],[Precio]]/0.6),10)</f>
        <v>#DIV/0!</v>
      </c>
      <c r="P100" t="s">
        <v>8693</v>
      </c>
      <c r="Q100">
        <v>2</v>
      </c>
      <c r="R100" s="3">
        <f>ARTICULOS_MAYORISTA[[#This Row],[Bulto]]+ARTICULOS_MAYORISTA[[#This Row],[Minimo]]</f>
        <v>8</v>
      </c>
      <c r="S100" t="s">
        <v>35</v>
      </c>
      <c r="T100" t="s">
        <v>21</v>
      </c>
      <c r="U100" t="s">
        <v>79</v>
      </c>
      <c r="V100" t="s">
        <v>10516</v>
      </c>
      <c r="W100" t="s">
        <v>8692</v>
      </c>
      <c r="X100">
        <v>1</v>
      </c>
      <c r="Y100" s="36">
        <v>0</v>
      </c>
      <c r="Z100" t="s">
        <v>8692</v>
      </c>
      <c r="AB100" s="80" t="e">
        <f>ARTICULOS_MAYORISTA[[#This Row],[Costo]]*ARTICULOS_MAYORISTA[[#This Row],[Pedido]]</f>
        <v>#DIV/0!</v>
      </c>
      <c r="AF100" s="2"/>
      <c r="AH100" s="2" t="str">
        <f>IF(AND(ARTICULOS_MAYORISTA[[#This Row],[FechaVenc]]=0,ARTICULOS_MAYORISTA[[#This Row],[DiasVenc]]=0),"",ARTICULOS_MAYORISTA[[#This Row],[FechaVenc]]-ARTICULOS_MAYORISTA[[#This Row],[DiasVenc]])</f>
        <v/>
      </c>
      <c r="AO100" s="30" t="s">
        <v>8689</v>
      </c>
    </row>
    <row r="101" spans="1:41" hidden="1" x14ac:dyDescent="0.25">
      <c r="A101" s="1" t="s">
        <v>10577</v>
      </c>
      <c r="C101" t="str">
        <f t="shared" ref="C101:C132" si="10">CONCATENATE(LEFT(T101,3),RIGHT(A101,8))</f>
        <v>FRE42034502</v>
      </c>
      <c r="D101" t="s">
        <v>8689</v>
      </c>
      <c r="E101" s="1" t="s">
        <v>10578</v>
      </c>
      <c r="F101" s="61"/>
      <c r="G101" s="3">
        <v>0</v>
      </c>
      <c r="H101" s="4" t="s">
        <v>8690</v>
      </c>
      <c r="I101">
        <v>6</v>
      </c>
      <c r="J101"/>
      <c r="K101">
        <v>0</v>
      </c>
      <c r="L101" s="65" t="e">
        <f>((ARTICULOS_MAYORISTA[[#This Row],[P. Compra]]*(1+ARTICULOS_MAYORISTA[[#This Row],[IVA]]%))/ARTICULOS_MAYORISTA[[#This Row],[UnidFact]])+ARTICULOS_MAYORISTA[[#This Row],[Flete]]</f>
        <v>#DIV/0!</v>
      </c>
      <c r="M101">
        <v>30</v>
      </c>
      <c r="N101" s="63" t="e">
        <f t="shared" ref="N101:N119" si="11">IF(L101&gt;=5,MROUND(L101/(1-M101/100),10),10)</f>
        <v>#DIV/0!</v>
      </c>
      <c r="O101" s="3" t="e">
        <f>MROUND((ARTICULOS_MAYORISTA[[#This Row],[Precio]]/0.6),10)</f>
        <v>#DIV/0!</v>
      </c>
      <c r="P101" t="s">
        <v>8693</v>
      </c>
      <c r="Q101">
        <v>2</v>
      </c>
      <c r="R101" s="3">
        <f>ARTICULOS_MAYORISTA[[#This Row],[Bulto]]+ARTICULOS_MAYORISTA[[#This Row],[Minimo]]</f>
        <v>8</v>
      </c>
      <c r="S101" t="s">
        <v>35</v>
      </c>
      <c r="T101" t="s">
        <v>21</v>
      </c>
      <c r="U101" t="s">
        <v>79</v>
      </c>
      <c r="V101" s="30" t="s">
        <v>10516</v>
      </c>
      <c r="W101" t="s">
        <v>8692</v>
      </c>
      <c r="X101">
        <v>1</v>
      </c>
      <c r="Y101" s="36">
        <v>0</v>
      </c>
      <c r="Z101" t="s">
        <v>8692</v>
      </c>
      <c r="AB101" s="80" t="e">
        <f>ARTICULOS_MAYORISTA[[#This Row],[Costo]]*ARTICULOS_MAYORISTA[[#This Row],[Pedido]]</f>
        <v>#DIV/0!</v>
      </c>
      <c r="AF101" s="2"/>
      <c r="AH101" s="2" t="str">
        <f>IF(AND(ARTICULOS_MAYORISTA[[#This Row],[FechaVenc]]=0,ARTICULOS_MAYORISTA[[#This Row],[DiasVenc]]=0),"",ARTICULOS_MAYORISTA[[#This Row],[FechaVenc]]-ARTICULOS_MAYORISTA[[#This Row],[DiasVenc]])</f>
        <v/>
      </c>
      <c r="AO101" s="30" t="s">
        <v>8689</v>
      </c>
    </row>
    <row r="102" spans="1:41" hidden="1" x14ac:dyDescent="0.25">
      <c r="A102" s="1" t="s">
        <v>10579</v>
      </c>
      <c r="C102" t="str">
        <f t="shared" si="10"/>
        <v>FRE42562029</v>
      </c>
      <c r="D102" t="s">
        <v>8689</v>
      </c>
      <c r="E102" s="1" t="s">
        <v>10580</v>
      </c>
      <c r="F102" s="61"/>
      <c r="G102" s="3">
        <v>0</v>
      </c>
      <c r="H102" s="4" t="s">
        <v>8690</v>
      </c>
      <c r="I102">
        <v>6</v>
      </c>
      <c r="J102"/>
      <c r="K102">
        <v>0</v>
      </c>
      <c r="L102" s="65" t="e">
        <f>((ARTICULOS_MAYORISTA[[#This Row],[P. Compra]]*(1+ARTICULOS_MAYORISTA[[#This Row],[IVA]]%))/ARTICULOS_MAYORISTA[[#This Row],[UnidFact]])+ARTICULOS_MAYORISTA[[#This Row],[Flete]]</f>
        <v>#DIV/0!</v>
      </c>
      <c r="M102">
        <v>30</v>
      </c>
      <c r="N102" s="63" t="e">
        <f t="shared" si="11"/>
        <v>#DIV/0!</v>
      </c>
      <c r="O102" s="3" t="e">
        <f>MROUND((ARTICULOS_MAYORISTA[[#This Row],[Precio]]/0.6),10)</f>
        <v>#DIV/0!</v>
      </c>
      <c r="P102" t="s">
        <v>8693</v>
      </c>
      <c r="Q102">
        <v>2</v>
      </c>
      <c r="R102" s="3">
        <f>ARTICULOS_MAYORISTA[[#This Row],[Bulto]]+ARTICULOS_MAYORISTA[[#This Row],[Minimo]]</f>
        <v>8</v>
      </c>
      <c r="S102" t="s">
        <v>35</v>
      </c>
      <c r="T102" t="s">
        <v>21</v>
      </c>
      <c r="U102" t="s">
        <v>79</v>
      </c>
      <c r="V102" s="30" t="s">
        <v>10516</v>
      </c>
      <c r="W102" t="s">
        <v>8692</v>
      </c>
      <c r="X102">
        <v>1</v>
      </c>
      <c r="Y102" s="36">
        <v>0</v>
      </c>
      <c r="Z102" t="s">
        <v>8692</v>
      </c>
      <c r="AB102" s="80" t="e">
        <f>ARTICULOS_MAYORISTA[[#This Row],[Costo]]*ARTICULOS_MAYORISTA[[#This Row],[Pedido]]</f>
        <v>#DIV/0!</v>
      </c>
      <c r="AF102" s="2"/>
      <c r="AH102" s="2" t="str">
        <f>IF(AND(ARTICULOS_MAYORISTA[[#This Row],[FechaVenc]]=0,ARTICULOS_MAYORISTA[[#This Row],[DiasVenc]]=0),"",ARTICULOS_MAYORISTA[[#This Row],[FechaVenc]]-ARTICULOS_MAYORISTA[[#This Row],[DiasVenc]])</f>
        <v/>
      </c>
      <c r="AO102" s="30" t="s">
        <v>8689</v>
      </c>
    </row>
    <row r="103" spans="1:41" hidden="1" x14ac:dyDescent="0.25">
      <c r="A103" s="1" t="s">
        <v>10581</v>
      </c>
      <c r="C103" t="str">
        <f t="shared" si="10"/>
        <v>FRE42562012</v>
      </c>
      <c r="D103" t="s">
        <v>8689</v>
      </c>
      <c r="E103" s="1" t="s">
        <v>10582</v>
      </c>
      <c r="F103" s="61"/>
      <c r="G103" s="3">
        <v>0</v>
      </c>
      <c r="H103" s="4" t="s">
        <v>8690</v>
      </c>
      <c r="I103">
        <v>6</v>
      </c>
      <c r="J103"/>
      <c r="K103">
        <v>0</v>
      </c>
      <c r="L103" s="65" t="e">
        <f>((ARTICULOS_MAYORISTA[[#This Row],[P. Compra]]*(1+ARTICULOS_MAYORISTA[[#This Row],[IVA]]%))/ARTICULOS_MAYORISTA[[#This Row],[UnidFact]])+ARTICULOS_MAYORISTA[[#This Row],[Flete]]</f>
        <v>#DIV/0!</v>
      </c>
      <c r="M103">
        <v>30</v>
      </c>
      <c r="N103" s="63" t="e">
        <f t="shared" si="11"/>
        <v>#DIV/0!</v>
      </c>
      <c r="O103" s="3" t="e">
        <f>MROUND((ARTICULOS_MAYORISTA[[#This Row],[Precio]]/0.6),10)</f>
        <v>#DIV/0!</v>
      </c>
      <c r="P103" t="s">
        <v>8693</v>
      </c>
      <c r="Q103">
        <v>2</v>
      </c>
      <c r="R103" s="3">
        <f>ARTICULOS_MAYORISTA[[#This Row],[Bulto]]+ARTICULOS_MAYORISTA[[#This Row],[Minimo]]</f>
        <v>8</v>
      </c>
      <c r="S103" t="s">
        <v>35</v>
      </c>
      <c r="T103" t="s">
        <v>21</v>
      </c>
      <c r="U103" t="s">
        <v>79</v>
      </c>
      <c r="V103" t="s">
        <v>10516</v>
      </c>
      <c r="W103" t="s">
        <v>8692</v>
      </c>
      <c r="X103">
        <v>1</v>
      </c>
      <c r="Y103" s="36">
        <v>0</v>
      </c>
      <c r="Z103" t="s">
        <v>8692</v>
      </c>
      <c r="AB103" s="80" t="e">
        <f>ARTICULOS_MAYORISTA[[#This Row],[Costo]]*ARTICULOS_MAYORISTA[[#This Row],[Pedido]]</f>
        <v>#DIV/0!</v>
      </c>
      <c r="AF103" s="2"/>
      <c r="AH103" s="2" t="str">
        <f>IF(AND(ARTICULOS_MAYORISTA[[#This Row],[FechaVenc]]=0,ARTICULOS_MAYORISTA[[#This Row],[DiasVenc]]=0),"",ARTICULOS_MAYORISTA[[#This Row],[FechaVenc]]-ARTICULOS_MAYORISTA[[#This Row],[DiasVenc]])</f>
        <v/>
      </c>
      <c r="AO103" s="30" t="s">
        <v>8689</v>
      </c>
    </row>
    <row r="104" spans="1:41" hidden="1" x14ac:dyDescent="0.25">
      <c r="A104" s="1" t="s">
        <v>10583</v>
      </c>
      <c r="C104" t="str">
        <f t="shared" si="10"/>
        <v>FRE37605428</v>
      </c>
      <c r="D104" t="s">
        <v>8689</v>
      </c>
      <c r="E104" s="1" t="s">
        <v>10584</v>
      </c>
      <c r="F104" s="61"/>
      <c r="G104" s="3">
        <v>0</v>
      </c>
      <c r="H104" s="4" t="s">
        <v>8690</v>
      </c>
      <c r="I104">
        <v>6</v>
      </c>
      <c r="J104"/>
      <c r="K104">
        <v>0</v>
      </c>
      <c r="L104" s="65" t="e">
        <f>((ARTICULOS_MAYORISTA[[#This Row],[P. Compra]]*(1+ARTICULOS_MAYORISTA[[#This Row],[IVA]]%))/ARTICULOS_MAYORISTA[[#This Row],[UnidFact]])+ARTICULOS_MAYORISTA[[#This Row],[Flete]]</f>
        <v>#DIV/0!</v>
      </c>
      <c r="M104">
        <v>30</v>
      </c>
      <c r="N104" s="63" t="e">
        <f t="shared" si="11"/>
        <v>#DIV/0!</v>
      </c>
      <c r="O104" s="3" t="e">
        <f>MROUND((ARTICULOS_MAYORISTA[[#This Row],[Precio]]/0.6),10)</f>
        <v>#DIV/0!</v>
      </c>
      <c r="P104" t="s">
        <v>8693</v>
      </c>
      <c r="Q104">
        <v>2</v>
      </c>
      <c r="R104" s="3">
        <f>ARTICULOS_MAYORISTA[[#This Row],[Bulto]]+ARTICULOS_MAYORISTA[[#This Row],[Minimo]]</f>
        <v>8</v>
      </c>
      <c r="S104" t="s">
        <v>35</v>
      </c>
      <c r="T104" t="s">
        <v>21</v>
      </c>
      <c r="U104" t="s">
        <v>79</v>
      </c>
      <c r="V104" t="s">
        <v>10516</v>
      </c>
      <c r="W104" t="s">
        <v>8692</v>
      </c>
      <c r="X104">
        <v>1</v>
      </c>
      <c r="Y104" s="36">
        <v>0</v>
      </c>
      <c r="Z104" t="s">
        <v>8692</v>
      </c>
      <c r="AB104" s="80" t="e">
        <f>ARTICULOS_MAYORISTA[[#This Row],[Costo]]*ARTICULOS_MAYORISTA[[#This Row],[Pedido]]</f>
        <v>#DIV/0!</v>
      </c>
      <c r="AF104" s="2"/>
      <c r="AH104" s="2" t="str">
        <f>IF(AND(ARTICULOS_MAYORISTA[[#This Row],[FechaVenc]]=0,ARTICULOS_MAYORISTA[[#This Row],[DiasVenc]]=0),"",ARTICULOS_MAYORISTA[[#This Row],[FechaVenc]]-ARTICULOS_MAYORISTA[[#This Row],[DiasVenc]])</f>
        <v/>
      </c>
      <c r="AO104" s="30" t="s">
        <v>8689</v>
      </c>
    </row>
    <row r="105" spans="1:41" hidden="1" x14ac:dyDescent="0.25">
      <c r="A105" s="1" t="s">
        <v>10585</v>
      </c>
      <c r="C105" t="str">
        <f t="shared" si="10"/>
        <v>FRE37603219</v>
      </c>
      <c r="D105" t="s">
        <v>8689</v>
      </c>
      <c r="E105" s="1" t="s">
        <v>10586</v>
      </c>
      <c r="F105" s="61"/>
      <c r="G105" s="3">
        <v>0</v>
      </c>
      <c r="H105" s="4" t="s">
        <v>8690</v>
      </c>
      <c r="I105">
        <v>6</v>
      </c>
      <c r="J105"/>
      <c r="K105">
        <v>0</v>
      </c>
      <c r="L105" s="65" t="e">
        <f>((ARTICULOS_MAYORISTA[[#This Row],[P. Compra]]*(1+ARTICULOS_MAYORISTA[[#This Row],[IVA]]%))/ARTICULOS_MAYORISTA[[#This Row],[UnidFact]])+ARTICULOS_MAYORISTA[[#This Row],[Flete]]</f>
        <v>#DIV/0!</v>
      </c>
      <c r="M105">
        <v>30</v>
      </c>
      <c r="N105" s="63" t="e">
        <f t="shared" si="11"/>
        <v>#DIV/0!</v>
      </c>
      <c r="O105" s="3" t="e">
        <f>MROUND((ARTICULOS_MAYORISTA[[#This Row],[Precio]]/0.6),10)</f>
        <v>#DIV/0!</v>
      </c>
      <c r="P105" t="s">
        <v>8693</v>
      </c>
      <c r="Q105">
        <v>2</v>
      </c>
      <c r="R105" s="3">
        <f>ARTICULOS_MAYORISTA[[#This Row],[Bulto]]+ARTICULOS_MAYORISTA[[#This Row],[Minimo]]</f>
        <v>8</v>
      </c>
      <c r="S105" t="s">
        <v>35</v>
      </c>
      <c r="T105" t="s">
        <v>21</v>
      </c>
      <c r="U105" t="s">
        <v>79</v>
      </c>
      <c r="V105" t="s">
        <v>10516</v>
      </c>
      <c r="W105" t="s">
        <v>8692</v>
      </c>
      <c r="X105">
        <v>1</v>
      </c>
      <c r="Y105" s="36">
        <v>0</v>
      </c>
      <c r="Z105" t="s">
        <v>8692</v>
      </c>
      <c r="AB105" s="80" t="e">
        <f>ARTICULOS_MAYORISTA[[#This Row],[Costo]]*ARTICULOS_MAYORISTA[[#This Row],[Pedido]]</f>
        <v>#DIV/0!</v>
      </c>
      <c r="AF105" s="2"/>
      <c r="AH105" s="2" t="str">
        <f>IF(AND(ARTICULOS_MAYORISTA[[#This Row],[FechaVenc]]=0,ARTICULOS_MAYORISTA[[#This Row],[DiasVenc]]=0),"",ARTICULOS_MAYORISTA[[#This Row],[FechaVenc]]-ARTICULOS_MAYORISTA[[#This Row],[DiasVenc]])</f>
        <v/>
      </c>
      <c r="AO105" s="30" t="s">
        <v>8689</v>
      </c>
    </row>
    <row r="106" spans="1:41" hidden="1" x14ac:dyDescent="0.25">
      <c r="A106" s="1" t="s">
        <v>10587</v>
      </c>
      <c r="C106" t="str">
        <f t="shared" si="10"/>
        <v>FRE37007390</v>
      </c>
      <c r="D106" t="s">
        <v>8689</v>
      </c>
      <c r="E106" s="1" t="s">
        <v>10588</v>
      </c>
      <c r="F106" s="61"/>
      <c r="G106" s="3">
        <v>0</v>
      </c>
      <c r="H106" s="4" t="s">
        <v>8690</v>
      </c>
      <c r="I106">
        <v>6</v>
      </c>
      <c r="J106"/>
      <c r="K106">
        <v>0</v>
      </c>
      <c r="L106" s="65" t="e">
        <f>((ARTICULOS_MAYORISTA[[#This Row],[P. Compra]]*(1+ARTICULOS_MAYORISTA[[#This Row],[IVA]]%))/ARTICULOS_MAYORISTA[[#This Row],[UnidFact]])+ARTICULOS_MAYORISTA[[#This Row],[Flete]]</f>
        <v>#DIV/0!</v>
      </c>
      <c r="M106">
        <v>30</v>
      </c>
      <c r="N106" s="63" t="e">
        <f t="shared" si="11"/>
        <v>#DIV/0!</v>
      </c>
      <c r="O106" s="3" t="e">
        <f>MROUND((ARTICULOS_MAYORISTA[[#This Row],[Precio]]/0.6),10)</f>
        <v>#DIV/0!</v>
      </c>
      <c r="P106" t="s">
        <v>8693</v>
      </c>
      <c r="Q106">
        <v>2</v>
      </c>
      <c r="R106" s="3">
        <f>ARTICULOS_MAYORISTA[[#This Row],[Bulto]]+ARTICULOS_MAYORISTA[[#This Row],[Minimo]]</f>
        <v>8</v>
      </c>
      <c r="S106" t="s">
        <v>35</v>
      </c>
      <c r="T106" t="s">
        <v>21</v>
      </c>
      <c r="U106" t="s">
        <v>79</v>
      </c>
      <c r="V106" t="s">
        <v>10516</v>
      </c>
      <c r="W106" t="s">
        <v>8692</v>
      </c>
      <c r="X106">
        <v>1</v>
      </c>
      <c r="Y106" s="36">
        <v>0</v>
      </c>
      <c r="Z106" t="s">
        <v>8692</v>
      </c>
      <c r="AB106" s="80" t="e">
        <f>ARTICULOS_MAYORISTA[[#This Row],[Costo]]*ARTICULOS_MAYORISTA[[#This Row],[Pedido]]</f>
        <v>#DIV/0!</v>
      </c>
      <c r="AF106" s="2"/>
      <c r="AH106" s="2" t="str">
        <f>IF(AND(ARTICULOS_MAYORISTA[[#This Row],[FechaVenc]]=0,ARTICULOS_MAYORISTA[[#This Row],[DiasVenc]]=0),"",ARTICULOS_MAYORISTA[[#This Row],[FechaVenc]]-ARTICULOS_MAYORISTA[[#This Row],[DiasVenc]])</f>
        <v/>
      </c>
      <c r="AO106" s="30" t="s">
        <v>8689</v>
      </c>
    </row>
    <row r="107" spans="1:41" hidden="1" x14ac:dyDescent="0.25">
      <c r="A107" s="1" t="s">
        <v>10589</v>
      </c>
      <c r="C107" t="str">
        <f t="shared" si="10"/>
        <v>FRE37006270</v>
      </c>
      <c r="D107" t="s">
        <v>8689</v>
      </c>
      <c r="E107" s="1" t="s">
        <v>10590</v>
      </c>
      <c r="F107" s="61"/>
      <c r="G107" s="3">
        <v>0</v>
      </c>
      <c r="H107" s="4" t="s">
        <v>8690</v>
      </c>
      <c r="I107">
        <v>6</v>
      </c>
      <c r="J107"/>
      <c r="K107">
        <v>0</v>
      </c>
      <c r="L107" s="65" t="e">
        <f>((ARTICULOS_MAYORISTA[[#This Row],[P. Compra]]*(1+ARTICULOS_MAYORISTA[[#This Row],[IVA]]%))/ARTICULOS_MAYORISTA[[#This Row],[UnidFact]])+ARTICULOS_MAYORISTA[[#This Row],[Flete]]</f>
        <v>#DIV/0!</v>
      </c>
      <c r="M107">
        <v>30</v>
      </c>
      <c r="N107" s="63" t="e">
        <f t="shared" si="11"/>
        <v>#DIV/0!</v>
      </c>
      <c r="O107" s="3" t="e">
        <f>MROUND((ARTICULOS_MAYORISTA[[#This Row],[Precio]]/0.6),10)</f>
        <v>#DIV/0!</v>
      </c>
      <c r="P107" t="s">
        <v>8693</v>
      </c>
      <c r="Q107">
        <v>2</v>
      </c>
      <c r="R107" s="3">
        <f>ARTICULOS_MAYORISTA[[#This Row],[Bulto]]+ARTICULOS_MAYORISTA[[#This Row],[Minimo]]</f>
        <v>8</v>
      </c>
      <c r="S107" t="s">
        <v>35</v>
      </c>
      <c r="T107" t="s">
        <v>21</v>
      </c>
      <c r="U107" t="s">
        <v>79</v>
      </c>
      <c r="V107" t="s">
        <v>10516</v>
      </c>
      <c r="W107" t="s">
        <v>8692</v>
      </c>
      <c r="X107">
        <v>1</v>
      </c>
      <c r="Y107" s="36">
        <v>0</v>
      </c>
      <c r="Z107" t="s">
        <v>8692</v>
      </c>
      <c r="AB107" s="80" t="e">
        <f>ARTICULOS_MAYORISTA[[#This Row],[Costo]]*ARTICULOS_MAYORISTA[[#This Row],[Pedido]]</f>
        <v>#DIV/0!</v>
      </c>
      <c r="AF107" s="2"/>
      <c r="AH107" s="2" t="str">
        <f>IF(AND(ARTICULOS_MAYORISTA[[#This Row],[FechaVenc]]=0,ARTICULOS_MAYORISTA[[#This Row],[DiasVenc]]=0),"",ARTICULOS_MAYORISTA[[#This Row],[FechaVenc]]-ARTICULOS_MAYORISTA[[#This Row],[DiasVenc]])</f>
        <v/>
      </c>
      <c r="AO107" s="30" t="s">
        <v>8689</v>
      </c>
    </row>
    <row r="108" spans="1:41" hidden="1" x14ac:dyDescent="0.25">
      <c r="A108" s="1" t="s">
        <v>10591</v>
      </c>
      <c r="C108" t="str">
        <f t="shared" si="10"/>
        <v>FRE37004993</v>
      </c>
      <c r="D108" t="s">
        <v>8689</v>
      </c>
      <c r="E108" s="1" t="s">
        <v>10592</v>
      </c>
      <c r="F108" s="61"/>
      <c r="G108" s="3">
        <v>0</v>
      </c>
      <c r="H108" s="4" t="s">
        <v>8690</v>
      </c>
      <c r="I108">
        <v>6</v>
      </c>
      <c r="J108"/>
      <c r="K108">
        <v>0</v>
      </c>
      <c r="L108" s="65" t="e">
        <f>((ARTICULOS_MAYORISTA[[#This Row],[P. Compra]]*(1+ARTICULOS_MAYORISTA[[#This Row],[IVA]]%))/ARTICULOS_MAYORISTA[[#This Row],[UnidFact]])+ARTICULOS_MAYORISTA[[#This Row],[Flete]]</f>
        <v>#DIV/0!</v>
      </c>
      <c r="M108">
        <v>30</v>
      </c>
      <c r="N108" s="63" t="e">
        <f t="shared" si="11"/>
        <v>#DIV/0!</v>
      </c>
      <c r="O108" s="3" t="e">
        <f>MROUND((ARTICULOS_MAYORISTA[[#This Row],[Precio]]/0.6),10)</f>
        <v>#DIV/0!</v>
      </c>
      <c r="P108" t="s">
        <v>8693</v>
      </c>
      <c r="Q108">
        <v>2</v>
      </c>
      <c r="R108" s="3">
        <f>ARTICULOS_MAYORISTA[[#This Row],[Bulto]]+ARTICULOS_MAYORISTA[[#This Row],[Minimo]]</f>
        <v>8</v>
      </c>
      <c r="S108" t="s">
        <v>35</v>
      </c>
      <c r="T108" t="s">
        <v>21</v>
      </c>
      <c r="U108" t="s">
        <v>79</v>
      </c>
      <c r="V108" t="s">
        <v>10516</v>
      </c>
      <c r="W108" t="s">
        <v>8692</v>
      </c>
      <c r="X108">
        <v>1</v>
      </c>
      <c r="Y108" s="36">
        <v>0</v>
      </c>
      <c r="Z108" t="s">
        <v>8692</v>
      </c>
      <c r="AB108" s="80" t="e">
        <f>ARTICULOS_MAYORISTA[[#This Row],[Costo]]*ARTICULOS_MAYORISTA[[#This Row],[Pedido]]</f>
        <v>#DIV/0!</v>
      </c>
      <c r="AF108" s="2"/>
      <c r="AH108" s="2" t="str">
        <f>IF(AND(ARTICULOS_MAYORISTA[[#This Row],[FechaVenc]]=0,ARTICULOS_MAYORISTA[[#This Row],[DiasVenc]]=0),"",ARTICULOS_MAYORISTA[[#This Row],[FechaVenc]]-ARTICULOS_MAYORISTA[[#This Row],[DiasVenc]])</f>
        <v/>
      </c>
      <c r="AO108" s="30" t="s">
        <v>8689</v>
      </c>
    </row>
    <row r="109" spans="1:41" hidden="1" x14ac:dyDescent="0.25">
      <c r="A109" s="1" t="s">
        <v>10593</v>
      </c>
      <c r="C109" t="str">
        <f t="shared" si="10"/>
        <v>FRE37605527</v>
      </c>
      <c r="D109" t="s">
        <v>8689</v>
      </c>
      <c r="E109" s="24" t="s">
        <v>10594</v>
      </c>
      <c r="F109" s="61"/>
      <c r="G109" s="3">
        <v>0</v>
      </c>
      <c r="H109" s="4" t="s">
        <v>8690</v>
      </c>
      <c r="I109">
        <v>6</v>
      </c>
      <c r="J109"/>
      <c r="K109">
        <v>0</v>
      </c>
      <c r="L109" s="65" t="e">
        <f>((ARTICULOS_MAYORISTA[[#This Row],[P. Compra]]*(1+ARTICULOS_MAYORISTA[[#This Row],[IVA]]%))/ARTICULOS_MAYORISTA[[#This Row],[UnidFact]])+ARTICULOS_MAYORISTA[[#This Row],[Flete]]</f>
        <v>#DIV/0!</v>
      </c>
      <c r="M109">
        <v>30</v>
      </c>
      <c r="N109" s="63" t="e">
        <f t="shared" si="11"/>
        <v>#DIV/0!</v>
      </c>
      <c r="O109" s="3" t="e">
        <f>MROUND((ARTICULOS_MAYORISTA[[#This Row],[Precio]]/0.6),10)</f>
        <v>#DIV/0!</v>
      </c>
      <c r="P109" t="s">
        <v>8693</v>
      </c>
      <c r="Q109">
        <v>2</v>
      </c>
      <c r="R109" s="3">
        <f>ARTICULOS_MAYORISTA[[#This Row],[Bulto]]+ARTICULOS_MAYORISTA[[#This Row],[Minimo]]</f>
        <v>8</v>
      </c>
      <c r="S109" t="s">
        <v>35</v>
      </c>
      <c r="T109" t="s">
        <v>21</v>
      </c>
      <c r="U109" t="s">
        <v>79</v>
      </c>
      <c r="V109" t="s">
        <v>10516</v>
      </c>
      <c r="W109" t="s">
        <v>8692</v>
      </c>
      <c r="X109">
        <v>1</v>
      </c>
      <c r="Y109" s="36">
        <v>0</v>
      </c>
      <c r="Z109" t="s">
        <v>8692</v>
      </c>
      <c r="AB109" s="80" t="e">
        <f>ARTICULOS_MAYORISTA[[#This Row],[Costo]]*ARTICULOS_MAYORISTA[[#This Row],[Pedido]]</f>
        <v>#DIV/0!</v>
      </c>
      <c r="AF109" s="2"/>
      <c r="AH109" s="2" t="str">
        <f>IF(AND(ARTICULOS_MAYORISTA[[#This Row],[FechaVenc]]=0,ARTICULOS_MAYORISTA[[#This Row],[DiasVenc]]=0),"",ARTICULOS_MAYORISTA[[#This Row],[FechaVenc]]-ARTICULOS_MAYORISTA[[#This Row],[DiasVenc]])</f>
        <v/>
      </c>
      <c r="AO109" s="30" t="s">
        <v>8689</v>
      </c>
    </row>
    <row r="110" spans="1:41" hidden="1" x14ac:dyDescent="0.25">
      <c r="A110" s="1" t="s">
        <v>10595</v>
      </c>
      <c r="C110" t="str">
        <f t="shared" si="10"/>
        <v>FRE37605510</v>
      </c>
      <c r="D110" t="s">
        <v>8689</v>
      </c>
      <c r="E110" s="24" t="s">
        <v>10596</v>
      </c>
      <c r="F110" s="61"/>
      <c r="G110" s="3">
        <v>0</v>
      </c>
      <c r="H110" s="4" t="s">
        <v>8690</v>
      </c>
      <c r="I110">
        <v>6</v>
      </c>
      <c r="J110"/>
      <c r="K110">
        <v>0</v>
      </c>
      <c r="L110" s="65" t="e">
        <f>((ARTICULOS_MAYORISTA[[#This Row],[P. Compra]]*(1+ARTICULOS_MAYORISTA[[#This Row],[IVA]]%))/ARTICULOS_MAYORISTA[[#This Row],[UnidFact]])+ARTICULOS_MAYORISTA[[#This Row],[Flete]]</f>
        <v>#DIV/0!</v>
      </c>
      <c r="M110">
        <v>30</v>
      </c>
      <c r="N110" s="63" t="e">
        <f t="shared" si="11"/>
        <v>#DIV/0!</v>
      </c>
      <c r="O110" s="3" t="e">
        <f>MROUND((ARTICULOS_MAYORISTA[[#This Row],[Precio]]/0.6),10)</f>
        <v>#DIV/0!</v>
      </c>
      <c r="P110" t="s">
        <v>8693</v>
      </c>
      <c r="Q110">
        <v>2</v>
      </c>
      <c r="R110" s="3">
        <f>ARTICULOS_MAYORISTA[[#This Row],[Bulto]]+ARTICULOS_MAYORISTA[[#This Row],[Minimo]]</f>
        <v>8</v>
      </c>
      <c r="S110" t="s">
        <v>35</v>
      </c>
      <c r="T110" t="s">
        <v>21</v>
      </c>
      <c r="U110" t="s">
        <v>79</v>
      </c>
      <c r="V110" t="s">
        <v>10516</v>
      </c>
      <c r="W110" t="s">
        <v>8692</v>
      </c>
      <c r="X110">
        <v>1</v>
      </c>
      <c r="Y110" s="36">
        <v>0</v>
      </c>
      <c r="Z110" t="s">
        <v>8692</v>
      </c>
      <c r="AB110" s="80" t="e">
        <f>ARTICULOS_MAYORISTA[[#This Row],[Costo]]*ARTICULOS_MAYORISTA[[#This Row],[Pedido]]</f>
        <v>#DIV/0!</v>
      </c>
      <c r="AF110" s="2"/>
      <c r="AH110" s="2" t="str">
        <f>IF(AND(ARTICULOS_MAYORISTA[[#This Row],[FechaVenc]]=0,ARTICULOS_MAYORISTA[[#This Row],[DiasVenc]]=0),"",ARTICULOS_MAYORISTA[[#This Row],[FechaVenc]]-ARTICULOS_MAYORISTA[[#This Row],[DiasVenc]])</f>
        <v/>
      </c>
      <c r="AO110" s="30" t="s">
        <v>8689</v>
      </c>
    </row>
    <row r="111" spans="1:41" hidden="1" x14ac:dyDescent="0.25">
      <c r="A111" s="1" t="s">
        <v>10656</v>
      </c>
      <c r="C111" t="str">
        <f t="shared" si="10"/>
        <v>PER20009319</v>
      </c>
      <c r="D111" t="s">
        <v>8689</v>
      </c>
      <c r="E111" s="1" t="s">
        <v>10657</v>
      </c>
      <c r="F111" s="61"/>
      <c r="G111" s="3">
        <v>0</v>
      </c>
      <c r="H111" s="4" t="s">
        <v>8690</v>
      </c>
      <c r="I111">
        <v>6</v>
      </c>
      <c r="J111"/>
      <c r="K111">
        <v>0</v>
      </c>
      <c r="L111" s="65" t="e">
        <f>((ARTICULOS_MAYORISTA[[#This Row],[P. Compra]]*(1+ARTICULOS_MAYORISTA[[#This Row],[IVA]]%))/ARTICULOS_MAYORISTA[[#This Row],[UnidFact]])+ARTICULOS_MAYORISTA[[#This Row],[Flete]]</f>
        <v>#DIV/0!</v>
      </c>
      <c r="M111">
        <v>30</v>
      </c>
      <c r="N111" s="63" t="e">
        <f t="shared" si="11"/>
        <v>#DIV/0!</v>
      </c>
      <c r="O111" s="3" t="e">
        <f>MROUND((ARTICULOS_MAYORISTA[[#This Row],[Precio]]/0.6),10)</f>
        <v>#DIV/0!</v>
      </c>
      <c r="P111" t="s">
        <v>8693</v>
      </c>
      <c r="Q111">
        <v>2</v>
      </c>
      <c r="R111" s="3">
        <f>ARTICULOS_MAYORISTA[[#This Row],[Bulto]]+ARTICULOS_MAYORISTA[[#This Row],[Minimo]]</f>
        <v>8</v>
      </c>
      <c r="S111" t="s">
        <v>35</v>
      </c>
      <c r="T111" t="s">
        <v>33</v>
      </c>
      <c r="U111" t="s">
        <v>84</v>
      </c>
      <c r="V111" t="s">
        <v>10658</v>
      </c>
      <c r="W111" t="s">
        <v>8692</v>
      </c>
      <c r="X111">
        <v>1</v>
      </c>
      <c r="Y111" s="36">
        <v>0</v>
      </c>
      <c r="Z111"/>
      <c r="AB111" s="80" t="e">
        <f>ARTICULOS_MAYORISTA[[#This Row],[Costo]]*ARTICULOS_MAYORISTA[[#This Row],[Pedido]]</f>
        <v>#DIV/0!</v>
      </c>
      <c r="AF111" s="2"/>
      <c r="AH111" s="2" t="str">
        <f>IF(AND(ARTICULOS_MAYORISTA[[#This Row],[FechaVenc]]=0,ARTICULOS_MAYORISTA[[#This Row],[DiasVenc]]=0),"",ARTICULOS_MAYORISTA[[#This Row],[FechaVenc]]-ARTICULOS_MAYORISTA[[#This Row],[DiasVenc]])</f>
        <v/>
      </c>
      <c r="AO111" s="30" t="s">
        <v>8689</v>
      </c>
    </row>
    <row r="112" spans="1:41" hidden="1" x14ac:dyDescent="0.25">
      <c r="A112" s="1" t="s">
        <v>10653</v>
      </c>
      <c r="C112" t="str">
        <f t="shared" si="10"/>
        <v>PER53003777</v>
      </c>
      <c r="D112" t="s">
        <v>8689</v>
      </c>
      <c r="E112" s="1" t="s">
        <v>10654</v>
      </c>
      <c r="F112" s="61"/>
      <c r="G112" s="3">
        <v>0</v>
      </c>
      <c r="H112" s="4" t="s">
        <v>8690</v>
      </c>
      <c r="I112">
        <v>6</v>
      </c>
      <c r="J112"/>
      <c r="K112">
        <v>0</v>
      </c>
      <c r="L112" s="65" t="e">
        <f>((ARTICULOS_MAYORISTA[[#This Row],[P. Compra]]*(1+ARTICULOS_MAYORISTA[[#This Row],[IVA]]%))/ARTICULOS_MAYORISTA[[#This Row],[UnidFact]])+ARTICULOS_MAYORISTA[[#This Row],[Flete]]</f>
        <v>#DIV/0!</v>
      </c>
      <c r="M112">
        <v>30</v>
      </c>
      <c r="N112" s="63" t="e">
        <f t="shared" si="11"/>
        <v>#DIV/0!</v>
      </c>
      <c r="O112" s="3" t="e">
        <f>MROUND((ARTICULOS_MAYORISTA[[#This Row],[Precio]]/0.6),10)</f>
        <v>#DIV/0!</v>
      </c>
      <c r="P112" t="s">
        <v>8693</v>
      </c>
      <c r="Q112">
        <v>2</v>
      </c>
      <c r="R112" s="3">
        <f>ARTICULOS_MAYORISTA[[#This Row],[Bulto]]+ARTICULOS_MAYORISTA[[#This Row],[Minimo]]</f>
        <v>8</v>
      </c>
      <c r="S112" t="s">
        <v>35</v>
      </c>
      <c r="T112" t="s">
        <v>33</v>
      </c>
      <c r="U112" t="s">
        <v>84</v>
      </c>
      <c r="V112" t="s">
        <v>10655</v>
      </c>
      <c r="W112" t="s">
        <v>8692</v>
      </c>
      <c r="X112">
        <v>1</v>
      </c>
      <c r="Y112" s="36">
        <v>0</v>
      </c>
      <c r="Z112"/>
      <c r="AB112" s="80" t="e">
        <f>ARTICULOS_MAYORISTA[[#This Row],[Costo]]*ARTICULOS_MAYORISTA[[#This Row],[Pedido]]</f>
        <v>#DIV/0!</v>
      </c>
      <c r="AF112" s="2"/>
      <c r="AH112" s="2" t="str">
        <f>IF(AND(ARTICULOS_MAYORISTA[[#This Row],[FechaVenc]]=0,ARTICULOS_MAYORISTA[[#This Row],[DiasVenc]]=0),"",ARTICULOS_MAYORISTA[[#This Row],[FechaVenc]]-ARTICULOS_MAYORISTA[[#This Row],[DiasVenc]])</f>
        <v/>
      </c>
      <c r="AO112" s="30" t="s">
        <v>8689</v>
      </c>
    </row>
    <row r="113" spans="1:41" hidden="1" x14ac:dyDescent="0.25">
      <c r="A113" s="1" t="s">
        <v>10659</v>
      </c>
      <c r="C113" t="str">
        <f t="shared" si="10"/>
        <v>PER20013194</v>
      </c>
      <c r="D113" t="s">
        <v>8689</v>
      </c>
      <c r="E113" s="1" t="s">
        <v>10660</v>
      </c>
      <c r="F113" s="61"/>
      <c r="G113" s="3">
        <v>0</v>
      </c>
      <c r="H113" s="4" t="s">
        <v>8690</v>
      </c>
      <c r="I113">
        <v>6</v>
      </c>
      <c r="J113"/>
      <c r="K113">
        <v>0</v>
      </c>
      <c r="L113" s="65" t="e">
        <f>((ARTICULOS_MAYORISTA[[#This Row],[P. Compra]]*(1+ARTICULOS_MAYORISTA[[#This Row],[IVA]]%))/ARTICULOS_MAYORISTA[[#This Row],[UnidFact]])+ARTICULOS_MAYORISTA[[#This Row],[Flete]]</f>
        <v>#DIV/0!</v>
      </c>
      <c r="M113">
        <v>30</v>
      </c>
      <c r="N113" s="63" t="e">
        <f t="shared" si="11"/>
        <v>#DIV/0!</v>
      </c>
      <c r="O113" s="3" t="e">
        <f>MROUND((ARTICULOS_MAYORISTA[[#This Row],[Precio]]/0.6),10)</f>
        <v>#DIV/0!</v>
      </c>
      <c r="P113" t="s">
        <v>8693</v>
      </c>
      <c r="Q113">
        <v>2</v>
      </c>
      <c r="R113" s="3">
        <f>ARTICULOS_MAYORISTA[[#This Row],[Bulto]]+ARTICULOS_MAYORISTA[[#This Row],[Minimo]]</f>
        <v>8</v>
      </c>
      <c r="S113" t="s">
        <v>35</v>
      </c>
      <c r="T113" t="s">
        <v>33</v>
      </c>
      <c r="U113" t="s">
        <v>84</v>
      </c>
      <c r="V113" t="s">
        <v>10658</v>
      </c>
      <c r="W113" t="s">
        <v>8692</v>
      </c>
      <c r="X113">
        <v>1</v>
      </c>
      <c r="Y113" s="36">
        <v>3</v>
      </c>
      <c r="Z113"/>
      <c r="AB113" s="80" t="e">
        <f>ARTICULOS_MAYORISTA[[#This Row],[Costo]]*ARTICULOS_MAYORISTA[[#This Row],[Pedido]]</f>
        <v>#DIV/0!</v>
      </c>
      <c r="AF113" s="2"/>
      <c r="AH113" s="2" t="str">
        <f>IF(AND(ARTICULOS_MAYORISTA[[#This Row],[FechaVenc]]=0,ARTICULOS_MAYORISTA[[#This Row],[DiasVenc]]=0),"",ARTICULOS_MAYORISTA[[#This Row],[FechaVenc]]-ARTICULOS_MAYORISTA[[#This Row],[DiasVenc]])</f>
        <v/>
      </c>
      <c r="AO113" s="30" t="s">
        <v>8689</v>
      </c>
    </row>
    <row r="114" spans="1:41" hidden="1" x14ac:dyDescent="0.25">
      <c r="A114" s="1" t="s">
        <v>10661</v>
      </c>
      <c r="C114" t="str">
        <f t="shared" si="10"/>
        <v>PER20017727</v>
      </c>
      <c r="D114" t="s">
        <v>8689</v>
      </c>
      <c r="E114" s="1" t="s">
        <v>10662</v>
      </c>
      <c r="F114" s="61"/>
      <c r="G114" s="3">
        <v>0</v>
      </c>
      <c r="H114" s="4" t="s">
        <v>8690</v>
      </c>
      <c r="I114">
        <v>6</v>
      </c>
      <c r="J114"/>
      <c r="K114">
        <v>0</v>
      </c>
      <c r="L114" s="65" t="e">
        <f>((ARTICULOS_MAYORISTA[[#This Row],[P. Compra]]*(1+ARTICULOS_MAYORISTA[[#This Row],[IVA]]%))/ARTICULOS_MAYORISTA[[#This Row],[UnidFact]])+ARTICULOS_MAYORISTA[[#This Row],[Flete]]</f>
        <v>#DIV/0!</v>
      </c>
      <c r="M114">
        <v>30</v>
      </c>
      <c r="N114" s="63" t="e">
        <f t="shared" si="11"/>
        <v>#DIV/0!</v>
      </c>
      <c r="O114" s="3" t="e">
        <f>MROUND((ARTICULOS_MAYORISTA[[#This Row],[Precio]]/0.6),10)</f>
        <v>#DIV/0!</v>
      </c>
      <c r="P114" t="s">
        <v>8693</v>
      </c>
      <c r="Q114">
        <v>2</v>
      </c>
      <c r="R114" s="3">
        <f>ARTICULOS_MAYORISTA[[#This Row],[Bulto]]+ARTICULOS_MAYORISTA[[#This Row],[Minimo]]</f>
        <v>8</v>
      </c>
      <c r="S114" t="s">
        <v>35</v>
      </c>
      <c r="T114" t="s">
        <v>33</v>
      </c>
      <c r="U114" t="s">
        <v>84</v>
      </c>
      <c r="V114" t="s">
        <v>10658</v>
      </c>
      <c r="W114" t="s">
        <v>8692</v>
      </c>
      <c r="X114">
        <v>1</v>
      </c>
      <c r="Y114" s="36">
        <v>3</v>
      </c>
      <c r="Z114"/>
      <c r="AB114" s="80" t="e">
        <f>ARTICULOS_MAYORISTA[[#This Row],[Costo]]*ARTICULOS_MAYORISTA[[#This Row],[Pedido]]</f>
        <v>#DIV/0!</v>
      </c>
      <c r="AF114" s="2"/>
      <c r="AH114" s="2" t="str">
        <f>IF(AND(ARTICULOS_MAYORISTA[[#This Row],[FechaVenc]]=0,ARTICULOS_MAYORISTA[[#This Row],[DiasVenc]]=0),"",ARTICULOS_MAYORISTA[[#This Row],[FechaVenc]]-ARTICULOS_MAYORISTA[[#This Row],[DiasVenc]])</f>
        <v/>
      </c>
      <c r="AO114" s="30" t="s">
        <v>8689</v>
      </c>
    </row>
    <row r="115" spans="1:41" hidden="1" x14ac:dyDescent="0.25">
      <c r="A115" s="1" t="s">
        <v>10666</v>
      </c>
      <c r="C115" t="str">
        <f t="shared" si="10"/>
        <v>PER50057024</v>
      </c>
      <c r="D115" t="s">
        <v>8689</v>
      </c>
      <c r="E115" s="24" t="s">
        <v>10667</v>
      </c>
      <c r="F115" s="61"/>
      <c r="G115" s="3">
        <v>0</v>
      </c>
      <c r="H115" s="4" t="s">
        <v>8690</v>
      </c>
      <c r="I115">
        <v>6</v>
      </c>
      <c r="J115"/>
      <c r="K115">
        <v>0</v>
      </c>
      <c r="L115" s="65" t="e">
        <f>((ARTICULOS_MAYORISTA[[#This Row],[P. Compra]]*(1+ARTICULOS_MAYORISTA[[#This Row],[IVA]]%))/ARTICULOS_MAYORISTA[[#This Row],[UnidFact]])+ARTICULOS_MAYORISTA[[#This Row],[Flete]]</f>
        <v>#DIV/0!</v>
      </c>
      <c r="M115">
        <v>30</v>
      </c>
      <c r="N115" s="63" t="e">
        <f t="shared" si="11"/>
        <v>#DIV/0!</v>
      </c>
      <c r="O115" s="3" t="e">
        <f>MROUND((ARTICULOS_MAYORISTA[[#This Row],[Precio]]/0.6),10)</f>
        <v>#DIV/0!</v>
      </c>
      <c r="P115" t="s">
        <v>8693</v>
      </c>
      <c r="Q115">
        <v>2</v>
      </c>
      <c r="R115" s="3">
        <f>ARTICULOS_MAYORISTA[[#This Row],[Bulto]]+ARTICULOS_MAYORISTA[[#This Row],[Minimo]]</f>
        <v>8</v>
      </c>
      <c r="S115" t="s">
        <v>35</v>
      </c>
      <c r="T115" t="s">
        <v>33</v>
      </c>
      <c r="U115" t="s">
        <v>84</v>
      </c>
      <c r="V115" t="s">
        <v>10665</v>
      </c>
      <c r="W115" t="s">
        <v>8692</v>
      </c>
      <c r="X115">
        <v>1</v>
      </c>
      <c r="Y115" s="36">
        <v>0</v>
      </c>
      <c r="Z115"/>
      <c r="AB115" s="80" t="e">
        <f>ARTICULOS_MAYORISTA[[#This Row],[Costo]]*ARTICULOS_MAYORISTA[[#This Row],[Pedido]]</f>
        <v>#DIV/0!</v>
      </c>
      <c r="AF115" s="2"/>
      <c r="AH115" s="2" t="str">
        <f>IF(AND(ARTICULOS_MAYORISTA[[#This Row],[FechaVenc]]=0,ARTICULOS_MAYORISTA[[#This Row],[DiasVenc]]=0),"",ARTICULOS_MAYORISTA[[#This Row],[FechaVenc]]-ARTICULOS_MAYORISTA[[#This Row],[DiasVenc]])</f>
        <v/>
      </c>
      <c r="AO115" s="30" t="s">
        <v>8689</v>
      </c>
    </row>
    <row r="116" spans="1:41" hidden="1" x14ac:dyDescent="0.25">
      <c r="A116" s="24" t="s">
        <v>10663</v>
      </c>
      <c r="C116" t="str">
        <f t="shared" si="10"/>
        <v>PER23690195</v>
      </c>
      <c r="D116" t="s">
        <v>8689</v>
      </c>
      <c r="E116" s="24" t="s">
        <v>10664</v>
      </c>
      <c r="F116" s="61"/>
      <c r="G116" s="3">
        <v>0</v>
      </c>
      <c r="H116" s="4" t="s">
        <v>8690</v>
      </c>
      <c r="I116">
        <v>6</v>
      </c>
      <c r="J116"/>
      <c r="K116">
        <v>0</v>
      </c>
      <c r="L116" s="65" t="e">
        <f>((ARTICULOS_MAYORISTA[[#This Row],[P. Compra]]*(1+ARTICULOS_MAYORISTA[[#This Row],[IVA]]%))/ARTICULOS_MAYORISTA[[#This Row],[UnidFact]])+ARTICULOS_MAYORISTA[[#This Row],[Flete]]</f>
        <v>#DIV/0!</v>
      </c>
      <c r="M116">
        <v>30</v>
      </c>
      <c r="N116" s="63" t="e">
        <f t="shared" si="11"/>
        <v>#DIV/0!</v>
      </c>
      <c r="O116" s="3" t="e">
        <f>MROUND((ARTICULOS_MAYORISTA[[#This Row],[Precio]]/0.6),10)</f>
        <v>#DIV/0!</v>
      </c>
      <c r="P116" t="s">
        <v>8693</v>
      </c>
      <c r="Q116">
        <v>2</v>
      </c>
      <c r="R116" s="3">
        <f>ARTICULOS_MAYORISTA[[#This Row],[Bulto]]+ARTICULOS_MAYORISTA[[#This Row],[Minimo]]</f>
        <v>8</v>
      </c>
      <c r="S116" t="s">
        <v>35</v>
      </c>
      <c r="T116" t="s">
        <v>33</v>
      </c>
      <c r="U116" t="s">
        <v>84</v>
      </c>
      <c r="V116" t="s">
        <v>10665</v>
      </c>
      <c r="W116" t="s">
        <v>8692</v>
      </c>
      <c r="X116">
        <v>1</v>
      </c>
      <c r="Y116" s="36">
        <v>2</v>
      </c>
      <c r="Z116"/>
      <c r="AB116" s="80" t="e">
        <f>ARTICULOS_MAYORISTA[[#This Row],[Costo]]*ARTICULOS_MAYORISTA[[#This Row],[Pedido]]</f>
        <v>#DIV/0!</v>
      </c>
      <c r="AF116" s="2"/>
      <c r="AH116" s="2" t="str">
        <f>IF(AND(ARTICULOS_MAYORISTA[[#This Row],[FechaVenc]]=0,ARTICULOS_MAYORISTA[[#This Row],[DiasVenc]]=0),"",ARTICULOS_MAYORISTA[[#This Row],[FechaVenc]]-ARTICULOS_MAYORISTA[[#This Row],[DiasVenc]])</f>
        <v/>
      </c>
      <c r="AO116" s="30" t="s">
        <v>8689</v>
      </c>
    </row>
    <row r="117" spans="1:41" hidden="1" x14ac:dyDescent="0.25">
      <c r="A117" s="24" t="s">
        <v>10668</v>
      </c>
      <c r="C117" t="str">
        <f t="shared" si="10"/>
        <v>PER23699013</v>
      </c>
      <c r="D117" t="s">
        <v>8689</v>
      </c>
      <c r="E117" s="24" t="s">
        <v>10669</v>
      </c>
      <c r="F117" s="61"/>
      <c r="G117" s="3">
        <v>0</v>
      </c>
      <c r="H117" s="4" t="s">
        <v>8690</v>
      </c>
      <c r="I117">
        <v>6</v>
      </c>
      <c r="J117"/>
      <c r="K117">
        <v>0</v>
      </c>
      <c r="L117" s="65" t="e">
        <f>((ARTICULOS_MAYORISTA[[#This Row],[P. Compra]]*(1+ARTICULOS_MAYORISTA[[#This Row],[IVA]]%))/ARTICULOS_MAYORISTA[[#This Row],[UnidFact]])+ARTICULOS_MAYORISTA[[#This Row],[Flete]]</f>
        <v>#DIV/0!</v>
      </c>
      <c r="M117">
        <v>30</v>
      </c>
      <c r="N117" s="63" t="e">
        <f t="shared" si="11"/>
        <v>#DIV/0!</v>
      </c>
      <c r="O117" s="3" t="e">
        <f>MROUND((ARTICULOS_MAYORISTA[[#This Row],[Precio]]/0.6),10)</f>
        <v>#DIV/0!</v>
      </c>
      <c r="P117" t="s">
        <v>8693</v>
      </c>
      <c r="Q117">
        <v>2</v>
      </c>
      <c r="R117" s="3">
        <f>ARTICULOS_MAYORISTA[[#This Row],[Bulto]]+ARTICULOS_MAYORISTA[[#This Row],[Minimo]]</f>
        <v>8</v>
      </c>
      <c r="S117" t="s">
        <v>35</v>
      </c>
      <c r="T117" t="s">
        <v>33</v>
      </c>
      <c r="U117" t="s">
        <v>84</v>
      </c>
      <c r="V117" t="s">
        <v>10665</v>
      </c>
      <c r="W117" t="s">
        <v>8692</v>
      </c>
      <c r="X117">
        <v>1</v>
      </c>
      <c r="Y117" s="36">
        <v>2</v>
      </c>
      <c r="Z117"/>
      <c r="AB117" s="80" t="e">
        <f>ARTICULOS_MAYORISTA[[#This Row],[Costo]]*ARTICULOS_MAYORISTA[[#This Row],[Pedido]]</f>
        <v>#DIV/0!</v>
      </c>
      <c r="AF117" s="2"/>
      <c r="AH117" s="2" t="str">
        <f>IF(AND(ARTICULOS_MAYORISTA[[#This Row],[FechaVenc]]=0,ARTICULOS_MAYORISTA[[#This Row],[DiasVenc]]=0),"",ARTICULOS_MAYORISTA[[#This Row],[FechaVenc]]-ARTICULOS_MAYORISTA[[#This Row],[DiasVenc]])</f>
        <v/>
      </c>
      <c r="AO117" s="30" t="s">
        <v>8689</v>
      </c>
    </row>
    <row r="118" spans="1:41" hidden="1" x14ac:dyDescent="0.25">
      <c r="A118" s="1" t="s">
        <v>10673</v>
      </c>
      <c r="C118" t="str">
        <f t="shared" si="10"/>
        <v>PER40002238</v>
      </c>
      <c r="D118" t="s">
        <v>8689</v>
      </c>
      <c r="E118" s="1" t="s">
        <v>10674</v>
      </c>
      <c r="F118" s="61"/>
      <c r="G118" s="3">
        <v>0</v>
      </c>
      <c r="H118" s="4" t="s">
        <v>8690</v>
      </c>
      <c r="I118">
        <v>6</v>
      </c>
      <c r="J118"/>
      <c r="K118">
        <v>0</v>
      </c>
      <c r="L118" s="65" t="e">
        <f>((ARTICULOS_MAYORISTA[[#This Row],[P. Compra]]*(1+ARTICULOS_MAYORISTA[[#This Row],[IVA]]%))/ARTICULOS_MAYORISTA[[#This Row],[UnidFact]])+ARTICULOS_MAYORISTA[[#This Row],[Flete]]</f>
        <v>#DIV/0!</v>
      </c>
      <c r="M118">
        <v>30</v>
      </c>
      <c r="N118" s="63" t="e">
        <f t="shared" si="11"/>
        <v>#DIV/0!</v>
      </c>
      <c r="O118" s="3" t="e">
        <f>MROUND((ARTICULOS_MAYORISTA[[#This Row],[Precio]]/0.6),10)</f>
        <v>#DIV/0!</v>
      </c>
      <c r="P118" t="s">
        <v>8693</v>
      </c>
      <c r="Q118">
        <v>2</v>
      </c>
      <c r="R118" s="3">
        <f>ARTICULOS_MAYORISTA[[#This Row],[Bulto]]+ARTICULOS_MAYORISTA[[#This Row],[Minimo]]</f>
        <v>8</v>
      </c>
      <c r="S118" t="s">
        <v>35</v>
      </c>
      <c r="T118" t="s">
        <v>33</v>
      </c>
      <c r="U118" t="s">
        <v>84</v>
      </c>
      <c r="V118" t="s">
        <v>10672</v>
      </c>
      <c r="W118" t="s">
        <v>8692</v>
      </c>
      <c r="X118">
        <v>1</v>
      </c>
      <c r="Y118" s="37">
        <v>4</v>
      </c>
      <c r="Z118"/>
      <c r="AB118" s="80" t="e">
        <f>ARTICULOS_MAYORISTA[[#This Row],[Costo]]*ARTICULOS_MAYORISTA[[#This Row],[Pedido]]</f>
        <v>#DIV/0!</v>
      </c>
      <c r="AF118" s="2"/>
      <c r="AH118" s="2" t="str">
        <f>IF(AND(ARTICULOS_MAYORISTA[[#This Row],[FechaVenc]]=0,ARTICULOS_MAYORISTA[[#This Row],[DiasVenc]]=0),"",ARTICULOS_MAYORISTA[[#This Row],[FechaVenc]]-ARTICULOS_MAYORISTA[[#This Row],[DiasVenc]])</f>
        <v/>
      </c>
      <c r="AO118" s="30" t="s">
        <v>8689</v>
      </c>
    </row>
    <row r="119" spans="1:41" hidden="1" x14ac:dyDescent="0.25">
      <c r="A119" s="1" t="s">
        <v>10670</v>
      </c>
      <c r="C119" t="str">
        <f t="shared" si="10"/>
        <v>PER40002399</v>
      </c>
      <c r="D119" t="s">
        <v>8689</v>
      </c>
      <c r="E119" s="1" t="s">
        <v>10671</v>
      </c>
      <c r="F119" s="61"/>
      <c r="G119" s="3">
        <v>0</v>
      </c>
      <c r="H119" s="4" t="s">
        <v>8690</v>
      </c>
      <c r="I119">
        <v>6</v>
      </c>
      <c r="J119"/>
      <c r="K119">
        <v>0</v>
      </c>
      <c r="L119" s="65" t="e">
        <f>((ARTICULOS_MAYORISTA[[#This Row],[P. Compra]]*(1+ARTICULOS_MAYORISTA[[#This Row],[IVA]]%))/ARTICULOS_MAYORISTA[[#This Row],[UnidFact]])+ARTICULOS_MAYORISTA[[#This Row],[Flete]]</f>
        <v>#DIV/0!</v>
      </c>
      <c r="M119">
        <v>30</v>
      </c>
      <c r="N119" s="63" t="e">
        <f t="shared" si="11"/>
        <v>#DIV/0!</v>
      </c>
      <c r="O119" s="3" t="e">
        <f>MROUND((ARTICULOS_MAYORISTA[[#This Row],[Precio]]/0.6),10)</f>
        <v>#DIV/0!</v>
      </c>
      <c r="P119" t="s">
        <v>8693</v>
      </c>
      <c r="Q119">
        <v>2</v>
      </c>
      <c r="R119" s="3">
        <f>ARTICULOS_MAYORISTA[[#This Row],[Bulto]]+ARTICULOS_MAYORISTA[[#This Row],[Minimo]]</f>
        <v>8</v>
      </c>
      <c r="S119" t="s">
        <v>35</v>
      </c>
      <c r="T119" t="s">
        <v>33</v>
      </c>
      <c r="U119" t="s">
        <v>84</v>
      </c>
      <c r="V119" t="s">
        <v>10672</v>
      </c>
      <c r="W119" t="s">
        <v>8692</v>
      </c>
      <c r="X119">
        <v>1</v>
      </c>
      <c r="Y119" s="36">
        <v>12</v>
      </c>
      <c r="Z119"/>
      <c r="AB119" s="80" t="e">
        <f>ARTICULOS_MAYORISTA[[#This Row],[Costo]]*ARTICULOS_MAYORISTA[[#This Row],[Pedido]]</f>
        <v>#DIV/0!</v>
      </c>
      <c r="AF119" s="2"/>
      <c r="AH119" s="2" t="str">
        <f>IF(AND(ARTICULOS_MAYORISTA[[#This Row],[FechaVenc]]=0,ARTICULOS_MAYORISTA[[#This Row],[DiasVenc]]=0),"",ARTICULOS_MAYORISTA[[#This Row],[FechaVenc]]-ARTICULOS_MAYORISTA[[#This Row],[DiasVenc]])</f>
        <v/>
      </c>
      <c r="AO119" s="30" t="s">
        <v>8689</v>
      </c>
    </row>
    <row r="120" spans="1:41" hidden="1" x14ac:dyDescent="0.25">
      <c r="A120" s="24" t="s">
        <v>10112</v>
      </c>
      <c r="C120" t="str">
        <f t="shared" si="10"/>
        <v>KIO30840088</v>
      </c>
      <c r="D120" t="s">
        <v>8689</v>
      </c>
      <c r="E120" s="1" t="s">
        <v>10113</v>
      </c>
      <c r="F120" s="61">
        <v>2235</v>
      </c>
      <c r="G120" s="3">
        <v>0</v>
      </c>
      <c r="H120" s="4">
        <v>0</v>
      </c>
      <c r="I120">
        <v>8</v>
      </c>
      <c r="J120">
        <v>1</v>
      </c>
      <c r="K120">
        <v>0</v>
      </c>
      <c r="L120" s="65">
        <f>((ARTICULOS_MAYORISTA[[#This Row],[P. Compra]]*(1+ARTICULOS_MAYORISTA[[#This Row],[IVA]]%))/ARTICULOS_MAYORISTA[[#This Row],[UnidFact]])+ARTICULOS_MAYORISTA[[#This Row],[Flete]]</f>
        <v>2235</v>
      </c>
      <c r="M120">
        <v>30</v>
      </c>
      <c r="N120" s="103">
        <f>IF(L120&gt;=10,MROUND(L120/(1-M120/100),50),20)</f>
        <v>3200</v>
      </c>
      <c r="O120" s="23">
        <f>MROUND((ARTICULOS_GOLOMAX[[#This Row],[Precio]]/0.6),50)</f>
        <v>2400</v>
      </c>
      <c r="P120" s="3" t="s">
        <v>8693</v>
      </c>
      <c r="Q120" s="3">
        <v>2</v>
      </c>
      <c r="R120" s="23">
        <f>ARTICULOS_GOLOMAX[[#This Row],[Bulto]]+ARTICULOS_GOLOMAX[[#This Row],[Minimo]]</f>
        <v>4</v>
      </c>
      <c r="S120" t="s">
        <v>17</v>
      </c>
      <c r="T120" t="s">
        <v>27</v>
      </c>
      <c r="U120" t="s">
        <v>85</v>
      </c>
      <c r="V120" t="s">
        <v>10114</v>
      </c>
      <c r="W120" t="s">
        <v>8692</v>
      </c>
      <c r="X120">
        <v>1</v>
      </c>
      <c r="Y120" s="37">
        <v>5</v>
      </c>
      <c r="Z120"/>
      <c r="AB120" s="80">
        <f>ARTICULOS_MAYORISTA[[#This Row],[Costo]]*ARTICULOS_MAYORISTA[[#This Row],[Pedido]]</f>
        <v>0</v>
      </c>
      <c r="AF120" s="2"/>
      <c r="AH120" s="2" t="str">
        <f>IF(AND(ARTICULOS_MAYORISTA[[#This Row],[FechaVenc]]=0,ARTICULOS_MAYORISTA[[#This Row],[DiasVenc]]=0),"",ARTICULOS_MAYORISTA[[#This Row],[FechaVenc]]-ARTICULOS_MAYORISTA[[#This Row],[DiasVenc]])</f>
        <v/>
      </c>
      <c r="AO120" s="30" t="s">
        <v>8689</v>
      </c>
    </row>
    <row r="121" spans="1:41" hidden="1" x14ac:dyDescent="0.25">
      <c r="A121" s="24" t="s">
        <v>10599</v>
      </c>
      <c r="C121" t="str">
        <f t="shared" si="10"/>
        <v>KIO30841566</v>
      </c>
      <c r="D121" t="s">
        <v>8689</v>
      </c>
      <c r="E121" s="24" t="s">
        <v>10600</v>
      </c>
      <c r="F121" s="61">
        <v>1295.04</v>
      </c>
      <c r="G121" s="3">
        <v>0</v>
      </c>
      <c r="H121" s="4">
        <v>0</v>
      </c>
      <c r="I121">
        <v>8</v>
      </c>
      <c r="J121">
        <v>1</v>
      </c>
      <c r="K121">
        <v>0</v>
      </c>
      <c r="L121" s="65">
        <f>((ARTICULOS_MAYORISTA[[#This Row],[P. Compra]]*(1+ARTICULOS_MAYORISTA[[#This Row],[IVA]]%))/ARTICULOS_MAYORISTA[[#This Row],[UnidFact]])+ARTICULOS_MAYORISTA[[#This Row],[Flete]]</f>
        <v>1295.04</v>
      </c>
      <c r="M121">
        <v>30</v>
      </c>
      <c r="N121" s="103">
        <f>IF(L121&gt;=10,MROUND(L121/(1-M121/100),50),20)</f>
        <v>1850</v>
      </c>
      <c r="O121" s="51">
        <f>MROUND((ARTICULOS_GOLOMAX[[#This Row],[Precio]]/0.6),50)</f>
        <v>2400</v>
      </c>
      <c r="P121" s="7" t="s">
        <v>8693</v>
      </c>
      <c r="Q121" s="7">
        <v>2</v>
      </c>
      <c r="R121" s="51">
        <f>ARTICULOS_GOLOMAX[[#This Row],[Bulto]]+ARTICULOS_GOLOMAX[[#This Row],[Minimo]]</f>
        <v>4</v>
      </c>
      <c r="S121" t="s">
        <v>17</v>
      </c>
      <c r="T121" t="s">
        <v>27</v>
      </c>
      <c r="U121" t="s">
        <v>85</v>
      </c>
      <c r="V121" t="s">
        <v>10114</v>
      </c>
      <c r="W121" t="s">
        <v>8692</v>
      </c>
      <c r="X121">
        <v>1</v>
      </c>
      <c r="Y121" s="73">
        <v>11</v>
      </c>
      <c r="Z121"/>
      <c r="AB121" s="80">
        <f>ARTICULOS_MAYORISTA[[#This Row],[Costo]]*ARTICULOS_MAYORISTA[[#This Row],[Pedido]]</f>
        <v>0</v>
      </c>
      <c r="AF121" s="2"/>
      <c r="AH121" s="2" t="str">
        <f>IF(AND(ARTICULOS_MAYORISTA[[#This Row],[FechaVenc]]=0,ARTICULOS_MAYORISTA[[#This Row],[DiasVenc]]=0),"",ARTICULOS_MAYORISTA[[#This Row],[FechaVenc]]-ARTICULOS_MAYORISTA[[#This Row],[DiasVenc]])</f>
        <v/>
      </c>
      <c r="AO121" s="30" t="s">
        <v>8689</v>
      </c>
    </row>
    <row r="122" spans="1:41" hidden="1" x14ac:dyDescent="0.25">
      <c r="A122" s="24" t="s">
        <v>12594</v>
      </c>
      <c r="C122" t="str">
        <f t="shared" si="10"/>
        <v>ALM00006898</v>
      </c>
      <c r="D122" t="s">
        <v>8689</v>
      </c>
      <c r="E122" s="24" t="s">
        <v>12035</v>
      </c>
      <c r="F122" s="61"/>
      <c r="G122" s="3">
        <v>0</v>
      </c>
      <c r="H122" s="4" t="s">
        <v>8690</v>
      </c>
      <c r="I122">
        <v>6</v>
      </c>
      <c r="J122"/>
      <c r="K122">
        <v>0</v>
      </c>
      <c r="L122" s="65" t="e">
        <f>((ARTICULOS_MAYORISTA[[#This Row],[P. Compra]]*(1+ARTICULOS_MAYORISTA[[#This Row],[IVA]]%))/ARTICULOS_MAYORISTA[[#This Row],[UnidFact]])+ARTICULOS_MAYORISTA[[#This Row],[Flete]]</f>
        <v>#DIV/0!</v>
      </c>
      <c r="M122">
        <v>30</v>
      </c>
      <c r="N122" s="63" t="e">
        <f t="shared" ref="N122:N141" si="12">IF(L122&gt;=5,MROUND(L122/(1-M122/100),10),10)</f>
        <v>#DIV/0!</v>
      </c>
      <c r="O122" s="3" t="e">
        <f>MROUND((ARTICULOS_MAYORISTA[[#This Row],[Precio]]/0.6),10)</f>
        <v>#DIV/0!</v>
      </c>
      <c r="P122" t="s">
        <v>8693</v>
      </c>
      <c r="Q122">
        <v>2</v>
      </c>
      <c r="R122" s="3">
        <f>ARTICULOS_MAYORISTA[[#This Row],[Bulto]]+ARTICULOS_MAYORISTA[[#This Row],[Minimo]]</f>
        <v>8</v>
      </c>
      <c r="S122" t="s">
        <v>35</v>
      </c>
      <c r="T122" t="s">
        <v>4</v>
      </c>
      <c r="U122" t="s">
        <v>96</v>
      </c>
      <c r="V122" t="s">
        <v>10393</v>
      </c>
      <c r="W122" t="s">
        <v>8692</v>
      </c>
      <c r="X122">
        <v>1</v>
      </c>
      <c r="Y122" s="36">
        <v>0</v>
      </c>
      <c r="Z122" t="s">
        <v>8692</v>
      </c>
      <c r="AB122" s="80" t="e">
        <f>ARTICULOS_MAYORISTA[[#This Row],[Costo]]*ARTICULOS_MAYORISTA[[#This Row],[Pedido]]</f>
        <v>#DIV/0!</v>
      </c>
      <c r="AF122" s="2"/>
      <c r="AH122" s="2" t="str">
        <f>IF(AND(ARTICULOS_MAYORISTA[[#This Row],[FechaVenc]]=0,ARTICULOS_MAYORISTA[[#This Row],[DiasVenc]]=0),"",ARTICULOS_MAYORISTA[[#This Row],[FechaVenc]]-ARTICULOS_MAYORISTA[[#This Row],[DiasVenc]])</f>
        <v/>
      </c>
      <c r="AO122" s="30" t="s">
        <v>8689</v>
      </c>
    </row>
    <row r="123" spans="1:41" hidden="1" x14ac:dyDescent="0.25">
      <c r="A123" s="1" t="s">
        <v>10517</v>
      </c>
      <c r="C123" t="str">
        <f t="shared" si="10"/>
        <v>ALM42625304</v>
      </c>
      <c r="D123" t="s">
        <v>8689</v>
      </c>
      <c r="E123" s="1" t="s">
        <v>10518</v>
      </c>
      <c r="F123" s="61"/>
      <c r="G123" s="3">
        <v>0</v>
      </c>
      <c r="H123" s="4" t="s">
        <v>8690</v>
      </c>
      <c r="I123">
        <v>6</v>
      </c>
      <c r="J123"/>
      <c r="K123">
        <v>0</v>
      </c>
      <c r="L123" s="65" t="e">
        <f>((ARTICULOS_MAYORISTA[[#This Row],[P. Compra]]*(1+ARTICULOS_MAYORISTA[[#This Row],[IVA]]%))/ARTICULOS_MAYORISTA[[#This Row],[UnidFact]])+ARTICULOS_MAYORISTA[[#This Row],[Flete]]</f>
        <v>#DIV/0!</v>
      </c>
      <c r="M123">
        <v>30</v>
      </c>
      <c r="N123" s="63" t="e">
        <f t="shared" si="12"/>
        <v>#DIV/0!</v>
      </c>
      <c r="O123" s="3" t="e">
        <f>MROUND((ARTICULOS_MAYORISTA[[#This Row],[Precio]]/0.6),10)</f>
        <v>#DIV/0!</v>
      </c>
      <c r="P123" t="s">
        <v>8693</v>
      </c>
      <c r="Q123">
        <v>2</v>
      </c>
      <c r="R123" s="3">
        <f>ARTICULOS_MAYORISTA[[#This Row],[Bulto]]+ARTICULOS_MAYORISTA[[#This Row],[Minimo]]</f>
        <v>8</v>
      </c>
      <c r="S123" t="s">
        <v>35</v>
      </c>
      <c r="T123" t="s">
        <v>4</v>
      </c>
      <c r="U123" t="s">
        <v>98</v>
      </c>
      <c r="V123" t="s">
        <v>10516</v>
      </c>
      <c r="W123" t="s">
        <v>8692</v>
      </c>
      <c r="X123">
        <v>1</v>
      </c>
      <c r="Y123" s="36">
        <v>2</v>
      </c>
      <c r="Z123" t="s">
        <v>8692</v>
      </c>
      <c r="AB123" s="80" t="e">
        <f>ARTICULOS_MAYORISTA[[#This Row],[Costo]]*ARTICULOS_MAYORISTA[[#This Row],[Pedido]]</f>
        <v>#DIV/0!</v>
      </c>
      <c r="AF123" s="2"/>
      <c r="AH123" s="2" t="str">
        <f>IF(AND(ARTICULOS_MAYORISTA[[#This Row],[FechaVenc]]=0,ARTICULOS_MAYORISTA[[#This Row],[DiasVenc]]=0),"",ARTICULOS_MAYORISTA[[#This Row],[FechaVenc]]-ARTICULOS_MAYORISTA[[#This Row],[DiasVenc]])</f>
        <v/>
      </c>
      <c r="AO123" s="30" t="s">
        <v>8689</v>
      </c>
    </row>
    <row r="124" spans="1:41" hidden="1" x14ac:dyDescent="0.25">
      <c r="A124" s="1" t="s">
        <v>10514</v>
      </c>
      <c r="C124" t="str">
        <f t="shared" si="10"/>
        <v>ALM42625106</v>
      </c>
      <c r="D124" t="s">
        <v>8689</v>
      </c>
      <c r="E124" s="1" t="s">
        <v>10515</v>
      </c>
      <c r="F124" s="61"/>
      <c r="G124" s="3">
        <v>0</v>
      </c>
      <c r="H124" s="4" t="s">
        <v>8690</v>
      </c>
      <c r="I124">
        <v>6</v>
      </c>
      <c r="J124"/>
      <c r="K124">
        <v>0</v>
      </c>
      <c r="L124" s="65" t="e">
        <f>((ARTICULOS_MAYORISTA[[#This Row],[P. Compra]]*(1+ARTICULOS_MAYORISTA[[#This Row],[IVA]]%))/ARTICULOS_MAYORISTA[[#This Row],[UnidFact]])+ARTICULOS_MAYORISTA[[#This Row],[Flete]]</f>
        <v>#DIV/0!</v>
      </c>
      <c r="M124">
        <v>30</v>
      </c>
      <c r="N124" s="63" t="e">
        <f t="shared" si="12"/>
        <v>#DIV/0!</v>
      </c>
      <c r="O124" s="3" t="e">
        <f>MROUND((ARTICULOS_MAYORISTA[[#This Row],[Precio]]/0.6),10)</f>
        <v>#DIV/0!</v>
      </c>
      <c r="P124" t="s">
        <v>8693</v>
      </c>
      <c r="Q124">
        <v>2</v>
      </c>
      <c r="R124" s="3">
        <f>ARTICULOS_MAYORISTA[[#This Row],[Bulto]]+ARTICULOS_MAYORISTA[[#This Row],[Minimo]]</f>
        <v>8</v>
      </c>
      <c r="S124" t="s">
        <v>35</v>
      </c>
      <c r="T124" t="s">
        <v>4</v>
      </c>
      <c r="U124" t="s">
        <v>98</v>
      </c>
      <c r="V124" t="s">
        <v>10516</v>
      </c>
      <c r="W124" t="s">
        <v>8692</v>
      </c>
      <c r="X124">
        <v>1</v>
      </c>
      <c r="Y124" s="36">
        <v>0</v>
      </c>
      <c r="Z124" t="s">
        <v>8692</v>
      </c>
      <c r="AB124" s="80" t="e">
        <f>ARTICULOS_MAYORISTA[[#This Row],[Costo]]*ARTICULOS_MAYORISTA[[#This Row],[Pedido]]</f>
        <v>#DIV/0!</v>
      </c>
      <c r="AF124" s="2"/>
      <c r="AH124" s="2" t="str">
        <f>IF(AND(ARTICULOS_MAYORISTA[[#This Row],[FechaVenc]]=0,ARTICULOS_MAYORISTA[[#This Row],[DiasVenc]]=0),"",ARTICULOS_MAYORISTA[[#This Row],[FechaVenc]]-ARTICULOS_MAYORISTA[[#This Row],[DiasVenc]])</f>
        <v/>
      </c>
      <c r="AO124" s="30" t="s">
        <v>8689</v>
      </c>
    </row>
    <row r="125" spans="1:41" hidden="1" x14ac:dyDescent="0.25">
      <c r="A125" s="1" t="s">
        <v>10519</v>
      </c>
      <c r="C125" t="str">
        <f t="shared" si="10"/>
        <v>ALM42067005</v>
      </c>
      <c r="D125" t="s">
        <v>8689</v>
      </c>
      <c r="E125" s="1" t="s">
        <v>10520</v>
      </c>
      <c r="F125" s="61"/>
      <c r="G125" s="3">
        <v>0</v>
      </c>
      <c r="H125" s="4" t="s">
        <v>8690</v>
      </c>
      <c r="I125">
        <v>6</v>
      </c>
      <c r="J125"/>
      <c r="K125">
        <v>0</v>
      </c>
      <c r="L125" s="65" t="e">
        <f>((ARTICULOS_MAYORISTA[[#This Row],[P. Compra]]*(1+ARTICULOS_MAYORISTA[[#This Row],[IVA]]%))/ARTICULOS_MAYORISTA[[#This Row],[UnidFact]])+ARTICULOS_MAYORISTA[[#This Row],[Flete]]</f>
        <v>#DIV/0!</v>
      </c>
      <c r="M125">
        <v>30</v>
      </c>
      <c r="N125" s="63" t="e">
        <f t="shared" si="12"/>
        <v>#DIV/0!</v>
      </c>
      <c r="O125" s="3" t="e">
        <f>MROUND((ARTICULOS_MAYORISTA[[#This Row],[Precio]]/0.6),10)</f>
        <v>#DIV/0!</v>
      </c>
      <c r="P125" t="s">
        <v>8693</v>
      </c>
      <c r="Q125">
        <v>2</v>
      </c>
      <c r="R125" s="3">
        <f>ARTICULOS_MAYORISTA[[#This Row],[Bulto]]+ARTICULOS_MAYORISTA[[#This Row],[Minimo]]</f>
        <v>8</v>
      </c>
      <c r="S125" t="s">
        <v>35</v>
      </c>
      <c r="T125" t="s">
        <v>4</v>
      </c>
      <c r="U125" t="s">
        <v>98</v>
      </c>
      <c r="V125" t="s">
        <v>10516</v>
      </c>
      <c r="W125" t="s">
        <v>8692</v>
      </c>
      <c r="X125">
        <v>1</v>
      </c>
      <c r="Y125" s="36">
        <v>3</v>
      </c>
      <c r="Z125" t="s">
        <v>8692</v>
      </c>
      <c r="AB125" s="80" t="e">
        <f>ARTICULOS_MAYORISTA[[#This Row],[Costo]]*ARTICULOS_MAYORISTA[[#This Row],[Pedido]]</f>
        <v>#DIV/0!</v>
      </c>
      <c r="AF125" s="2"/>
      <c r="AH125" s="2" t="str">
        <f>IF(AND(ARTICULOS_MAYORISTA[[#This Row],[FechaVenc]]=0,ARTICULOS_MAYORISTA[[#This Row],[DiasVenc]]=0),"",ARTICULOS_MAYORISTA[[#This Row],[FechaVenc]]-ARTICULOS_MAYORISTA[[#This Row],[DiasVenc]])</f>
        <v/>
      </c>
      <c r="AO125" s="30" t="s">
        <v>8689</v>
      </c>
    </row>
    <row r="126" spans="1:41" hidden="1" x14ac:dyDescent="0.25">
      <c r="A126" s="1" t="s">
        <v>10512</v>
      </c>
      <c r="C126" t="str">
        <f t="shared" si="10"/>
        <v>ALM73002156</v>
      </c>
      <c r="D126" t="s">
        <v>8689</v>
      </c>
      <c r="E126" s="1" t="s">
        <v>10513</v>
      </c>
      <c r="F126" s="61"/>
      <c r="G126" s="3">
        <v>0</v>
      </c>
      <c r="H126" s="4" t="s">
        <v>8690</v>
      </c>
      <c r="I126">
        <v>6</v>
      </c>
      <c r="J126"/>
      <c r="K126">
        <v>0</v>
      </c>
      <c r="L126" s="65" t="e">
        <f>((ARTICULOS_MAYORISTA[[#This Row],[P. Compra]]*(1+ARTICULOS_MAYORISTA[[#This Row],[IVA]]%))/ARTICULOS_MAYORISTA[[#This Row],[UnidFact]])+ARTICULOS_MAYORISTA[[#This Row],[Flete]]</f>
        <v>#DIV/0!</v>
      </c>
      <c r="M126">
        <v>30</v>
      </c>
      <c r="N126" s="63" t="e">
        <f t="shared" si="12"/>
        <v>#DIV/0!</v>
      </c>
      <c r="O126" s="3" t="e">
        <f>MROUND((ARTICULOS_MAYORISTA[[#This Row],[Precio]]/0.6),10)</f>
        <v>#DIV/0!</v>
      </c>
      <c r="P126" t="s">
        <v>8693</v>
      </c>
      <c r="Q126">
        <v>2</v>
      </c>
      <c r="R126" s="3">
        <f>ARTICULOS_MAYORISTA[[#This Row],[Bulto]]+ARTICULOS_MAYORISTA[[#This Row],[Minimo]]</f>
        <v>8</v>
      </c>
      <c r="S126" t="s">
        <v>35</v>
      </c>
      <c r="T126" t="s">
        <v>4</v>
      </c>
      <c r="U126" t="s">
        <v>98</v>
      </c>
      <c r="V126" t="s">
        <v>8807</v>
      </c>
      <c r="W126" t="s">
        <v>8692</v>
      </c>
      <c r="X126">
        <v>1</v>
      </c>
      <c r="Y126" s="36">
        <v>14</v>
      </c>
      <c r="Z126" t="s">
        <v>8692</v>
      </c>
      <c r="AB126" s="80" t="e">
        <f>ARTICULOS_MAYORISTA[[#This Row],[Costo]]*ARTICULOS_MAYORISTA[[#This Row],[Pedido]]</f>
        <v>#DIV/0!</v>
      </c>
      <c r="AF126" s="2"/>
      <c r="AH126" s="2" t="str">
        <f>IF(AND(ARTICULOS_MAYORISTA[[#This Row],[FechaVenc]]=0,ARTICULOS_MAYORISTA[[#This Row],[DiasVenc]]=0),"",ARTICULOS_MAYORISTA[[#This Row],[FechaVenc]]-ARTICULOS_MAYORISTA[[#This Row],[DiasVenc]])</f>
        <v/>
      </c>
      <c r="AO126" s="30" t="s">
        <v>8689</v>
      </c>
    </row>
    <row r="127" spans="1:41" hidden="1" x14ac:dyDescent="0.25">
      <c r="A127" s="1" t="s">
        <v>10528</v>
      </c>
      <c r="C127" t="str">
        <f t="shared" si="10"/>
        <v>ALM70228666</v>
      </c>
      <c r="D127" t="s">
        <v>8689</v>
      </c>
      <c r="E127" s="24" t="s">
        <v>10529</v>
      </c>
      <c r="F127" s="61"/>
      <c r="G127" s="3">
        <v>0</v>
      </c>
      <c r="H127" s="4" t="s">
        <v>8690</v>
      </c>
      <c r="I127">
        <v>6</v>
      </c>
      <c r="J127"/>
      <c r="K127">
        <v>0</v>
      </c>
      <c r="L127" s="65" t="e">
        <f>((ARTICULOS_MAYORISTA[[#This Row],[P. Compra]]*(1+ARTICULOS_MAYORISTA[[#This Row],[IVA]]%))/ARTICULOS_MAYORISTA[[#This Row],[UnidFact]])+ARTICULOS_MAYORISTA[[#This Row],[Flete]]</f>
        <v>#DIV/0!</v>
      </c>
      <c r="M127">
        <v>30</v>
      </c>
      <c r="N127" s="63" t="e">
        <f t="shared" si="12"/>
        <v>#DIV/0!</v>
      </c>
      <c r="O127" s="3" t="e">
        <f>MROUND((ARTICULOS_MAYORISTA[[#This Row],[Precio]]/0.6),10)</f>
        <v>#DIV/0!</v>
      </c>
      <c r="P127" t="s">
        <v>8693</v>
      </c>
      <c r="Q127">
        <v>2</v>
      </c>
      <c r="R127" s="3">
        <f>ARTICULOS_MAYORISTA[[#This Row],[Bulto]]+ARTICULOS_MAYORISTA[[#This Row],[Minimo]]</f>
        <v>8</v>
      </c>
      <c r="S127" t="s">
        <v>35</v>
      </c>
      <c r="T127" t="s">
        <v>4</v>
      </c>
      <c r="U127" t="s">
        <v>100</v>
      </c>
      <c r="V127" t="s">
        <v>10530</v>
      </c>
      <c r="W127" t="s">
        <v>8692</v>
      </c>
      <c r="X127">
        <v>1</v>
      </c>
      <c r="Y127" s="36">
        <v>4</v>
      </c>
      <c r="Z127" t="s">
        <v>8692</v>
      </c>
      <c r="AB127" s="80" t="e">
        <f>ARTICULOS_MAYORISTA[[#This Row],[Costo]]*ARTICULOS_MAYORISTA[[#This Row],[Pedido]]</f>
        <v>#DIV/0!</v>
      </c>
      <c r="AF127" s="2"/>
      <c r="AH127" s="2" t="str">
        <f>IF(AND(ARTICULOS_MAYORISTA[[#This Row],[FechaVenc]]=0,ARTICULOS_MAYORISTA[[#This Row],[DiasVenc]]=0),"",ARTICULOS_MAYORISTA[[#This Row],[FechaVenc]]-ARTICULOS_MAYORISTA[[#This Row],[DiasVenc]])</f>
        <v/>
      </c>
      <c r="AO127" s="30" t="s">
        <v>8689</v>
      </c>
    </row>
    <row r="128" spans="1:41" hidden="1" x14ac:dyDescent="0.25">
      <c r="A128" s="1" t="s">
        <v>10531</v>
      </c>
      <c r="C128" t="str">
        <f t="shared" si="10"/>
        <v>ALM70229687</v>
      </c>
      <c r="D128" t="s">
        <v>8689</v>
      </c>
      <c r="E128" s="1" t="s">
        <v>10532</v>
      </c>
      <c r="F128" s="61"/>
      <c r="G128" s="3">
        <v>0</v>
      </c>
      <c r="H128" s="4" t="s">
        <v>8690</v>
      </c>
      <c r="I128">
        <v>6</v>
      </c>
      <c r="J128"/>
      <c r="K128">
        <v>0</v>
      </c>
      <c r="L128" s="65" t="e">
        <f>((ARTICULOS_MAYORISTA[[#This Row],[P. Compra]]*(1+ARTICULOS_MAYORISTA[[#This Row],[IVA]]%))/ARTICULOS_MAYORISTA[[#This Row],[UnidFact]])+ARTICULOS_MAYORISTA[[#This Row],[Flete]]</f>
        <v>#DIV/0!</v>
      </c>
      <c r="M128">
        <v>30</v>
      </c>
      <c r="N128" s="63" t="e">
        <f t="shared" si="12"/>
        <v>#DIV/0!</v>
      </c>
      <c r="O128" s="3" t="e">
        <f>MROUND((ARTICULOS_MAYORISTA[[#This Row],[Precio]]/0.6),10)</f>
        <v>#DIV/0!</v>
      </c>
      <c r="P128" t="s">
        <v>8693</v>
      </c>
      <c r="Q128">
        <v>2</v>
      </c>
      <c r="R128" s="3">
        <f>ARTICULOS_MAYORISTA[[#This Row],[Bulto]]+ARTICULOS_MAYORISTA[[#This Row],[Minimo]]</f>
        <v>8</v>
      </c>
      <c r="S128" t="s">
        <v>35</v>
      </c>
      <c r="T128" t="s">
        <v>4</v>
      </c>
      <c r="U128" t="s">
        <v>100</v>
      </c>
      <c r="V128" t="s">
        <v>10530</v>
      </c>
      <c r="W128" t="s">
        <v>8692</v>
      </c>
      <c r="X128">
        <v>1</v>
      </c>
      <c r="Y128" s="36">
        <v>1</v>
      </c>
      <c r="Z128" t="s">
        <v>8692</v>
      </c>
      <c r="AB128" s="80" t="e">
        <f>ARTICULOS_MAYORISTA[[#This Row],[Costo]]*ARTICULOS_MAYORISTA[[#This Row],[Pedido]]</f>
        <v>#DIV/0!</v>
      </c>
      <c r="AF128" s="2"/>
      <c r="AH128" s="2" t="str">
        <f>IF(AND(ARTICULOS_MAYORISTA[[#This Row],[FechaVenc]]=0,ARTICULOS_MAYORISTA[[#This Row],[DiasVenc]]=0),"",ARTICULOS_MAYORISTA[[#This Row],[FechaVenc]]-ARTICULOS_MAYORISTA[[#This Row],[DiasVenc]])</f>
        <v/>
      </c>
      <c r="AO128" s="30" t="s">
        <v>8689</v>
      </c>
    </row>
    <row r="129" spans="1:41" hidden="1" x14ac:dyDescent="0.25">
      <c r="A129" s="1" t="s">
        <v>10533</v>
      </c>
      <c r="C129" t="str">
        <f t="shared" si="10"/>
        <v>ALM70231666</v>
      </c>
      <c r="D129" t="s">
        <v>8689</v>
      </c>
      <c r="E129" s="24" t="s">
        <v>10534</v>
      </c>
      <c r="F129" s="61"/>
      <c r="G129" s="3">
        <v>0</v>
      </c>
      <c r="H129" s="4" t="s">
        <v>8690</v>
      </c>
      <c r="I129">
        <v>6</v>
      </c>
      <c r="J129"/>
      <c r="K129">
        <v>0</v>
      </c>
      <c r="L129" s="65" t="e">
        <f>((ARTICULOS_MAYORISTA[[#This Row],[P. Compra]]*(1+ARTICULOS_MAYORISTA[[#This Row],[IVA]]%))/ARTICULOS_MAYORISTA[[#This Row],[UnidFact]])+ARTICULOS_MAYORISTA[[#This Row],[Flete]]</f>
        <v>#DIV/0!</v>
      </c>
      <c r="M129">
        <v>30</v>
      </c>
      <c r="N129" s="63" t="e">
        <f t="shared" si="12"/>
        <v>#DIV/0!</v>
      </c>
      <c r="O129" s="3" t="e">
        <f>MROUND((ARTICULOS_MAYORISTA[[#This Row],[Precio]]/0.6),10)</f>
        <v>#DIV/0!</v>
      </c>
      <c r="P129" t="s">
        <v>8693</v>
      </c>
      <c r="Q129">
        <v>2</v>
      </c>
      <c r="R129" s="3">
        <f>ARTICULOS_MAYORISTA[[#This Row],[Bulto]]+ARTICULOS_MAYORISTA[[#This Row],[Minimo]]</f>
        <v>8</v>
      </c>
      <c r="S129" t="s">
        <v>35</v>
      </c>
      <c r="T129" t="s">
        <v>4</v>
      </c>
      <c r="U129" t="s">
        <v>100</v>
      </c>
      <c r="V129" t="s">
        <v>10530</v>
      </c>
      <c r="W129" t="s">
        <v>8692</v>
      </c>
      <c r="X129">
        <v>1</v>
      </c>
      <c r="Y129" s="36">
        <v>0</v>
      </c>
      <c r="Z129" t="s">
        <v>8692</v>
      </c>
      <c r="AB129" s="80" t="e">
        <f>ARTICULOS_MAYORISTA[[#This Row],[Costo]]*ARTICULOS_MAYORISTA[[#This Row],[Pedido]]</f>
        <v>#DIV/0!</v>
      </c>
      <c r="AF129" s="2"/>
      <c r="AH129" s="2" t="str">
        <f>IF(AND(ARTICULOS_MAYORISTA[[#This Row],[FechaVenc]]=0,ARTICULOS_MAYORISTA[[#This Row],[DiasVenc]]=0),"",ARTICULOS_MAYORISTA[[#This Row],[FechaVenc]]-ARTICULOS_MAYORISTA[[#This Row],[DiasVenc]])</f>
        <v/>
      </c>
      <c r="AO129" s="30" t="s">
        <v>8689</v>
      </c>
    </row>
    <row r="130" spans="1:41" hidden="1" x14ac:dyDescent="0.25">
      <c r="A130" s="1" t="s">
        <v>10535</v>
      </c>
      <c r="C130" t="str">
        <f t="shared" si="10"/>
        <v>ALM70231796</v>
      </c>
      <c r="D130" t="s">
        <v>8689</v>
      </c>
      <c r="E130" s="24" t="s">
        <v>9174</v>
      </c>
      <c r="F130" s="61"/>
      <c r="G130" s="3">
        <v>0</v>
      </c>
      <c r="H130" s="4" t="s">
        <v>8690</v>
      </c>
      <c r="I130">
        <v>6</v>
      </c>
      <c r="J130"/>
      <c r="K130">
        <v>0</v>
      </c>
      <c r="L130" s="65" t="e">
        <f>((ARTICULOS_MAYORISTA[[#This Row],[P. Compra]]*(1+ARTICULOS_MAYORISTA[[#This Row],[IVA]]%))/ARTICULOS_MAYORISTA[[#This Row],[UnidFact]])+ARTICULOS_MAYORISTA[[#This Row],[Flete]]</f>
        <v>#DIV/0!</v>
      </c>
      <c r="M130">
        <v>30</v>
      </c>
      <c r="N130" s="63" t="e">
        <f t="shared" si="12"/>
        <v>#DIV/0!</v>
      </c>
      <c r="O130" s="3" t="e">
        <f>MROUND((ARTICULOS_MAYORISTA[[#This Row],[Precio]]/0.6),10)</f>
        <v>#DIV/0!</v>
      </c>
      <c r="P130" t="s">
        <v>8693</v>
      </c>
      <c r="Q130">
        <v>2</v>
      </c>
      <c r="R130" s="3">
        <f>ARTICULOS_MAYORISTA[[#This Row],[Bulto]]+ARTICULOS_MAYORISTA[[#This Row],[Minimo]]</f>
        <v>8</v>
      </c>
      <c r="S130" t="s">
        <v>35</v>
      </c>
      <c r="T130" t="s">
        <v>4</v>
      </c>
      <c r="U130" t="s">
        <v>100</v>
      </c>
      <c r="V130" t="s">
        <v>10530</v>
      </c>
      <c r="W130" t="s">
        <v>8692</v>
      </c>
      <c r="X130">
        <v>1</v>
      </c>
      <c r="Y130" s="36">
        <v>3</v>
      </c>
      <c r="Z130" t="s">
        <v>8692</v>
      </c>
      <c r="AB130" s="80" t="e">
        <f>ARTICULOS_MAYORISTA[[#This Row],[Costo]]*ARTICULOS_MAYORISTA[[#This Row],[Pedido]]</f>
        <v>#DIV/0!</v>
      </c>
      <c r="AF130" s="2"/>
      <c r="AH130" s="2" t="str">
        <f>IF(AND(ARTICULOS_MAYORISTA[[#This Row],[FechaVenc]]=0,ARTICULOS_MAYORISTA[[#This Row],[DiasVenc]]=0),"",ARTICULOS_MAYORISTA[[#This Row],[FechaVenc]]-ARTICULOS_MAYORISTA[[#This Row],[DiasVenc]])</f>
        <v/>
      </c>
      <c r="AO130" s="30" t="s">
        <v>8689</v>
      </c>
    </row>
    <row r="131" spans="1:41" hidden="1" x14ac:dyDescent="0.25">
      <c r="A131" s="24" t="s">
        <v>10536</v>
      </c>
      <c r="C131" t="str">
        <f t="shared" si="10"/>
        <v>ALM70009819</v>
      </c>
      <c r="D131" t="s">
        <v>8689</v>
      </c>
      <c r="E131" s="24" t="s">
        <v>9174</v>
      </c>
      <c r="F131" s="61"/>
      <c r="G131" s="3">
        <v>0</v>
      </c>
      <c r="H131" s="4" t="s">
        <v>8690</v>
      </c>
      <c r="I131">
        <v>6</v>
      </c>
      <c r="J131"/>
      <c r="K131">
        <v>0</v>
      </c>
      <c r="L131" s="65" t="e">
        <f>((ARTICULOS_MAYORISTA[[#This Row],[P. Compra]]*(1+ARTICULOS_MAYORISTA[[#This Row],[IVA]]%))/ARTICULOS_MAYORISTA[[#This Row],[UnidFact]])+ARTICULOS_MAYORISTA[[#This Row],[Flete]]</f>
        <v>#DIV/0!</v>
      </c>
      <c r="M131">
        <v>30</v>
      </c>
      <c r="N131" s="63" t="e">
        <f t="shared" si="12"/>
        <v>#DIV/0!</v>
      </c>
      <c r="O131" s="3" t="e">
        <f>MROUND((ARTICULOS_MAYORISTA[[#This Row],[Precio]]/0.6),10)</f>
        <v>#DIV/0!</v>
      </c>
      <c r="P131" t="s">
        <v>8693</v>
      </c>
      <c r="Q131">
        <v>2</v>
      </c>
      <c r="R131" s="3">
        <f>ARTICULOS_MAYORISTA[[#This Row],[Bulto]]+ARTICULOS_MAYORISTA[[#This Row],[Minimo]]</f>
        <v>8</v>
      </c>
      <c r="S131" t="s">
        <v>35</v>
      </c>
      <c r="T131" t="s">
        <v>4</v>
      </c>
      <c r="U131" t="s">
        <v>100</v>
      </c>
      <c r="V131" t="s">
        <v>10530</v>
      </c>
      <c r="W131" t="s">
        <v>8692</v>
      </c>
      <c r="X131">
        <v>1</v>
      </c>
      <c r="Y131" s="36">
        <v>9</v>
      </c>
      <c r="Z131" t="s">
        <v>8692</v>
      </c>
      <c r="AB131" s="80" t="e">
        <f>ARTICULOS_MAYORISTA[[#This Row],[Costo]]*ARTICULOS_MAYORISTA[[#This Row],[Pedido]]</f>
        <v>#DIV/0!</v>
      </c>
      <c r="AF131" s="2"/>
      <c r="AH131" s="2" t="str">
        <f>IF(AND(ARTICULOS_MAYORISTA[[#This Row],[FechaVenc]]=0,ARTICULOS_MAYORISTA[[#This Row],[DiasVenc]]=0),"",ARTICULOS_MAYORISTA[[#This Row],[FechaVenc]]-ARTICULOS_MAYORISTA[[#This Row],[DiasVenc]])</f>
        <v/>
      </c>
      <c r="AO131" s="30" t="s">
        <v>8689</v>
      </c>
    </row>
    <row r="132" spans="1:41" hidden="1" x14ac:dyDescent="0.25">
      <c r="A132" s="1" t="s">
        <v>10542</v>
      </c>
      <c r="C132" t="str">
        <f t="shared" si="10"/>
        <v>ALM30000713</v>
      </c>
      <c r="D132" t="s">
        <v>8689</v>
      </c>
      <c r="E132" s="1" t="s">
        <v>10543</v>
      </c>
      <c r="F132" s="61"/>
      <c r="G132" s="3">
        <v>0</v>
      </c>
      <c r="H132" s="4" t="s">
        <v>8690</v>
      </c>
      <c r="I132">
        <v>6</v>
      </c>
      <c r="J132"/>
      <c r="K132">
        <v>0</v>
      </c>
      <c r="L132" s="65" t="e">
        <f>((ARTICULOS_MAYORISTA[[#This Row],[P. Compra]]*(1+ARTICULOS_MAYORISTA[[#This Row],[IVA]]%))/ARTICULOS_MAYORISTA[[#This Row],[UnidFact]])+ARTICULOS_MAYORISTA[[#This Row],[Flete]]</f>
        <v>#DIV/0!</v>
      </c>
      <c r="M132">
        <v>30</v>
      </c>
      <c r="N132" s="63" t="e">
        <f t="shared" si="12"/>
        <v>#DIV/0!</v>
      </c>
      <c r="O132" s="3" t="e">
        <f>MROUND((ARTICULOS_MAYORISTA[[#This Row],[Precio]]/0.6),10)</f>
        <v>#DIV/0!</v>
      </c>
      <c r="P132" t="s">
        <v>8693</v>
      </c>
      <c r="Q132">
        <v>2</v>
      </c>
      <c r="R132" s="3">
        <f>ARTICULOS_MAYORISTA[[#This Row],[Bulto]]+ARTICULOS_MAYORISTA[[#This Row],[Minimo]]</f>
        <v>8</v>
      </c>
      <c r="S132" t="s">
        <v>35</v>
      </c>
      <c r="T132" t="s">
        <v>4</v>
      </c>
      <c r="U132" t="s">
        <v>100</v>
      </c>
      <c r="V132" t="s">
        <v>10544</v>
      </c>
      <c r="W132" t="s">
        <v>8692</v>
      </c>
      <c r="X132">
        <v>1</v>
      </c>
      <c r="Y132" s="36">
        <v>0</v>
      </c>
      <c r="Z132" t="s">
        <v>8692</v>
      </c>
      <c r="AB132" s="80" t="e">
        <f>ARTICULOS_MAYORISTA[[#This Row],[Costo]]*ARTICULOS_MAYORISTA[[#This Row],[Pedido]]</f>
        <v>#DIV/0!</v>
      </c>
      <c r="AF132" s="2"/>
      <c r="AH132" s="2" t="str">
        <f>IF(AND(ARTICULOS_MAYORISTA[[#This Row],[FechaVenc]]=0,ARTICULOS_MAYORISTA[[#This Row],[DiasVenc]]=0),"",ARTICULOS_MAYORISTA[[#This Row],[FechaVenc]]-ARTICULOS_MAYORISTA[[#This Row],[DiasVenc]])</f>
        <v/>
      </c>
      <c r="AO132" s="30" t="s">
        <v>8689</v>
      </c>
    </row>
    <row r="133" spans="1:41" hidden="1" x14ac:dyDescent="0.25">
      <c r="A133" s="1" t="s">
        <v>10545</v>
      </c>
      <c r="C133" t="str">
        <f t="shared" ref="C133:C141" si="13">CONCATENATE(LEFT(T133,3),RIGHT(A133,8))</f>
        <v>ALM66000381</v>
      </c>
      <c r="D133" t="s">
        <v>8689</v>
      </c>
      <c r="E133" s="1" t="s">
        <v>10546</v>
      </c>
      <c r="F133" s="61"/>
      <c r="G133" s="3">
        <v>0</v>
      </c>
      <c r="H133" s="4" t="s">
        <v>8690</v>
      </c>
      <c r="I133">
        <v>6</v>
      </c>
      <c r="J133"/>
      <c r="K133">
        <v>0</v>
      </c>
      <c r="L133" s="65" t="e">
        <f>((ARTICULOS_MAYORISTA[[#This Row],[P. Compra]]*(1+ARTICULOS_MAYORISTA[[#This Row],[IVA]]%))/ARTICULOS_MAYORISTA[[#This Row],[UnidFact]])+ARTICULOS_MAYORISTA[[#This Row],[Flete]]</f>
        <v>#DIV/0!</v>
      </c>
      <c r="M133">
        <v>30</v>
      </c>
      <c r="N133" s="63" t="e">
        <f t="shared" si="12"/>
        <v>#DIV/0!</v>
      </c>
      <c r="O133" s="3" t="e">
        <f>MROUND((ARTICULOS_MAYORISTA[[#This Row],[Precio]]/0.6),10)</f>
        <v>#DIV/0!</v>
      </c>
      <c r="P133" t="s">
        <v>8693</v>
      </c>
      <c r="Q133">
        <v>2</v>
      </c>
      <c r="R133" s="3">
        <f>ARTICULOS_MAYORISTA[[#This Row],[Bulto]]+ARTICULOS_MAYORISTA[[#This Row],[Minimo]]</f>
        <v>8</v>
      </c>
      <c r="S133" t="s">
        <v>35</v>
      </c>
      <c r="T133" t="s">
        <v>4</v>
      </c>
      <c r="U133" t="s">
        <v>100</v>
      </c>
      <c r="V133" t="s">
        <v>10547</v>
      </c>
      <c r="W133" t="s">
        <v>8692</v>
      </c>
      <c r="X133">
        <v>1</v>
      </c>
      <c r="Y133" s="36">
        <v>0</v>
      </c>
      <c r="Z133" t="s">
        <v>8692</v>
      </c>
      <c r="AB133" s="80" t="e">
        <f>ARTICULOS_MAYORISTA[[#This Row],[Costo]]*ARTICULOS_MAYORISTA[[#This Row],[Pedido]]</f>
        <v>#DIV/0!</v>
      </c>
      <c r="AF133" s="2"/>
      <c r="AH133" s="2" t="str">
        <f>IF(AND(ARTICULOS_MAYORISTA[[#This Row],[FechaVenc]]=0,ARTICULOS_MAYORISTA[[#This Row],[DiasVenc]]=0),"",ARTICULOS_MAYORISTA[[#This Row],[FechaVenc]]-ARTICULOS_MAYORISTA[[#This Row],[DiasVenc]])</f>
        <v/>
      </c>
      <c r="AO133" s="30" t="s">
        <v>8689</v>
      </c>
    </row>
    <row r="134" spans="1:41" hidden="1" x14ac:dyDescent="0.25">
      <c r="A134" s="1" t="s">
        <v>10548</v>
      </c>
      <c r="C134" t="str">
        <f t="shared" si="13"/>
        <v>ALM66001203</v>
      </c>
      <c r="D134" t="s">
        <v>8689</v>
      </c>
      <c r="E134" s="1" t="s">
        <v>10549</v>
      </c>
      <c r="F134" s="61"/>
      <c r="G134" s="3">
        <v>0</v>
      </c>
      <c r="H134" s="4" t="s">
        <v>8690</v>
      </c>
      <c r="I134">
        <v>6</v>
      </c>
      <c r="J134"/>
      <c r="K134">
        <v>0</v>
      </c>
      <c r="L134" s="65" t="e">
        <f>((ARTICULOS_MAYORISTA[[#This Row],[P. Compra]]*(1+ARTICULOS_MAYORISTA[[#This Row],[IVA]]%))/ARTICULOS_MAYORISTA[[#This Row],[UnidFact]])+ARTICULOS_MAYORISTA[[#This Row],[Flete]]</f>
        <v>#DIV/0!</v>
      </c>
      <c r="M134">
        <v>30</v>
      </c>
      <c r="N134" s="63" t="e">
        <f t="shared" si="12"/>
        <v>#DIV/0!</v>
      </c>
      <c r="O134" s="3" t="e">
        <f>MROUND((ARTICULOS_MAYORISTA[[#This Row],[Precio]]/0.6),10)</f>
        <v>#DIV/0!</v>
      </c>
      <c r="P134" t="s">
        <v>8693</v>
      </c>
      <c r="Q134">
        <v>2</v>
      </c>
      <c r="R134" s="3">
        <f>ARTICULOS_MAYORISTA[[#This Row],[Bulto]]+ARTICULOS_MAYORISTA[[#This Row],[Minimo]]</f>
        <v>8</v>
      </c>
      <c r="S134" t="s">
        <v>35</v>
      </c>
      <c r="T134" t="s">
        <v>4</v>
      </c>
      <c r="U134" t="s">
        <v>100</v>
      </c>
      <c r="V134" t="s">
        <v>10547</v>
      </c>
      <c r="W134" t="s">
        <v>8692</v>
      </c>
      <c r="X134">
        <v>1</v>
      </c>
      <c r="Y134" s="36">
        <v>1</v>
      </c>
      <c r="Z134" t="s">
        <v>8692</v>
      </c>
      <c r="AB134" s="80" t="e">
        <f>ARTICULOS_MAYORISTA[[#This Row],[Costo]]*ARTICULOS_MAYORISTA[[#This Row],[Pedido]]</f>
        <v>#DIV/0!</v>
      </c>
      <c r="AF134" s="2"/>
      <c r="AH134" s="2" t="str">
        <f>IF(AND(ARTICULOS_MAYORISTA[[#This Row],[FechaVenc]]=0,ARTICULOS_MAYORISTA[[#This Row],[DiasVenc]]=0),"",ARTICULOS_MAYORISTA[[#This Row],[FechaVenc]]-ARTICULOS_MAYORISTA[[#This Row],[DiasVenc]])</f>
        <v/>
      </c>
      <c r="AO134" s="30" t="s">
        <v>8689</v>
      </c>
    </row>
    <row r="135" spans="1:41" hidden="1" x14ac:dyDescent="0.25">
      <c r="A135" s="1" t="s">
        <v>10550</v>
      </c>
      <c r="C135" t="str">
        <f t="shared" si="13"/>
        <v>ALM66001197</v>
      </c>
      <c r="D135" t="s">
        <v>8689</v>
      </c>
      <c r="E135" s="1" t="s">
        <v>10551</v>
      </c>
      <c r="F135" s="61"/>
      <c r="G135" s="3">
        <v>0</v>
      </c>
      <c r="H135" s="4" t="s">
        <v>8690</v>
      </c>
      <c r="I135">
        <v>6</v>
      </c>
      <c r="J135"/>
      <c r="K135">
        <v>0</v>
      </c>
      <c r="L135" s="65" t="e">
        <f>((ARTICULOS_MAYORISTA[[#This Row],[P. Compra]]*(1+ARTICULOS_MAYORISTA[[#This Row],[IVA]]%))/ARTICULOS_MAYORISTA[[#This Row],[UnidFact]])+ARTICULOS_MAYORISTA[[#This Row],[Flete]]</f>
        <v>#DIV/0!</v>
      </c>
      <c r="M135">
        <v>30</v>
      </c>
      <c r="N135" s="63" t="e">
        <f t="shared" si="12"/>
        <v>#DIV/0!</v>
      </c>
      <c r="O135" s="3" t="e">
        <f>MROUND((ARTICULOS_MAYORISTA[[#This Row],[Precio]]/0.6),10)</f>
        <v>#DIV/0!</v>
      </c>
      <c r="P135" t="s">
        <v>8693</v>
      </c>
      <c r="Q135">
        <v>2</v>
      </c>
      <c r="R135" s="3">
        <f>ARTICULOS_MAYORISTA[[#This Row],[Bulto]]+ARTICULOS_MAYORISTA[[#This Row],[Minimo]]</f>
        <v>8</v>
      </c>
      <c r="S135" t="s">
        <v>35</v>
      </c>
      <c r="T135" t="s">
        <v>4</v>
      </c>
      <c r="U135" t="s">
        <v>100</v>
      </c>
      <c r="V135" t="s">
        <v>10547</v>
      </c>
      <c r="W135" t="s">
        <v>8692</v>
      </c>
      <c r="X135">
        <v>1</v>
      </c>
      <c r="Y135" s="36">
        <v>0</v>
      </c>
      <c r="Z135" t="s">
        <v>8692</v>
      </c>
      <c r="AB135" s="80" t="e">
        <f>ARTICULOS_MAYORISTA[[#This Row],[Costo]]*ARTICULOS_MAYORISTA[[#This Row],[Pedido]]</f>
        <v>#DIV/0!</v>
      </c>
      <c r="AF135" s="2"/>
      <c r="AH135" s="2" t="str">
        <f>IF(AND(ARTICULOS_MAYORISTA[[#This Row],[FechaVenc]]=0,ARTICULOS_MAYORISTA[[#This Row],[DiasVenc]]=0),"",ARTICULOS_MAYORISTA[[#This Row],[FechaVenc]]-ARTICULOS_MAYORISTA[[#This Row],[DiasVenc]])</f>
        <v/>
      </c>
      <c r="AO135" s="30" t="s">
        <v>8689</v>
      </c>
    </row>
    <row r="136" spans="1:41" hidden="1" x14ac:dyDescent="0.25">
      <c r="A136" s="1" t="s">
        <v>10552</v>
      </c>
      <c r="C136" t="str">
        <f t="shared" si="13"/>
        <v>ALM00006478</v>
      </c>
      <c r="D136" t="s">
        <v>8689</v>
      </c>
      <c r="E136" s="1" t="s">
        <v>10553</v>
      </c>
      <c r="F136" s="61"/>
      <c r="G136" s="3">
        <v>0</v>
      </c>
      <c r="H136" s="4" t="s">
        <v>8690</v>
      </c>
      <c r="I136">
        <v>6</v>
      </c>
      <c r="J136"/>
      <c r="K136">
        <v>0</v>
      </c>
      <c r="L136" s="65" t="e">
        <f>((ARTICULOS_MAYORISTA[[#This Row],[P. Compra]]*(1+ARTICULOS_MAYORISTA[[#This Row],[IVA]]%))/ARTICULOS_MAYORISTA[[#This Row],[UnidFact]])+ARTICULOS_MAYORISTA[[#This Row],[Flete]]</f>
        <v>#DIV/0!</v>
      </c>
      <c r="M136">
        <v>30</v>
      </c>
      <c r="N136" s="63" t="e">
        <f t="shared" si="12"/>
        <v>#DIV/0!</v>
      </c>
      <c r="O136" s="3" t="e">
        <f>MROUND((ARTICULOS_MAYORISTA[[#This Row],[Precio]]/0.6),10)</f>
        <v>#DIV/0!</v>
      </c>
      <c r="P136" t="s">
        <v>8693</v>
      </c>
      <c r="Q136">
        <v>2</v>
      </c>
      <c r="R136" s="3">
        <f>ARTICULOS_MAYORISTA[[#This Row],[Bulto]]+ARTICULOS_MAYORISTA[[#This Row],[Minimo]]</f>
        <v>8</v>
      </c>
      <c r="S136" t="s">
        <v>35</v>
      </c>
      <c r="T136" t="s">
        <v>4</v>
      </c>
      <c r="U136" t="s">
        <v>100</v>
      </c>
      <c r="V136" t="s">
        <v>10554</v>
      </c>
      <c r="W136" t="s">
        <v>8692</v>
      </c>
      <c r="X136">
        <v>1</v>
      </c>
      <c r="Y136" s="36">
        <v>2</v>
      </c>
      <c r="Z136" t="s">
        <v>8692</v>
      </c>
      <c r="AB136" s="80" t="e">
        <f>ARTICULOS_MAYORISTA[[#This Row],[Costo]]*ARTICULOS_MAYORISTA[[#This Row],[Pedido]]</f>
        <v>#DIV/0!</v>
      </c>
      <c r="AF136" s="2"/>
      <c r="AH136" s="2" t="str">
        <f>IF(AND(ARTICULOS_MAYORISTA[[#This Row],[FechaVenc]]=0,ARTICULOS_MAYORISTA[[#This Row],[DiasVenc]]=0),"",ARTICULOS_MAYORISTA[[#This Row],[FechaVenc]]-ARTICULOS_MAYORISTA[[#This Row],[DiasVenc]])</f>
        <v/>
      </c>
      <c r="AO136" s="30" t="s">
        <v>8689</v>
      </c>
    </row>
    <row r="137" spans="1:41" hidden="1" x14ac:dyDescent="0.25">
      <c r="A137" s="1" t="s">
        <v>10521</v>
      </c>
      <c r="C137" t="str">
        <f t="shared" si="13"/>
        <v>ALM72001014</v>
      </c>
      <c r="D137" t="s">
        <v>8689</v>
      </c>
      <c r="E137" s="1" t="s">
        <v>10522</v>
      </c>
      <c r="F137" s="61"/>
      <c r="G137" s="3">
        <v>0</v>
      </c>
      <c r="H137" s="4" t="s">
        <v>8690</v>
      </c>
      <c r="I137">
        <v>6</v>
      </c>
      <c r="J137"/>
      <c r="K137">
        <v>0</v>
      </c>
      <c r="L137" s="65" t="e">
        <f>((ARTICULOS_MAYORISTA[[#This Row],[P. Compra]]*(1+ARTICULOS_MAYORISTA[[#This Row],[IVA]]%))/ARTICULOS_MAYORISTA[[#This Row],[UnidFact]])+ARTICULOS_MAYORISTA[[#This Row],[Flete]]</f>
        <v>#DIV/0!</v>
      </c>
      <c r="M137">
        <v>30</v>
      </c>
      <c r="N137" s="63" t="e">
        <f t="shared" si="12"/>
        <v>#DIV/0!</v>
      </c>
      <c r="O137" s="3" t="e">
        <f>MROUND((ARTICULOS_MAYORISTA[[#This Row],[Precio]]/0.6),10)</f>
        <v>#DIV/0!</v>
      </c>
      <c r="P137" t="s">
        <v>8693</v>
      </c>
      <c r="Q137">
        <v>2</v>
      </c>
      <c r="R137" s="3">
        <f>ARTICULOS_MAYORISTA[[#This Row],[Bulto]]+ARTICULOS_MAYORISTA[[#This Row],[Minimo]]</f>
        <v>8</v>
      </c>
      <c r="S137" t="s">
        <v>35</v>
      </c>
      <c r="T137" t="s">
        <v>4</v>
      </c>
      <c r="U137" t="s">
        <v>100</v>
      </c>
      <c r="V137" t="s">
        <v>10523</v>
      </c>
      <c r="W137" t="s">
        <v>8692</v>
      </c>
      <c r="X137">
        <v>1</v>
      </c>
      <c r="Y137" s="36">
        <v>0</v>
      </c>
      <c r="Z137" t="s">
        <v>8692</v>
      </c>
      <c r="AB137" s="80" t="e">
        <f>ARTICULOS_MAYORISTA[[#This Row],[Costo]]*ARTICULOS_MAYORISTA[[#This Row],[Pedido]]</f>
        <v>#DIV/0!</v>
      </c>
      <c r="AF137" s="2"/>
      <c r="AH137" s="2" t="str">
        <f>IF(AND(ARTICULOS_MAYORISTA[[#This Row],[FechaVenc]]=0,ARTICULOS_MAYORISTA[[#This Row],[DiasVenc]]=0),"",ARTICULOS_MAYORISTA[[#This Row],[FechaVenc]]-ARTICULOS_MAYORISTA[[#This Row],[DiasVenc]])</f>
        <v/>
      </c>
      <c r="AO137" s="30" t="s">
        <v>8689</v>
      </c>
    </row>
    <row r="138" spans="1:41" hidden="1" x14ac:dyDescent="0.25">
      <c r="A138" s="1" t="s">
        <v>10524</v>
      </c>
      <c r="C138" t="str">
        <f t="shared" si="13"/>
        <v>ALM72002080</v>
      </c>
      <c r="D138" t="s">
        <v>8689</v>
      </c>
      <c r="E138" s="1" t="s">
        <v>10525</v>
      </c>
      <c r="F138" s="109"/>
      <c r="G138" s="3">
        <v>0</v>
      </c>
      <c r="H138" s="4" t="s">
        <v>8690</v>
      </c>
      <c r="I138">
        <v>6</v>
      </c>
      <c r="J138"/>
      <c r="K138">
        <v>0</v>
      </c>
      <c r="L138" s="65" t="e">
        <f>((ARTICULOS_MAYORISTA[[#This Row],[P. Compra]]*(1+ARTICULOS_MAYORISTA[[#This Row],[IVA]]%))/ARTICULOS_MAYORISTA[[#This Row],[UnidFact]])+ARTICULOS_MAYORISTA[[#This Row],[Flete]]</f>
        <v>#DIV/0!</v>
      </c>
      <c r="M138">
        <v>30</v>
      </c>
      <c r="N138" s="63" t="e">
        <f t="shared" si="12"/>
        <v>#DIV/0!</v>
      </c>
      <c r="O138" s="3" t="e">
        <f>MROUND((ARTICULOS_MAYORISTA[[#This Row],[Precio]]/0.6),10)</f>
        <v>#DIV/0!</v>
      </c>
      <c r="P138" t="s">
        <v>8693</v>
      </c>
      <c r="Q138">
        <v>2</v>
      </c>
      <c r="R138" s="3">
        <f>ARTICULOS_MAYORISTA[[#This Row],[Bulto]]+ARTICULOS_MAYORISTA[[#This Row],[Minimo]]</f>
        <v>8</v>
      </c>
      <c r="S138" t="s">
        <v>35</v>
      </c>
      <c r="T138" t="s">
        <v>4</v>
      </c>
      <c r="U138" t="s">
        <v>100</v>
      </c>
      <c r="V138" t="s">
        <v>10523</v>
      </c>
      <c r="W138" t="s">
        <v>8692</v>
      </c>
      <c r="X138">
        <v>1</v>
      </c>
      <c r="Y138" s="36">
        <v>0</v>
      </c>
      <c r="Z138" t="s">
        <v>8692</v>
      </c>
      <c r="AB138" s="80" t="e">
        <f>ARTICULOS_MAYORISTA[[#This Row],[Costo]]*ARTICULOS_MAYORISTA[[#This Row],[Pedido]]</f>
        <v>#DIV/0!</v>
      </c>
      <c r="AF138" s="2"/>
      <c r="AH138" s="2" t="str">
        <f>IF(AND(ARTICULOS_MAYORISTA[[#This Row],[FechaVenc]]=0,ARTICULOS_MAYORISTA[[#This Row],[DiasVenc]]=0),"",ARTICULOS_MAYORISTA[[#This Row],[FechaVenc]]-ARTICULOS_MAYORISTA[[#This Row],[DiasVenc]])</f>
        <v/>
      </c>
      <c r="AO138" s="30" t="s">
        <v>8689</v>
      </c>
    </row>
    <row r="139" spans="1:41" hidden="1" x14ac:dyDescent="0.25">
      <c r="A139" s="1" t="s">
        <v>10526</v>
      </c>
      <c r="C139" t="str">
        <f t="shared" si="13"/>
        <v>ALM04000822</v>
      </c>
      <c r="D139" t="s">
        <v>8689</v>
      </c>
      <c r="E139" s="1" t="s">
        <v>10527</v>
      </c>
      <c r="F139" s="98"/>
      <c r="G139" s="3">
        <v>0</v>
      </c>
      <c r="H139" s="4" t="s">
        <v>8690</v>
      </c>
      <c r="I139">
        <v>6</v>
      </c>
      <c r="J139"/>
      <c r="K139">
        <v>0</v>
      </c>
      <c r="L139" s="65" t="e">
        <f>((ARTICULOS_MAYORISTA[[#This Row],[P. Compra]]*(1+ARTICULOS_MAYORISTA[[#This Row],[IVA]]%))/ARTICULOS_MAYORISTA[[#This Row],[UnidFact]])+ARTICULOS_MAYORISTA[[#This Row],[Flete]]</f>
        <v>#DIV/0!</v>
      </c>
      <c r="M139">
        <v>30</v>
      </c>
      <c r="N139" s="63" t="e">
        <f t="shared" si="12"/>
        <v>#DIV/0!</v>
      </c>
      <c r="O139" s="3" t="e">
        <f>MROUND((ARTICULOS_MAYORISTA[[#This Row],[Precio]]/0.6),10)</f>
        <v>#DIV/0!</v>
      </c>
      <c r="P139" t="s">
        <v>8693</v>
      </c>
      <c r="Q139">
        <v>2</v>
      </c>
      <c r="R139" s="3">
        <f>ARTICULOS_MAYORISTA[[#This Row],[Bulto]]+ARTICULOS_MAYORISTA[[#This Row],[Minimo]]</f>
        <v>8</v>
      </c>
      <c r="S139" t="s">
        <v>35</v>
      </c>
      <c r="T139" t="s">
        <v>4</v>
      </c>
      <c r="U139" t="s">
        <v>100</v>
      </c>
      <c r="V139" t="s">
        <v>10523</v>
      </c>
      <c r="W139" t="s">
        <v>8692</v>
      </c>
      <c r="X139">
        <v>1</v>
      </c>
      <c r="Y139" s="36">
        <v>0</v>
      </c>
      <c r="Z139" t="s">
        <v>8692</v>
      </c>
      <c r="AB139" s="80" t="e">
        <f>ARTICULOS_MAYORISTA[[#This Row],[Costo]]*ARTICULOS_MAYORISTA[[#This Row],[Pedido]]</f>
        <v>#DIV/0!</v>
      </c>
      <c r="AF139" s="2"/>
      <c r="AH139" s="2" t="str">
        <f>IF(AND(ARTICULOS_MAYORISTA[[#This Row],[FechaVenc]]=0,ARTICULOS_MAYORISTA[[#This Row],[DiasVenc]]=0),"",ARTICULOS_MAYORISTA[[#This Row],[FechaVenc]]-ARTICULOS_MAYORISTA[[#This Row],[DiasVenc]])</f>
        <v/>
      </c>
      <c r="AO139" s="30" t="s">
        <v>8689</v>
      </c>
    </row>
    <row r="140" spans="1:41" hidden="1" x14ac:dyDescent="0.25">
      <c r="A140" s="1" t="s">
        <v>10537</v>
      </c>
      <c r="C140" t="str">
        <f t="shared" si="13"/>
        <v>ALM00093024</v>
      </c>
      <c r="D140" t="s">
        <v>8689</v>
      </c>
      <c r="E140" s="1" t="s">
        <v>10538</v>
      </c>
      <c r="F140" s="109"/>
      <c r="G140" s="3">
        <v>0</v>
      </c>
      <c r="H140" s="4" t="s">
        <v>8690</v>
      </c>
      <c r="I140">
        <v>6</v>
      </c>
      <c r="J140"/>
      <c r="K140">
        <v>0</v>
      </c>
      <c r="L140" s="65" t="e">
        <f>((ARTICULOS_MAYORISTA[[#This Row],[P. Compra]]*(1+ARTICULOS_MAYORISTA[[#This Row],[IVA]]%))/ARTICULOS_MAYORISTA[[#This Row],[UnidFact]])+ARTICULOS_MAYORISTA[[#This Row],[Flete]]</f>
        <v>#DIV/0!</v>
      </c>
      <c r="M140">
        <v>30</v>
      </c>
      <c r="N140" s="63" t="e">
        <f t="shared" si="12"/>
        <v>#DIV/0!</v>
      </c>
      <c r="O140" s="3" t="e">
        <f>MROUND((ARTICULOS_MAYORISTA[[#This Row],[Precio]]/0.6),10)</f>
        <v>#DIV/0!</v>
      </c>
      <c r="P140" t="s">
        <v>8693</v>
      </c>
      <c r="Q140">
        <v>2</v>
      </c>
      <c r="R140" s="3">
        <f>ARTICULOS_MAYORISTA[[#This Row],[Bulto]]+ARTICULOS_MAYORISTA[[#This Row],[Minimo]]</f>
        <v>8</v>
      </c>
      <c r="S140" t="s">
        <v>35</v>
      </c>
      <c r="T140" t="s">
        <v>4</v>
      </c>
      <c r="U140" t="s">
        <v>100</v>
      </c>
      <c r="V140" t="s">
        <v>10539</v>
      </c>
      <c r="W140" t="s">
        <v>8692</v>
      </c>
      <c r="X140">
        <v>1</v>
      </c>
      <c r="Y140" s="36">
        <v>0</v>
      </c>
      <c r="Z140" t="s">
        <v>8692</v>
      </c>
      <c r="AB140" s="80" t="e">
        <f>ARTICULOS_MAYORISTA[[#This Row],[Costo]]*ARTICULOS_MAYORISTA[[#This Row],[Pedido]]</f>
        <v>#DIV/0!</v>
      </c>
      <c r="AF140" s="2"/>
      <c r="AH140" s="2" t="str">
        <f>IF(AND(ARTICULOS_MAYORISTA[[#This Row],[FechaVenc]]=0,ARTICULOS_MAYORISTA[[#This Row],[DiasVenc]]=0),"",ARTICULOS_MAYORISTA[[#This Row],[FechaVenc]]-ARTICULOS_MAYORISTA[[#This Row],[DiasVenc]])</f>
        <v/>
      </c>
      <c r="AO140" s="30" t="s">
        <v>8689</v>
      </c>
    </row>
    <row r="141" spans="1:41" hidden="1" x14ac:dyDescent="0.25">
      <c r="A141" s="1" t="s">
        <v>10540</v>
      </c>
      <c r="C141" t="str">
        <f t="shared" si="13"/>
        <v>ALM00092980</v>
      </c>
      <c r="D141" t="s">
        <v>8689</v>
      </c>
      <c r="E141" s="1" t="s">
        <v>10541</v>
      </c>
      <c r="F141" s="98"/>
      <c r="G141" s="3">
        <v>0</v>
      </c>
      <c r="H141" s="4" t="s">
        <v>8690</v>
      </c>
      <c r="I141">
        <v>6</v>
      </c>
      <c r="J141"/>
      <c r="K141">
        <v>0</v>
      </c>
      <c r="L141" s="65" t="e">
        <f>((ARTICULOS_MAYORISTA[[#This Row],[P. Compra]]*(1+ARTICULOS_MAYORISTA[[#This Row],[IVA]]%))/ARTICULOS_MAYORISTA[[#This Row],[UnidFact]])+ARTICULOS_MAYORISTA[[#This Row],[Flete]]</f>
        <v>#DIV/0!</v>
      </c>
      <c r="M141">
        <v>30</v>
      </c>
      <c r="N141" s="63" t="e">
        <f t="shared" si="12"/>
        <v>#DIV/0!</v>
      </c>
      <c r="O141" s="3" t="e">
        <f>MROUND((ARTICULOS_MAYORISTA[[#This Row],[Precio]]/0.6),10)</f>
        <v>#DIV/0!</v>
      </c>
      <c r="P141" t="s">
        <v>8693</v>
      </c>
      <c r="Q141">
        <v>2</v>
      </c>
      <c r="R141" s="3">
        <f>ARTICULOS_MAYORISTA[[#This Row],[Bulto]]+ARTICULOS_MAYORISTA[[#This Row],[Minimo]]</f>
        <v>8</v>
      </c>
      <c r="S141" t="s">
        <v>35</v>
      </c>
      <c r="T141" t="s">
        <v>4</v>
      </c>
      <c r="U141" t="s">
        <v>100</v>
      </c>
      <c r="V141" t="s">
        <v>10539</v>
      </c>
      <c r="W141" t="s">
        <v>8692</v>
      </c>
      <c r="X141">
        <v>1</v>
      </c>
      <c r="Y141" s="36">
        <v>3</v>
      </c>
      <c r="Z141" t="s">
        <v>8692</v>
      </c>
      <c r="AB141" s="80" t="e">
        <f>ARTICULOS_MAYORISTA[[#This Row],[Costo]]*ARTICULOS_MAYORISTA[[#This Row],[Pedido]]</f>
        <v>#DIV/0!</v>
      </c>
      <c r="AF141" s="2"/>
      <c r="AH141" s="2" t="str">
        <f>IF(AND(ARTICULOS_MAYORISTA[[#This Row],[FechaVenc]]=0,ARTICULOS_MAYORISTA[[#This Row],[DiasVenc]]=0),"",ARTICULOS_MAYORISTA[[#This Row],[FechaVenc]]-ARTICULOS_MAYORISTA[[#This Row],[DiasVenc]])</f>
        <v/>
      </c>
      <c r="AO141" s="30" t="s">
        <v>8689</v>
      </c>
    </row>
    <row r="142" spans="1:41" hidden="1" x14ac:dyDescent="0.25">
      <c r="A142" s="1" t="s">
        <v>12074</v>
      </c>
      <c r="C142" t="str">
        <f t="shared" ref="C142" si="14">CONCATENATE(LEFT(T142,3),RIGHT(A142,8))</f>
        <v>ALM77017138</v>
      </c>
      <c r="D142" t="s">
        <v>8689</v>
      </c>
      <c r="E142" s="1" t="s">
        <v>12075</v>
      </c>
      <c r="F142" s="109">
        <v>2343</v>
      </c>
      <c r="G142" s="31">
        <v>0</v>
      </c>
      <c r="H142" s="31" t="s">
        <v>8690</v>
      </c>
      <c r="I142" s="4">
        <v>10</v>
      </c>
      <c r="J142">
        <v>1</v>
      </c>
      <c r="K142">
        <v>0</v>
      </c>
      <c r="L142" s="99">
        <f>((ARTICULOS_MAYORISTA[[#This Row],[P. Compra]]*(1+ARTICULOS_MAYORISTA[[#This Row],[IVA]]%))/ARTICULOS_MAYORISTA[[#This Row],[UnidFact]])+ARTICULOS_MAYORISTA[[#This Row],[Flete]]</f>
        <v>2343</v>
      </c>
      <c r="M142">
        <v>30</v>
      </c>
      <c r="N142" s="103">
        <f t="shared" ref="N142" si="15">IF(L142&gt;=5,MROUND(L142/(1-M142/100),10),10)</f>
        <v>3350</v>
      </c>
      <c r="O142" s="23">
        <f>MROUND((ARTICULOS_MAYORISTA[[#This Row],[Precio]]/0.6),10)</f>
        <v>5580</v>
      </c>
      <c r="P142" s="3" t="s">
        <v>8693</v>
      </c>
      <c r="Q142" s="3">
        <v>2</v>
      </c>
      <c r="R142" s="23">
        <f>ARTICULOS_MAYORISTA[[#This Row],[Bulto]]+ARTICULOS_MAYORISTA[[#This Row],[Minimo]]</f>
        <v>12</v>
      </c>
      <c r="S142" t="s">
        <v>12076</v>
      </c>
      <c r="T142" t="s">
        <v>4</v>
      </c>
      <c r="U142" t="s">
        <v>56</v>
      </c>
      <c r="V142" t="s">
        <v>12077</v>
      </c>
      <c r="W142" t="s">
        <v>8692</v>
      </c>
      <c r="X142">
        <v>1</v>
      </c>
      <c r="Y142" s="37">
        <v>3</v>
      </c>
      <c r="Z142" t="s">
        <v>8692</v>
      </c>
      <c r="AB142" s="80">
        <f>ARTICULOS_MAYORISTA[[#This Row],[Costo]]*ARTICULOS_MAYORISTA[[#This Row],[Pedido]]</f>
        <v>0</v>
      </c>
      <c r="AF142" s="2"/>
      <c r="AH142" s="2" t="str">
        <f>IF(AND(ARTICULOS_MAYORISTA[[#This Row],[FechaVenc]]=0,ARTICULOS_MAYORISTA[[#This Row],[DiasVenc]]=0),"",ARTICULOS_MAYORISTA[[#This Row],[FechaVenc]]-ARTICULOS_MAYORISTA[[#This Row],[DiasVenc]])</f>
        <v/>
      </c>
      <c r="AO142" s="30" t="s">
        <v>8689</v>
      </c>
    </row>
    <row r="143" spans="1:41" hidden="1" x14ac:dyDescent="0.25">
      <c r="A143" s="1" t="s">
        <v>12078</v>
      </c>
      <c r="C143" t="str">
        <f t="shared" ref="C143" si="16">CONCATENATE(LEFT(T143,3),RIGHT(A143,8))</f>
        <v>ALM77017015</v>
      </c>
      <c r="D143" t="s">
        <v>8689</v>
      </c>
      <c r="E143" s="1" t="s">
        <v>12079</v>
      </c>
      <c r="F143" s="109">
        <v>2343</v>
      </c>
      <c r="G143" s="31">
        <v>0</v>
      </c>
      <c r="H143" s="31" t="s">
        <v>8690</v>
      </c>
      <c r="I143" s="4">
        <v>10</v>
      </c>
      <c r="J143">
        <v>1</v>
      </c>
      <c r="K143">
        <v>0</v>
      </c>
      <c r="L143" s="99">
        <f>((ARTICULOS_MAYORISTA[[#This Row],[P. Compra]]*(1+ARTICULOS_MAYORISTA[[#This Row],[IVA]]%))/ARTICULOS_MAYORISTA[[#This Row],[UnidFact]])+ARTICULOS_MAYORISTA[[#This Row],[Flete]]</f>
        <v>2343</v>
      </c>
      <c r="M143">
        <v>30</v>
      </c>
      <c r="N143" s="103">
        <f t="shared" ref="N143" si="17">IF(L143&gt;=5,MROUND(L143/(1-M143/100),10),10)</f>
        <v>3350</v>
      </c>
      <c r="O143" s="23">
        <f>MROUND((ARTICULOS_MAYORISTA[[#This Row],[Precio]]/0.6),10)</f>
        <v>5580</v>
      </c>
      <c r="P143" s="3" t="s">
        <v>8693</v>
      </c>
      <c r="Q143" s="3">
        <v>2</v>
      </c>
      <c r="R143" s="23">
        <f>ARTICULOS_MAYORISTA[[#This Row],[Bulto]]+ARTICULOS_MAYORISTA[[#This Row],[Minimo]]</f>
        <v>12</v>
      </c>
      <c r="S143" t="s">
        <v>12076</v>
      </c>
      <c r="T143" t="s">
        <v>4</v>
      </c>
      <c r="U143" t="s">
        <v>56</v>
      </c>
      <c r="V143" t="s">
        <v>12077</v>
      </c>
      <c r="W143" t="s">
        <v>8692</v>
      </c>
      <c r="X143">
        <v>1</v>
      </c>
      <c r="Y143" s="37">
        <v>3</v>
      </c>
      <c r="Z143" t="s">
        <v>8692</v>
      </c>
      <c r="AB143" s="80">
        <f>ARTICULOS_MAYORISTA[[#This Row],[Costo]]*ARTICULOS_MAYORISTA[[#This Row],[Pedido]]</f>
        <v>0</v>
      </c>
      <c r="AF143" s="2"/>
      <c r="AH143" s="2" t="str">
        <f>IF(AND(ARTICULOS_MAYORISTA[[#This Row],[FechaVenc]]=0,ARTICULOS_MAYORISTA[[#This Row],[DiasVenc]]=0),"",ARTICULOS_MAYORISTA[[#This Row],[FechaVenc]]-ARTICULOS_MAYORISTA[[#This Row],[DiasVenc]])</f>
        <v/>
      </c>
      <c r="AO143" s="30" t="s">
        <v>8689</v>
      </c>
    </row>
    <row r="144" spans="1:41" hidden="1" x14ac:dyDescent="0.25">
      <c r="A144" s="1" t="s">
        <v>12080</v>
      </c>
      <c r="C144" t="str">
        <f t="shared" ref="C144:C148" si="18">CONCATENATE(LEFT(T144,3),RIGHT(A144,8))</f>
        <v>ALM77017060</v>
      </c>
      <c r="D144" t="s">
        <v>8689</v>
      </c>
      <c r="E144" s="1" t="s">
        <v>12081</v>
      </c>
      <c r="F144" s="109">
        <v>2343</v>
      </c>
      <c r="G144" s="31">
        <v>0</v>
      </c>
      <c r="H144" s="31" t="s">
        <v>8690</v>
      </c>
      <c r="I144" s="4">
        <v>10</v>
      </c>
      <c r="J144">
        <v>1</v>
      </c>
      <c r="K144">
        <v>0</v>
      </c>
      <c r="L144" s="99">
        <f>((ARTICULOS_MAYORISTA[[#This Row],[P. Compra]]*(1+ARTICULOS_MAYORISTA[[#This Row],[IVA]]%))/ARTICULOS_MAYORISTA[[#This Row],[UnidFact]])+ARTICULOS_MAYORISTA[[#This Row],[Flete]]</f>
        <v>2343</v>
      </c>
      <c r="M144">
        <v>30</v>
      </c>
      <c r="N144" s="103">
        <f t="shared" ref="N144:N148" si="19">IF(L144&gt;=5,MROUND(L144/(1-M144/100),10),10)</f>
        <v>3350</v>
      </c>
      <c r="O144" s="23">
        <f>MROUND((ARTICULOS_MAYORISTA[[#This Row],[Precio]]/0.6),10)</f>
        <v>5580</v>
      </c>
      <c r="P144" s="3" t="s">
        <v>8693</v>
      </c>
      <c r="Q144" s="3">
        <v>2</v>
      </c>
      <c r="R144" s="23">
        <f>ARTICULOS_MAYORISTA[[#This Row],[Bulto]]+ARTICULOS_MAYORISTA[[#This Row],[Minimo]]</f>
        <v>12</v>
      </c>
      <c r="S144" t="s">
        <v>12076</v>
      </c>
      <c r="T144" t="s">
        <v>4</v>
      </c>
      <c r="U144" t="s">
        <v>56</v>
      </c>
      <c r="V144" t="s">
        <v>12077</v>
      </c>
      <c r="W144" t="s">
        <v>8692</v>
      </c>
      <c r="X144">
        <v>1</v>
      </c>
      <c r="Y144" s="37">
        <v>3</v>
      </c>
      <c r="Z144" t="s">
        <v>8692</v>
      </c>
      <c r="AB144" s="80">
        <f>ARTICULOS_MAYORISTA[[#This Row],[Costo]]*ARTICULOS_MAYORISTA[[#This Row],[Pedido]]</f>
        <v>0</v>
      </c>
      <c r="AF144" s="2"/>
      <c r="AH144" s="2" t="str">
        <f>IF(AND(ARTICULOS_MAYORISTA[[#This Row],[FechaVenc]]=0,ARTICULOS_MAYORISTA[[#This Row],[DiasVenc]]=0),"",ARTICULOS_MAYORISTA[[#This Row],[FechaVenc]]-ARTICULOS_MAYORISTA[[#This Row],[DiasVenc]])</f>
        <v/>
      </c>
      <c r="AO144" s="30" t="s">
        <v>8689</v>
      </c>
    </row>
    <row r="145" spans="1:41" hidden="1" x14ac:dyDescent="0.25">
      <c r="A145" s="1" t="s">
        <v>12082</v>
      </c>
      <c r="C145" t="str">
        <f t="shared" si="18"/>
        <v>ALM77017053</v>
      </c>
      <c r="D145" t="s">
        <v>8689</v>
      </c>
      <c r="E145" s="1" t="s">
        <v>12083</v>
      </c>
      <c r="F145" s="109">
        <v>2343</v>
      </c>
      <c r="G145" s="31">
        <v>0</v>
      </c>
      <c r="H145" s="31" t="s">
        <v>8690</v>
      </c>
      <c r="I145" s="4">
        <v>10</v>
      </c>
      <c r="J145">
        <v>1</v>
      </c>
      <c r="K145">
        <v>0</v>
      </c>
      <c r="L145" s="99">
        <f>((ARTICULOS_MAYORISTA[[#This Row],[P. Compra]]*(1+ARTICULOS_MAYORISTA[[#This Row],[IVA]]%))/ARTICULOS_MAYORISTA[[#This Row],[UnidFact]])+ARTICULOS_MAYORISTA[[#This Row],[Flete]]</f>
        <v>2343</v>
      </c>
      <c r="M145">
        <v>30</v>
      </c>
      <c r="N145" s="103">
        <f t="shared" si="19"/>
        <v>3350</v>
      </c>
      <c r="O145" s="23">
        <f>MROUND((ARTICULOS_MAYORISTA[[#This Row],[Precio]]/0.6),10)</f>
        <v>5580</v>
      </c>
      <c r="P145" s="3" t="s">
        <v>8693</v>
      </c>
      <c r="Q145" s="3">
        <v>2</v>
      </c>
      <c r="R145" s="23">
        <f>ARTICULOS_MAYORISTA[[#This Row],[Bulto]]+ARTICULOS_MAYORISTA[[#This Row],[Minimo]]</f>
        <v>12</v>
      </c>
      <c r="S145" t="s">
        <v>12076</v>
      </c>
      <c r="T145" t="s">
        <v>4</v>
      </c>
      <c r="U145" t="s">
        <v>56</v>
      </c>
      <c r="V145" t="s">
        <v>12077</v>
      </c>
      <c r="W145" t="s">
        <v>8692</v>
      </c>
      <c r="X145">
        <v>1</v>
      </c>
      <c r="Y145" s="37">
        <v>3</v>
      </c>
      <c r="Z145" t="s">
        <v>8692</v>
      </c>
      <c r="AB145" s="80">
        <f>ARTICULOS_MAYORISTA[[#This Row],[Costo]]*ARTICULOS_MAYORISTA[[#This Row],[Pedido]]</f>
        <v>0</v>
      </c>
      <c r="AF145" s="2"/>
      <c r="AH145" s="2" t="str">
        <f>IF(AND(ARTICULOS_MAYORISTA[[#This Row],[FechaVenc]]=0,ARTICULOS_MAYORISTA[[#This Row],[DiasVenc]]=0),"",ARTICULOS_MAYORISTA[[#This Row],[FechaVenc]]-ARTICULOS_MAYORISTA[[#This Row],[DiasVenc]])</f>
        <v/>
      </c>
      <c r="AO145" s="30" t="s">
        <v>8689</v>
      </c>
    </row>
    <row r="146" spans="1:41" hidden="1" x14ac:dyDescent="0.25">
      <c r="A146" s="1" t="s">
        <v>12084</v>
      </c>
      <c r="C146" t="str">
        <f t="shared" si="18"/>
        <v>ALM77017046</v>
      </c>
      <c r="D146" t="s">
        <v>8689</v>
      </c>
      <c r="E146" s="1" t="s">
        <v>12085</v>
      </c>
      <c r="F146" s="109">
        <v>2343</v>
      </c>
      <c r="G146" s="46">
        <v>0</v>
      </c>
      <c r="H146" s="46" t="s">
        <v>8690</v>
      </c>
      <c r="I146" s="8">
        <v>10</v>
      </c>
      <c r="J146">
        <v>1</v>
      </c>
      <c r="K146">
        <v>0</v>
      </c>
      <c r="L146" s="99">
        <f>((ARTICULOS_MAYORISTA[[#This Row],[P. Compra]]*(1+ARTICULOS_MAYORISTA[[#This Row],[IVA]]%))/ARTICULOS_MAYORISTA[[#This Row],[UnidFact]])+ARTICULOS_MAYORISTA[[#This Row],[Flete]]</f>
        <v>2343</v>
      </c>
      <c r="M146">
        <v>30</v>
      </c>
      <c r="N146" s="103">
        <f t="shared" si="19"/>
        <v>3350</v>
      </c>
      <c r="O146" s="51">
        <f>MROUND((ARTICULOS_MAYORISTA[[#This Row],[Precio]]/0.6),10)</f>
        <v>5580</v>
      </c>
      <c r="P146" s="7" t="s">
        <v>8693</v>
      </c>
      <c r="Q146" s="7">
        <v>2</v>
      </c>
      <c r="R146" s="51">
        <f>ARTICULOS_MAYORISTA[[#This Row],[Bulto]]+ARTICULOS_MAYORISTA[[#This Row],[Minimo]]</f>
        <v>12</v>
      </c>
      <c r="S146" t="s">
        <v>12076</v>
      </c>
      <c r="T146" t="s">
        <v>4</v>
      </c>
      <c r="U146" t="s">
        <v>56</v>
      </c>
      <c r="V146" t="s">
        <v>12077</v>
      </c>
      <c r="W146" t="s">
        <v>8692</v>
      </c>
      <c r="X146">
        <v>1</v>
      </c>
      <c r="Y146" s="73">
        <v>3</v>
      </c>
      <c r="Z146" t="s">
        <v>8692</v>
      </c>
      <c r="AB146" s="80">
        <f>ARTICULOS_MAYORISTA[[#This Row],[Costo]]*ARTICULOS_MAYORISTA[[#This Row],[Pedido]]</f>
        <v>0</v>
      </c>
      <c r="AF146" s="2"/>
      <c r="AH146" s="2" t="str">
        <f>IF(AND(ARTICULOS_MAYORISTA[[#This Row],[FechaVenc]]=0,ARTICULOS_MAYORISTA[[#This Row],[DiasVenc]]=0),"",ARTICULOS_MAYORISTA[[#This Row],[FechaVenc]]-ARTICULOS_MAYORISTA[[#This Row],[DiasVenc]])</f>
        <v/>
      </c>
      <c r="AO146" s="30" t="s">
        <v>8689</v>
      </c>
    </row>
    <row r="147" spans="1:41" x14ac:dyDescent="0.25">
      <c r="A147" s="24" t="s">
        <v>12597</v>
      </c>
      <c r="C147" t="str">
        <f t="shared" si="18"/>
        <v>ALM50079898</v>
      </c>
      <c r="D147" t="s">
        <v>8689</v>
      </c>
      <c r="E147" s="24" t="s">
        <v>12599</v>
      </c>
      <c r="F147" s="109"/>
      <c r="G147" s="31">
        <v>0</v>
      </c>
      <c r="H147" s="31" t="s">
        <v>8690</v>
      </c>
      <c r="I147" s="4">
        <v>6</v>
      </c>
      <c r="J147"/>
      <c r="K147">
        <v>0</v>
      </c>
      <c r="L147" s="99" t="e">
        <f>((ARTICULOS_MAYORISTA[[#This Row],[P. Compra]]*(1+ARTICULOS_MAYORISTA[[#This Row],[IVA]]%))/ARTICULOS_MAYORISTA[[#This Row],[UnidFact]])+ARTICULOS_MAYORISTA[[#This Row],[Flete]]</f>
        <v>#DIV/0!</v>
      </c>
      <c r="M147" s="4">
        <v>30</v>
      </c>
      <c r="N147" s="103" t="e">
        <f t="shared" si="19"/>
        <v>#DIV/0!</v>
      </c>
      <c r="O147" s="23" t="e">
        <f>MROUND((ARTICULOS_MAYORISTA[[#This Row],[Precio]]/0.6),10)</f>
        <v>#DIV/0!</v>
      </c>
      <c r="P147" s="3" t="s">
        <v>8693</v>
      </c>
      <c r="Q147" s="3">
        <v>2</v>
      </c>
      <c r="R147" s="23">
        <f>ARTICULOS_MAYORISTA[[#This Row],[Bulto]]+ARTICULOS_MAYORISTA[[#This Row],[Minimo]]</f>
        <v>8</v>
      </c>
      <c r="S147" t="s">
        <v>35</v>
      </c>
      <c r="T147" t="s">
        <v>4</v>
      </c>
      <c r="U147" t="s">
        <v>75</v>
      </c>
      <c r="V147" t="s">
        <v>10482</v>
      </c>
      <c r="W147" t="s">
        <v>8692</v>
      </c>
      <c r="X147">
        <v>1</v>
      </c>
      <c r="Y147" s="37">
        <v>65</v>
      </c>
      <c r="Z147" t="s">
        <v>8692</v>
      </c>
      <c r="AB147" s="80" t="e">
        <f>ARTICULOS_MAYORISTA[[#This Row],[Costo]]*ARTICULOS_MAYORISTA[[#This Row],[Pedido]]</f>
        <v>#DIV/0!</v>
      </c>
      <c r="AF147" s="2"/>
      <c r="AH147" s="2" t="str">
        <f>IF(AND(ARTICULOS_MAYORISTA[[#This Row],[FechaVenc]]=0,ARTICULOS_MAYORISTA[[#This Row],[DiasVenc]]=0),"",ARTICULOS_MAYORISTA[[#This Row],[FechaVenc]]-ARTICULOS_MAYORISTA[[#This Row],[DiasVenc]])</f>
        <v/>
      </c>
      <c r="AO147" s="30" t="s">
        <v>8689</v>
      </c>
    </row>
    <row r="148" spans="1:41" x14ac:dyDescent="0.25">
      <c r="A148" s="24" t="s">
        <v>12600</v>
      </c>
      <c r="C148" t="str">
        <f t="shared" si="18"/>
        <v>PER40131400</v>
      </c>
      <c r="D148" t="s">
        <v>8689</v>
      </c>
      <c r="E148" s="24" t="s">
        <v>12601</v>
      </c>
      <c r="F148" s="98"/>
      <c r="G148" s="46">
        <v>0</v>
      </c>
      <c r="H148" s="46" t="s">
        <v>8690</v>
      </c>
      <c r="I148" s="8">
        <v>6</v>
      </c>
      <c r="J148"/>
      <c r="K148">
        <v>0</v>
      </c>
      <c r="L148" s="99" t="e">
        <f>((ARTICULOS_MAYORISTA[[#This Row],[P. Compra]]*(1+ARTICULOS_MAYORISTA[[#This Row],[IVA]]%))/ARTICULOS_MAYORISTA[[#This Row],[UnidFact]])+ARTICULOS_MAYORISTA[[#This Row],[Flete]]</f>
        <v>#DIV/0!</v>
      </c>
      <c r="M148" s="8">
        <v>30</v>
      </c>
      <c r="N148" s="103" t="e">
        <f t="shared" si="19"/>
        <v>#DIV/0!</v>
      </c>
      <c r="O148" s="51" t="e">
        <f>MROUND((ARTICULOS_MAYORISTA[[#This Row],[Precio]]/0.6),10)</f>
        <v>#DIV/0!</v>
      </c>
      <c r="P148" s="7" t="s">
        <v>8693</v>
      </c>
      <c r="Q148" s="7">
        <v>2</v>
      </c>
      <c r="R148" s="51">
        <f>ARTICULOS_MAYORISTA[[#This Row],[Bulto]]+ARTICULOS_MAYORISTA[[#This Row],[Minimo]]</f>
        <v>8</v>
      </c>
      <c r="S148" t="s">
        <v>35</v>
      </c>
      <c r="T148" t="s">
        <v>33</v>
      </c>
      <c r="U148" t="s">
        <v>72</v>
      </c>
      <c r="V148" t="s">
        <v>8691</v>
      </c>
      <c r="W148" t="s">
        <v>8692</v>
      </c>
      <c r="X148">
        <v>1</v>
      </c>
      <c r="Y148" s="73">
        <v>2</v>
      </c>
      <c r="Z148"/>
      <c r="AB148" s="80" t="e">
        <f>ARTICULOS_MAYORISTA[[#This Row],[Costo]]*ARTICULOS_MAYORISTA[[#This Row],[Pedido]]</f>
        <v>#DIV/0!</v>
      </c>
      <c r="AF148" s="2"/>
      <c r="AH148" s="2" t="str">
        <f>IF(AND(ARTICULOS_MAYORISTA[[#This Row],[FechaVenc]]=0,ARTICULOS_MAYORISTA[[#This Row],[DiasVenc]]=0),"",ARTICULOS_MAYORISTA[[#This Row],[FechaVenc]]-ARTICULOS_MAYORISTA[[#This Row],[DiasVenc]])</f>
        <v/>
      </c>
      <c r="AO148" s="30" t="s">
        <v>8689</v>
      </c>
    </row>
  </sheetData>
  <conditionalFormatting sqref="A1">
    <cfRule type="duplicateValues" dxfId="22" priority="7"/>
  </conditionalFormatting>
  <conditionalFormatting sqref="A2:C1048576">
    <cfRule type="duplicateValues" dxfId="21" priority="504"/>
    <cfRule type="duplicateValues" dxfId="20" priority="505"/>
  </conditionalFormatting>
  <conditionalFormatting sqref="A135:C136">
    <cfRule type="duplicateValues" dxfId="19" priority="22"/>
    <cfRule type="duplicateValues" dxfId="18" priority="23"/>
  </conditionalFormatting>
  <conditionalFormatting sqref="A138:C139">
    <cfRule type="duplicateValues" dxfId="17" priority="2"/>
    <cfRule type="duplicateValues" dxfId="16" priority="3"/>
  </conditionalFormatting>
  <conditionalFormatting sqref="C1">
    <cfRule type="duplicateValues" dxfId="15" priority="6"/>
  </conditionalFormatting>
  <conditionalFormatting sqref="L1:L148 F149:F1048576">
    <cfRule type="cellIs" dxfId="14" priority="18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87790F-91F0-46F8-94F9-A4329A1754FF}">
          <x14:formula1>
            <xm:f>LISTAS!$A:$A</xm:f>
          </x14:formula1>
          <xm:sqref>S1:S148 N149:N1048576</xm:sqref>
        </x14:dataValidation>
        <x14:dataValidation type="list" allowBlank="1" showInputMessage="1" showErrorMessage="1" xr:uid="{6BBB3FF9-9E49-47F1-9DD5-B92FA89CC463}">
          <x14:formula1>
            <xm:f>LISTAS!$E:$E</xm:f>
          </x14:formula1>
          <xm:sqref>U1:U148</xm:sqref>
        </x14:dataValidation>
        <x14:dataValidation type="list" allowBlank="1" showInputMessage="1" showErrorMessage="1" xr:uid="{01FE791C-593E-4207-A0A8-CC34F81D0DB5}">
          <x14:formula1>
            <xm:f>LISTAS!$C:$C</xm:f>
          </x14:formula1>
          <xm:sqref>T2:T148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1FBB-76AC-40A9-B132-19461A835BA8}">
  <sheetPr>
    <pageSetUpPr fitToPage="1"/>
  </sheetPr>
  <dimension ref="A1:AQ40"/>
  <sheetViews>
    <sheetView workbookViewId="0">
      <pane xSplit="5" topLeftCell="F1" activePane="topRight" state="frozen"/>
      <selection activeCell="AD34" sqref="AD34"/>
      <selection pane="topRight" activeCell="L2" sqref="L2"/>
    </sheetView>
  </sheetViews>
  <sheetFormatPr baseColWidth="10" defaultColWidth="11.42578125" defaultRowHeight="15.75" x14ac:dyDescent="0.25"/>
  <cols>
    <col min="1" max="1" width="14" style="1" bestFit="1" customWidth="1"/>
    <col min="2" max="2" width="15.85546875" style="1" bestFit="1" customWidth="1"/>
    <col min="3" max="3" width="12.7109375" style="1" bestFit="1" customWidth="1"/>
    <col min="4" max="4" width="6.85546875" bestFit="1" customWidth="1"/>
    <col min="5" max="5" width="50.7109375" style="1" bestFit="1" customWidth="1"/>
    <col min="6" max="6" width="9.140625" style="15" bestFit="1" customWidth="1"/>
    <col min="7" max="7" width="6.85546875" bestFit="1" customWidth="1"/>
    <col min="8" max="8" width="5" bestFit="1" customWidth="1"/>
    <col min="9" max="9" width="6.140625" bestFit="1" customWidth="1"/>
    <col min="10" max="10" width="9.28515625" style="14" bestFit="1" customWidth="1"/>
    <col min="11" max="11" width="10.28515625" bestFit="1" customWidth="1"/>
    <col min="12" max="12" width="12.28515625" style="5" bestFit="1" customWidth="1"/>
    <col min="13" max="13" width="9.7109375" bestFit="1" customWidth="1"/>
    <col min="14" max="14" width="11.7109375" bestFit="1" customWidth="1"/>
    <col min="15" max="15" width="10.7109375" bestFit="1" customWidth="1"/>
    <col min="16" max="17" width="8.7109375" bestFit="1" customWidth="1"/>
    <col min="18" max="18" width="11.7109375" bestFit="1" customWidth="1"/>
    <col min="19" max="19" width="13.28515625" bestFit="1" customWidth="1"/>
    <col min="20" max="20" width="12.7109375" bestFit="1" customWidth="1"/>
    <col min="21" max="21" width="7.85546875" bestFit="1" customWidth="1"/>
    <col min="22" max="22" width="9.28515625" bestFit="1" customWidth="1"/>
    <col min="23" max="23" width="10.28515625" bestFit="1" customWidth="1"/>
    <col min="24" max="24" width="9" style="3" bestFit="1" customWidth="1"/>
    <col min="25" max="25" width="19.140625" style="3" bestFit="1" customWidth="1"/>
    <col min="26" max="26" width="12.28515625" style="3" bestFit="1" customWidth="1"/>
    <col min="27" max="27" width="10.28515625" bestFit="1" customWidth="1"/>
    <col min="28" max="28" width="12.28515625" bestFit="1" customWidth="1"/>
    <col min="29" max="29" width="12.5703125" bestFit="1" customWidth="1"/>
    <col min="30" max="30" width="11.28515625" style="3" bestFit="1" customWidth="1"/>
    <col min="34" max="34" width="9.28515625" style="3" customWidth="1"/>
    <col min="35" max="35" width="8.140625" customWidth="1"/>
    <col min="36" max="36" width="10" bestFit="1" customWidth="1"/>
    <col min="37" max="37" width="11.5703125" style="3" customWidth="1"/>
    <col min="38" max="38" width="20" customWidth="1"/>
    <col min="39" max="39" width="13.42578125" style="2" bestFit="1" customWidth="1"/>
    <col min="40" max="40" width="11.5703125" customWidth="1"/>
    <col min="41" max="41" width="16.7109375" customWidth="1"/>
    <col min="42" max="42" width="8.85546875" bestFit="1" customWidth="1"/>
    <col min="43" max="43" width="14.28515625" customWidth="1"/>
    <col min="44" max="45" width="13.7109375" customWidth="1"/>
    <col min="48" max="48" width="12.42578125" customWidth="1"/>
    <col min="49" max="49" width="19.42578125" bestFit="1" customWidth="1"/>
    <col min="50" max="50" width="21.42578125" bestFit="1" customWidth="1"/>
    <col min="51" max="51" width="10.7109375" customWidth="1"/>
    <col min="52" max="52" width="12.85546875" customWidth="1"/>
    <col min="53" max="53" width="15.42578125" bestFit="1" customWidth="1"/>
    <col min="247" max="247" width="15" bestFit="1" customWidth="1"/>
    <col min="248" max="248" width="68.28515625" bestFit="1" customWidth="1"/>
    <col min="249" max="249" width="9.140625" bestFit="1" customWidth="1"/>
    <col min="250" max="250" width="21.42578125" bestFit="1" customWidth="1"/>
    <col min="251" max="253" width="15.42578125" bestFit="1" customWidth="1"/>
    <col min="254" max="254" width="8.85546875" bestFit="1" customWidth="1"/>
    <col min="255" max="255" width="10" bestFit="1" customWidth="1"/>
    <col min="256" max="256" width="12.7109375" bestFit="1" customWidth="1"/>
    <col min="257" max="257" width="8.85546875" bestFit="1" customWidth="1"/>
    <col min="258" max="258" width="17.7109375" bestFit="1" customWidth="1"/>
    <col min="259" max="259" width="13" bestFit="1" customWidth="1"/>
    <col min="260" max="260" width="13.42578125" bestFit="1" customWidth="1"/>
    <col min="261" max="261" width="10.85546875" bestFit="1" customWidth="1"/>
    <col min="262" max="262" width="26.85546875" bestFit="1" customWidth="1"/>
    <col min="263" max="263" width="20.85546875" bestFit="1" customWidth="1"/>
    <col min="264" max="264" width="30.42578125" bestFit="1" customWidth="1"/>
    <col min="265" max="265" width="19.42578125" bestFit="1" customWidth="1"/>
    <col min="266" max="266" width="20.28515625" bestFit="1" customWidth="1"/>
    <col min="267" max="268" width="12" bestFit="1" customWidth="1"/>
    <col min="269" max="270" width="12.5703125" bestFit="1" customWidth="1"/>
    <col min="271" max="271" width="11.7109375" bestFit="1" customWidth="1"/>
    <col min="272" max="272" width="19" bestFit="1" customWidth="1"/>
    <col min="273" max="273" width="12.140625" bestFit="1" customWidth="1"/>
    <col min="503" max="503" width="15" bestFit="1" customWidth="1"/>
    <col min="504" max="504" width="68.28515625" bestFit="1" customWidth="1"/>
    <col min="505" max="505" width="9.140625" bestFit="1" customWidth="1"/>
    <col min="506" max="506" width="21.42578125" bestFit="1" customWidth="1"/>
    <col min="507" max="509" width="15.42578125" bestFit="1" customWidth="1"/>
    <col min="510" max="510" width="8.85546875" bestFit="1" customWidth="1"/>
    <col min="511" max="511" width="10" bestFit="1" customWidth="1"/>
    <col min="512" max="512" width="12.7109375" bestFit="1" customWidth="1"/>
    <col min="513" max="513" width="8.85546875" bestFit="1" customWidth="1"/>
    <col min="514" max="514" width="17.7109375" bestFit="1" customWidth="1"/>
    <col min="515" max="515" width="13" bestFit="1" customWidth="1"/>
    <col min="516" max="516" width="13.42578125" bestFit="1" customWidth="1"/>
    <col min="517" max="517" width="10.85546875" bestFit="1" customWidth="1"/>
    <col min="518" max="518" width="26.85546875" bestFit="1" customWidth="1"/>
    <col min="519" max="519" width="20.85546875" bestFit="1" customWidth="1"/>
    <col min="520" max="520" width="30.42578125" bestFit="1" customWidth="1"/>
    <col min="521" max="521" width="19.42578125" bestFit="1" customWidth="1"/>
    <col min="522" max="522" width="20.28515625" bestFit="1" customWidth="1"/>
    <col min="523" max="524" width="12" bestFit="1" customWidth="1"/>
    <col min="525" max="526" width="12.5703125" bestFit="1" customWidth="1"/>
    <col min="527" max="527" width="11.7109375" bestFit="1" customWidth="1"/>
    <col min="528" max="528" width="19" bestFit="1" customWidth="1"/>
    <col min="529" max="529" width="12.140625" bestFit="1" customWidth="1"/>
    <col min="759" max="759" width="15" bestFit="1" customWidth="1"/>
    <col min="760" max="760" width="68.28515625" bestFit="1" customWidth="1"/>
    <col min="761" max="761" width="9.140625" bestFit="1" customWidth="1"/>
    <col min="762" max="762" width="21.42578125" bestFit="1" customWidth="1"/>
    <col min="763" max="765" width="15.42578125" bestFit="1" customWidth="1"/>
    <col min="766" max="766" width="8.85546875" bestFit="1" customWidth="1"/>
    <col min="767" max="767" width="10" bestFit="1" customWidth="1"/>
    <col min="768" max="768" width="12.7109375" bestFit="1" customWidth="1"/>
    <col min="769" max="769" width="8.85546875" bestFit="1" customWidth="1"/>
    <col min="770" max="770" width="17.7109375" bestFit="1" customWidth="1"/>
    <col min="771" max="771" width="13" bestFit="1" customWidth="1"/>
    <col min="772" max="772" width="13.42578125" bestFit="1" customWidth="1"/>
    <col min="773" max="773" width="10.85546875" bestFit="1" customWidth="1"/>
    <col min="774" max="774" width="26.85546875" bestFit="1" customWidth="1"/>
    <col min="775" max="775" width="20.85546875" bestFit="1" customWidth="1"/>
    <col min="776" max="776" width="30.42578125" bestFit="1" customWidth="1"/>
    <col min="777" max="777" width="19.42578125" bestFit="1" customWidth="1"/>
    <col min="778" max="778" width="20.28515625" bestFit="1" customWidth="1"/>
    <col min="779" max="780" width="12" bestFit="1" customWidth="1"/>
    <col min="781" max="782" width="12.5703125" bestFit="1" customWidth="1"/>
    <col min="783" max="783" width="11.7109375" bestFit="1" customWidth="1"/>
    <col min="784" max="784" width="19" bestFit="1" customWidth="1"/>
    <col min="785" max="785" width="12.140625" bestFit="1" customWidth="1"/>
    <col min="1015" max="1015" width="15" bestFit="1" customWidth="1"/>
    <col min="1016" max="1016" width="68.28515625" bestFit="1" customWidth="1"/>
    <col min="1017" max="1017" width="9.140625" bestFit="1" customWidth="1"/>
    <col min="1018" max="1018" width="21.42578125" bestFit="1" customWidth="1"/>
    <col min="1019" max="1021" width="15.42578125" bestFit="1" customWidth="1"/>
    <col min="1022" max="1022" width="8.85546875" bestFit="1" customWidth="1"/>
    <col min="1023" max="1023" width="10" bestFit="1" customWidth="1"/>
    <col min="1024" max="1024" width="12.7109375" bestFit="1" customWidth="1"/>
    <col min="1025" max="1025" width="8.85546875" bestFit="1" customWidth="1"/>
    <col min="1026" max="1026" width="17.7109375" bestFit="1" customWidth="1"/>
    <col min="1027" max="1027" width="13" bestFit="1" customWidth="1"/>
    <col min="1028" max="1028" width="13.42578125" bestFit="1" customWidth="1"/>
    <col min="1029" max="1029" width="10.85546875" bestFit="1" customWidth="1"/>
    <col min="1030" max="1030" width="26.85546875" bestFit="1" customWidth="1"/>
    <col min="1031" max="1031" width="20.85546875" bestFit="1" customWidth="1"/>
    <col min="1032" max="1032" width="30.42578125" bestFit="1" customWidth="1"/>
    <col min="1033" max="1033" width="19.42578125" bestFit="1" customWidth="1"/>
    <col min="1034" max="1034" width="20.28515625" bestFit="1" customWidth="1"/>
    <col min="1035" max="1036" width="12" bestFit="1" customWidth="1"/>
    <col min="1037" max="1038" width="12.5703125" bestFit="1" customWidth="1"/>
    <col min="1039" max="1039" width="11.7109375" bestFit="1" customWidth="1"/>
    <col min="1040" max="1040" width="19" bestFit="1" customWidth="1"/>
    <col min="1041" max="1041" width="12.140625" bestFit="1" customWidth="1"/>
    <col min="1271" max="1271" width="15" bestFit="1" customWidth="1"/>
    <col min="1272" max="1272" width="68.28515625" bestFit="1" customWidth="1"/>
    <col min="1273" max="1273" width="9.140625" bestFit="1" customWidth="1"/>
    <col min="1274" max="1274" width="21.42578125" bestFit="1" customWidth="1"/>
    <col min="1275" max="1277" width="15.42578125" bestFit="1" customWidth="1"/>
    <col min="1278" max="1278" width="8.85546875" bestFit="1" customWidth="1"/>
    <col min="1279" max="1279" width="10" bestFit="1" customWidth="1"/>
    <col min="1280" max="1280" width="12.7109375" bestFit="1" customWidth="1"/>
    <col min="1281" max="1281" width="8.85546875" bestFit="1" customWidth="1"/>
    <col min="1282" max="1282" width="17.7109375" bestFit="1" customWidth="1"/>
    <col min="1283" max="1283" width="13" bestFit="1" customWidth="1"/>
    <col min="1284" max="1284" width="13.42578125" bestFit="1" customWidth="1"/>
    <col min="1285" max="1285" width="10.85546875" bestFit="1" customWidth="1"/>
    <col min="1286" max="1286" width="26.85546875" bestFit="1" customWidth="1"/>
    <col min="1287" max="1287" width="20.85546875" bestFit="1" customWidth="1"/>
    <col min="1288" max="1288" width="30.42578125" bestFit="1" customWidth="1"/>
    <col min="1289" max="1289" width="19.42578125" bestFit="1" customWidth="1"/>
    <col min="1290" max="1290" width="20.28515625" bestFit="1" customWidth="1"/>
    <col min="1291" max="1292" width="12" bestFit="1" customWidth="1"/>
    <col min="1293" max="1294" width="12.5703125" bestFit="1" customWidth="1"/>
    <col min="1295" max="1295" width="11.7109375" bestFit="1" customWidth="1"/>
    <col min="1296" max="1296" width="19" bestFit="1" customWidth="1"/>
    <col min="1297" max="1297" width="12.140625" bestFit="1" customWidth="1"/>
    <col min="1527" max="1527" width="15" bestFit="1" customWidth="1"/>
    <col min="1528" max="1528" width="68.28515625" bestFit="1" customWidth="1"/>
    <col min="1529" max="1529" width="9.140625" bestFit="1" customWidth="1"/>
    <col min="1530" max="1530" width="21.42578125" bestFit="1" customWidth="1"/>
    <col min="1531" max="1533" width="15.42578125" bestFit="1" customWidth="1"/>
    <col min="1534" max="1534" width="8.85546875" bestFit="1" customWidth="1"/>
    <col min="1535" max="1535" width="10" bestFit="1" customWidth="1"/>
    <col min="1536" max="1536" width="12.7109375" bestFit="1" customWidth="1"/>
    <col min="1537" max="1537" width="8.85546875" bestFit="1" customWidth="1"/>
    <col min="1538" max="1538" width="17.7109375" bestFit="1" customWidth="1"/>
    <col min="1539" max="1539" width="13" bestFit="1" customWidth="1"/>
    <col min="1540" max="1540" width="13.42578125" bestFit="1" customWidth="1"/>
    <col min="1541" max="1541" width="10.85546875" bestFit="1" customWidth="1"/>
    <col min="1542" max="1542" width="26.85546875" bestFit="1" customWidth="1"/>
    <col min="1543" max="1543" width="20.85546875" bestFit="1" customWidth="1"/>
    <col min="1544" max="1544" width="30.42578125" bestFit="1" customWidth="1"/>
    <col min="1545" max="1545" width="19.42578125" bestFit="1" customWidth="1"/>
    <col min="1546" max="1546" width="20.28515625" bestFit="1" customWidth="1"/>
    <col min="1547" max="1548" width="12" bestFit="1" customWidth="1"/>
    <col min="1549" max="1550" width="12.5703125" bestFit="1" customWidth="1"/>
    <col min="1551" max="1551" width="11.7109375" bestFit="1" customWidth="1"/>
    <col min="1552" max="1552" width="19" bestFit="1" customWidth="1"/>
    <col min="1553" max="1553" width="12.140625" bestFit="1" customWidth="1"/>
    <col min="1783" max="1783" width="15" bestFit="1" customWidth="1"/>
    <col min="1784" max="1784" width="68.28515625" bestFit="1" customWidth="1"/>
    <col min="1785" max="1785" width="9.140625" bestFit="1" customWidth="1"/>
    <col min="1786" max="1786" width="21.42578125" bestFit="1" customWidth="1"/>
    <col min="1787" max="1789" width="15.42578125" bestFit="1" customWidth="1"/>
    <col min="1790" max="1790" width="8.85546875" bestFit="1" customWidth="1"/>
    <col min="1791" max="1791" width="10" bestFit="1" customWidth="1"/>
    <col min="1792" max="1792" width="12.7109375" bestFit="1" customWidth="1"/>
    <col min="1793" max="1793" width="8.85546875" bestFit="1" customWidth="1"/>
    <col min="1794" max="1794" width="17.7109375" bestFit="1" customWidth="1"/>
    <col min="1795" max="1795" width="13" bestFit="1" customWidth="1"/>
    <col min="1796" max="1796" width="13.42578125" bestFit="1" customWidth="1"/>
    <col min="1797" max="1797" width="10.85546875" bestFit="1" customWidth="1"/>
    <col min="1798" max="1798" width="26.85546875" bestFit="1" customWidth="1"/>
    <col min="1799" max="1799" width="20.85546875" bestFit="1" customWidth="1"/>
    <col min="1800" max="1800" width="30.42578125" bestFit="1" customWidth="1"/>
    <col min="1801" max="1801" width="19.42578125" bestFit="1" customWidth="1"/>
    <col min="1802" max="1802" width="20.28515625" bestFit="1" customWidth="1"/>
    <col min="1803" max="1804" width="12" bestFit="1" customWidth="1"/>
    <col min="1805" max="1806" width="12.5703125" bestFit="1" customWidth="1"/>
    <col min="1807" max="1807" width="11.7109375" bestFit="1" customWidth="1"/>
    <col min="1808" max="1808" width="19" bestFit="1" customWidth="1"/>
    <col min="1809" max="1809" width="12.140625" bestFit="1" customWidth="1"/>
    <col min="2039" max="2039" width="15" bestFit="1" customWidth="1"/>
    <col min="2040" max="2040" width="68.28515625" bestFit="1" customWidth="1"/>
    <col min="2041" max="2041" width="9.140625" bestFit="1" customWidth="1"/>
    <col min="2042" max="2042" width="21.42578125" bestFit="1" customWidth="1"/>
    <col min="2043" max="2045" width="15.42578125" bestFit="1" customWidth="1"/>
    <col min="2046" max="2046" width="8.85546875" bestFit="1" customWidth="1"/>
    <col min="2047" max="2047" width="10" bestFit="1" customWidth="1"/>
    <col min="2048" max="2048" width="12.7109375" bestFit="1" customWidth="1"/>
    <col min="2049" max="2049" width="8.85546875" bestFit="1" customWidth="1"/>
    <col min="2050" max="2050" width="17.7109375" bestFit="1" customWidth="1"/>
    <col min="2051" max="2051" width="13" bestFit="1" customWidth="1"/>
    <col min="2052" max="2052" width="13.42578125" bestFit="1" customWidth="1"/>
    <col min="2053" max="2053" width="10.85546875" bestFit="1" customWidth="1"/>
    <col min="2054" max="2054" width="26.85546875" bestFit="1" customWidth="1"/>
    <col min="2055" max="2055" width="20.85546875" bestFit="1" customWidth="1"/>
    <col min="2056" max="2056" width="30.42578125" bestFit="1" customWidth="1"/>
    <col min="2057" max="2057" width="19.42578125" bestFit="1" customWidth="1"/>
    <col min="2058" max="2058" width="20.28515625" bestFit="1" customWidth="1"/>
    <col min="2059" max="2060" width="12" bestFit="1" customWidth="1"/>
    <col min="2061" max="2062" width="12.5703125" bestFit="1" customWidth="1"/>
    <col min="2063" max="2063" width="11.7109375" bestFit="1" customWidth="1"/>
    <col min="2064" max="2064" width="19" bestFit="1" customWidth="1"/>
    <col min="2065" max="2065" width="12.140625" bestFit="1" customWidth="1"/>
    <col min="2295" max="2295" width="15" bestFit="1" customWidth="1"/>
    <col min="2296" max="2296" width="68.28515625" bestFit="1" customWidth="1"/>
    <col min="2297" max="2297" width="9.140625" bestFit="1" customWidth="1"/>
    <col min="2298" max="2298" width="21.42578125" bestFit="1" customWidth="1"/>
    <col min="2299" max="2301" width="15.42578125" bestFit="1" customWidth="1"/>
    <col min="2302" max="2302" width="8.85546875" bestFit="1" customWidth="1"/>
    <col min="2303" max="2303" width="10" bestFit="1" customWidth="1"/>
    <col min="2304" max="2304" width="12.7109375" bestFit="1" customWidth="1"/>
    <col min="2305" max="2305" width="8.85546875" bestFit="1" customWidth="1"/>
    <col min="2306" max="2306" width="17.7109375" bestFit="1" customWidth="1"/>
    <col min="2307" max="2307" width="13" bestFit="1" customWidth="1"/>
    <col min="2308" max="2308" width="13.42578125" bestFit="1" customWidth="1"/>
    <col min="2309" max="2309" width="10.85546875" bestFit="1" customWidth="1"/>
    <col min="2310" max="2310" width="26.85546875" bestFit="1" customWidth="1"/>
    <col min="2311" max="2311" width="20.85546875" bestFit="1" customWidth="1"/>
    <col min="2312" max="2312" width="30.42578125" bestFit="1" customWidth="1"/>
    <col min="2313" max="2313" width="19.42578125" bestFit="1" customWidth="1"/>
    <col min="2314" max="2314" width="20.28515625" bestFit="1" customWidth="1"/>
    <col min="2315" max="2316" width="12" bestFit="1" customWidth="1"/>
    <col min="2317" max="2318" width="12.5703125" bestFit="1" customWidth="1"/>
    <col min="2319" max="2319" width="11.7109375" bestFit="1" customWidth="1"/>
    <col min="2320" max="2320" width="19" bestFit="1" customWidth="1"/>
    <col min="2321" max="2321" width="12.140625" bestFit="1" customWidth="1"/>
    <col min="2551" max="2551" width="15" bestFit="1" customWidth="1"/>
    <col min="2552" max="2552" width="68.28515625" bestFit="1" customWidth="1"/>
    <col min="2553" max="2553" width="9.140625" bestFit="1" customWidth="1"/>
    <col min="2554" max="2554" width="21.42578125" bestFit="1" customWidth="1"/>
    <col min="2555" max="2557" width="15.42578125" bestFit="1" customWidth="1"/>
    <col min="2558" max="2558" width="8.85546875" bestFit="1" customWidth="1"/>
    <col min="2559" max="2559" width="10" bestFit="1" customWidth="1"/>
    <col min="2560" max="2560" width="12.7109375" bestFit="1" customWidth="1"/>
    <col min="2561" max="2561" width="8.85546875" bestFit="1" customWidth="1"/>
    <col min="2562" max="2562" width="17.7109375" bestFit="1" customWidth="1"/>
    <col min="2563" max="2563" width="13" bestFit="1" customWidth="1"/>
    <col min="2564" max="2564" width="13.42578125" bestFit="1" customWidth="1"/>
    <col min="2565" max="2565" width="10.85546875" bestFit="1" customWidth="1"/>
    <col min="2566" max="2566" width="26.85546875" bestFit="1" customWidth="1"/>
    <col min="2567" max="2567" width="20.85546875" bestFit="1" customWidth="1"/>
    <col min="2568" max="2568" width="30.42578125" bestFit="1" customWidth="1"/>
    <col min="2569" max="2569" width="19.42578125" bestFit="1" customWidth="1"/>
    <col min="2570" max="2570" width="20.28515625" bestFit="1" customWidth="1"/>
    <col min="2571" max="2572" width="12" bestFit="1" customWidth="1"/>
    <col min="2573" max="2574" width="12.5703125" bestFit="1" customWidth="1"/>
    <col min="2575" max="2575" width="11.7109375" bestFit="1" customWidth="1"/>
    <col min="2576" max="2576" width="19" bestFit="1" customWidth="1"/>
    <col min="2577" max="2577" width="12.140625" bestFit="1" customWidth="1"/>
    <col min="2807" max="2807" width="15" bestFit="1" customWidth="1"/>
    <col min="2808" max="2808" width="68.28515625" bestFit="1" customWidth="1"/>
    <col min="2809" max="2809" width="9.140625" bestFit="1" customWidth="1"/>
    <col min="2810" max="2810" width="21.42578125" bestFit="1" customWidth="1"/>
    <col min="2811" max="2813" width="15.42578125" bestFit="1" customWidth="1"/>
    <col min="2814" max="2814" width="8.85546875" bestFit="1" customWidth="1"/>
    <col min="2815" max="2815" width="10" bestFit="1" customWidth="1"/>
    <col min="2816" max="2816" width="12.7109375" bestFit="1" customWidth="1"/>
    <col min="2817" max="2817" width="8.85546875" bestFit="1" customWidth="1"/>
    <col min="2818" max="2818" width="17.7109375" bestFit="1" customWidth="1"/>
    <col min="2819" max="2819" width="13" bestFit="1" customWidth="1"/>
    <col min="2820" max="2820" width="13.42578125" bestFit="1" customWidth="1"/>
    <col min="2821" max="2821" width="10.85546875" bestFit="1" customWidth="1"/>
    <col min="2822" max="2822" width="26.85546875" bestFit="1" customWidth="1"/>
    <col min="2823" max="2823" width="20.85546875" bestFit="1" customWidth="1"/>
    <col min="2824" max="2824" width="30.42578125" bestFit="1" customWidth="1"/>
    <col min="2825" max="2825" width="19.42578125" bestFit="1" customWidth="1"/>
    <col min="2826" max="2826" width="20.28515625" bestFit="1" customWidth="1"/>
    <col min="2827" max="2828" width="12" bestFit="1" customWidth="1"/>
    <col min="2829" max="2830" width="12.5703125" bestFit="1" customWidth="1"/>
    <col min="2831" max="2831" width="11.7109375" bestFit="1" customWidth="1"/>
    <col min="2832" max="2832" width="19" bestFit="1" customWidth="1"/>
    <col min="2833" max="2833" width="12.140625" bestFit="1" customWidth="1"/>
    <col min="3063" max="3063" width="15" bestFit="1" customWidth="1"/>
    <col min="3064" max="3064" width="68.28515625" bestFit="1" customWidth="1"/>
    <col min="3065" max="3065" width="9.140625" bestFit="1" customWidth="1"/>
    <col min="3066" max="3066" width="21.42578125" bestFit="1" customWidth="1"/>
    <col min="3067" max="3069" width="15.42578125" bestFit="1" customWidth="1"/>
    <col min="3070" max="3070" width="8.85546875" bestFit="1" customWidth="1"/>
    <col min="3071" max="3071" width="10" bestFit="1" customWidth="1"/>
    <col min="3072" max="3072" width="12.7109375" bestFit="1" customWidth="1"/>
    <col min="3073" max="3073" width="8.85546875" bestFit="1" customWidth="1"/>
    <col min="3074" max="3074" width="17.7109375" bestFit="1" customWidth="1"/>
    <col min="3075" max="3075" width="13" bestFit="1" customWidth="1"/>
    <col min="3076" max="3076" width="13.42578125" bestFit="1" customWidth="1"/>
    <col min="3077" max="3077" width="10.85546875" bestFit="1" customWidth="1"/>
    <col min="3078" max="3078" width="26.85546875" bestFit="1" customWidth="1"/>
    <col min="3079" max="3079" width="20.85546875" bestFit="1" customWidth="1"/>
    <col min="3080" max="3080" width="30.42578125" bestFit="1" customWidth="1"/>
    <col min="3081" max="3081" width="19.42578125" bestFit="1" customWidth="1"/>
    <col min="3082" max="3082" width="20.28515625" bestFit="1" customWidth="1"/>
    <col min="3083" max="3084" width="12" bestFit="1" customWidth="1"/>
    <col min="3085" max="3086" width="12.5703125" bestFit="1" customWidth="1"/>
    <col min="3087" max="3087" width="11.7109375" bestFit="1" customWidth="1"/>
    <col min="3088" max="3088" width="19" bestFit="1" customWidth="1"/>
    <col min="3089" max="3089" width="12.140625" bestFit="1" customWidth="1"/>
    <col min="3319" max="3319" width="15" bestFit="1" customWidth="1"/>
    <col min="3320" max="3320" width="68.28515625" bestFit="1" customWidth="1"/>
    <col min="3321" max="3321" width="9.140625" bestFit="1" customWidth="1"/>
    <col min="3322" max="3322" width="21.42578125" bestFit="1" customWidth="1"/>
    <col min="3323" max="3325" width="15.42578125" bestFit="1" customWidth="1"/>
    <col min="3326" max="3326" width="8.85546875" bestFit="1" customWidth="1"/>
    <col min="3327" max="3327" width="10" bestFit="1" customWidth="1"/>
    <col min="3328" max="3328" width="12.7109375" bestFit="1" customWidth="1"/>
    <col min="3329" max="3329" width="8.85546875" bestFit="1" customWidth="1"/>
    <col min="3330" max="3330" width="17.7109375" bestFit="1" customWidth="1"/>
    <col min="3331" max="3331" width="13" bestFit="1" customWidth="1"/>
    <col min="3332" max="3332" width="13.42578125" bestFit="1" customWidth="1"/>
    <col min="3333" max="3333" width="10.85546875" bestFit="1" customWidth="1"/>
    <col min="3334" max="3334" width="26.85546875" bestFit="1" customWidth="1"/>
    <col min="3335" max="3335" width="20.85546875" bestFit="1" customWidth="1"/>
    <col min="3336" max="3336" width="30.42578125" bestFit="1" customWidth="1"/>
    <col min="3337" max="3337" width="19.42578125" bestFit="1" customWidth="1"/>
    <col min="3338" max="3338" width="20.28515625" bestFit="1" customWidth="1"/>
    <col min="3339" max="3340" width="12" bestFit="1" customWidth="1"/>
    <col min="3341" max="3342" width="12.5703125" bestFit="1" customWidth="1"/>
    <col min="3343" max="3343" width="11.7109375" bestFit="1" customWidth="1"/>
    <col min="3344" max="3344" width="19" bestFit="1" customWidth="1"/>
    <col min="3345" max="3345" width="12.140625" bestFit="1" customWidth="1"/>
    <col min="3575" max="3575" width="15" bestFit="1" customWidth="1"/>
    <col min="3576" max="3576" width="68.28515625" bestFit="1" customWidth="1"/>
    <col min="3577" max="3577" width="9.140625" bestFit="1" customWidth="1"/>
    <col min="3578" max="3578" width="21.42578125" bestFit="1" customWidth="1"/>
    <col min="3579" max="3581" width="15.42578125" bestFit="1" customWidth="1"/>
    <col min="3582" max="3582" width="8.85546875" bestFit="1" customWidth="1"/>
    <col min="3583" max="3583" width="10" bestFit="1" customWidth="1"/>
    <col min="3584" max="3584" width="12.7109375" bestFit="1" customWidth="1"/>
    <col min="3585" max="3585" width="8.85546875" bestFit="1" customWidth="1"/>
    <col min="3586" max="3586" width="17.7109375" bestFit="1" customWidth="1"/>
    <col min="3587" max="3587" width="13" bestFit="1" customWidth="1"/>
    <col min="3588" max="3588" width="13.42578125" bestFit="1" customWidth="1"/>
    <col min="3589" max="3589" width="10.85546875" bestFit="1" customWidth="1"/>
    <col min="3590" max="3590" width="26.85546875" bestFit="1" customWidth="1"/>
    <col min="3591" max="3591" width="20.85546875" bestFit="1" customWidth="1"/>
    <col min="3592" max="3592" width="30.42578125" bestFit="1" customWidth="1"/>
    <col min="3593" max="3593" width="19.42578125" bestFit="1" customWidth="1"/>
    <col min="3594" max="3594" width="20.28515625" bestFit="1" customWidth="1"/>
    <col min="3595" max="3596" width="12" bestFit="1" customWidth="1"/>
    <col min="3597" max="3598" width="12.5703125" bestFit="1" customWidth="1"/>
    <col min="3599" max="3599" width="11.7109375" bestFit="1" customWidth="1"/>
    <col min="3600" max="3600" width="19" bestFit="1" customWidth="1"/>
    <col min="3601" max="3601" width="12.140625" bestFit="1" customWidth="1"/>
    <col min="3831" max="3831" width="15" bestFit="1" customWidth="1"/>
    <col min="3832" max="3832" width="68.28515625" bestFit="1" customWidth="1"/>
    <col min="3833" max="3833" width="9.140625" bestFit="1" customWidth="1"/>
    <col min="3834" max="3834" width="21.42578125" bestFit="1" customWidth="1"/>
    <col min="3835" max="3837" width="15.42578125" bestFit="1" customWidth="1"/>
    <col min="3838" max="3838" width="8.85546875" bestFit="1" customWidth="1"/>
    <col min="3839" max="3839" width="10" bestFit="1" customWidth="1"/>
    <col min="3840" max="3840" width="12.7109375" bestFit="1" customWidth="1"/>
    <col min="3841" max="3841" width="8.85546875" bestFit="1" customWidth="1"/>
    <col min="3842" max="3842" width="17.7109375" bestFit="1" customWidth="1"/>
    <col min="3843" max="3843" width="13" bestFit="1" customWidth="1"/>
    <col min="3844" max="3844" width="13.42578125" bestFit="1" customWidth="1"/>
    <col min="3845" max="3845" width="10.85546875" bestFit="1" customWidth="1"/>
    <col min="3846" max="3846" width="26.85546875" bestFit="1" customWidth="1"/>
    <col min="3847" max="3847" width="20.85546875" bestFit="1" customWidth="1"/>
    <col min="3848" max="3848" width="30.42578125" bestFit="1" customWidth="1"/>
    <col min="3849" max="3849" width="19.42578125" bestFit="1" customWidth="1"/>
    <col min="3850" max="3850" width="20.28515625" bestFit="1" customWidth="1"/>
    <col min="3851" max="3852" width="12" bestFit="1" customWidth="1"/>
    <col min="3853" max="3854" width="12.5703125" bestFit="1" customWidth="1"/>
    <col min="3855" max="3855" width="11.7109375" bestFit="1" customWidth="1"/>
    <col min="3856" max="3856" width="19" bestFit="1" customWidth="1"/>
    <col min="3857" max="3857" width="12.140625" bestFit="1" customWidth="1"/>
    <col min="4087" max="4087" width="15" bestFit="1" customWidth="1"/>
    <col min="4088" max="4088" width="68.28515625" bestFit="1" customWidth="1"/>
    <col min="4089" max="4089" width="9.140625" bestFit="1" customWidth="1"/>
    <col min="4090" max="4090" width="21.42578125" bestFit="1" customWidth="1"/>
    <col min="4091" max="4093" width="15.42578125" bestFit="1" customWidth="1"/>
    <col min="4094" max="4094" width="8.85546875" bestFit="1" customWidth="1"/>
    <col min="4095" max="4095" width="10" bestFit="1" customWidth="1"/>
    <col min="4096" max="4096" width="12.7109375" bestFit="1" customWidth="1"/>
    <col min="4097" max="4097" width="8.85546875" bestFit="1" customWidth="1"/>
    <col min="4098" max="4098" width="17.7109375" bestFit="1" customWidth="1"/>
    <col min="4099" max="4099" width="13" bestFit="1" customWidth="1"/>
    <col min="4100" max="4100" width="13.42578125" bestFit="1" customWidth="1"/>
    <col min="4101" max="4101" width="10.85546875" bestFit="1" customWidth="1"/>
    <col min="4102" max="4102" width="26.85546875" bestFit="1" customWidth="1"/>
    <col min="4103" max="4103" width="20.85546875" bestFit="1" customWidth="1"/>
    <col min="4104" max="4104" width="30.42578125" bestFit="1" customWidth="1"/>
    <col min="4105" max="4105" width="19.42578125" bestFit="1" customWidth="1"/>
    <col min="4106" max="4106" width="20.28515625" bestFit="1" customWidth="1"/>
    <col min="4107" max="4108" width="12" bestFit="1" customWidth="1"/>
    <col min="4109" max="4110" width="12.5703125" bestFit="1" customWidth="1"/>
    <col min="4111" max="4111" width="11.7109375" bestFit="1" customWidth="1"/>
    <col min="4112" max="4112" width="19" bestFit="1" customWidth="1"/>
    <col min="4113" max="4113" width="12.140625" bestFit="1" customWidth="1"/>
    <col min="4343" max="4343" width="15" bestFit="1" customWidth="1"/>
    <col min="4344" max="4344" width="68.28515625" bestFit="1" customWidth="1"/>
    <col min="4345" max="4345" width="9.140625" bestFit="1" customWidth="1"/>
    <col min="4346" max="4346" width="21.42578125" bestFit="1" customWidth="1"/>
    <col min="4347" max="4349" width="15.42578125" bestFit="1" customWidth="1"/>
    <col min="4350" max="4350" width="8.85546875" bestFit="1" customWidth="1"/>
    <col min="4351" max="4351" width="10" bestFit="1" customWidth="1"/>
    <col min="4352" max="4352" width="12.7109375" bestFit="1" customWidth="1"/>
    <col min="4353" max="4353" width="8.85546875" bestFit="1" customWidth="1"/>
    <col min="4354" max="4354" width="17.7109375" bestFit="1" customWidth="1"/>
    <col min="4355" max="4355" width="13" bestFit="1" customWidth="1"/>
    <col min="4356" max="4356" width="13.42578125" bestFit="1" customWidth="1"/>
    <col min="4357" max="4357" width="10.85546875" bestFit="1" customWidth="1"/>
    <col min="4358" max="4358" width="26.85546875" bestFit="1" customWidth="1"/>
    <col min="4359" max="4359" width="20.85546875" bestFit="1" customWidth="1"/>
    <col min="4360" max="4360" width="30.42578125" bestFit="1" customWidth="1"/>
    <col min="4361" max="4361" width="19.42578125" bestFit="1" customWidth="1"/>
    <col min="4362" max="4362" width="20.28515625" bestFit="1" customWidth="1"/>
    <col min="4363" max="4364" width="12" bestFit="1" customWidth="1"/>
    <col min="4365" max="4366" width="12.5703125" bestFit="1" customWidth="1"/>
    <col min="4367" max="4367" width="11.7109375" bestFit="1" customWidth="1"/>
    <col min="4368" max="4368" width="19" bestFit="1" customWidth="1"/>
    <col min="4369" max="4369" width="12.140625" bestFit="1" customWidth="1"/>
    <col min="4599" max="4599" width="15" bestFit="1" customWidth="1"/>
    <col min="4600" max="4600" width="68.28515625" bestFit="1" customWidth="1"/>
    <col min="4601" max="4601" width="9.140625" bestFit="1" customWidth="1"/>
    <col min="4602" max="4602" width="21.42578125" bestFit="1" customWidth="1"/>
    <col min="4603" max="4605" width="15.42578125" bestFit="1" customWidth="1"/>
    <col min="4606" max="4606" width="8.85546875" bestFit="1" customWidth="1"/>
    <col min="4607" max="4607" width="10" bestFit="1" customWidth="1"/>
    <col min="4608" max="4608" width="12.7109375" bestFit="1" customWidth="1"/>
    <col min="4609" max="4609" width="8.85546875" bestFit="1" customWidth="1"/>
    <col min="4610" max="4610" width="17.7109375" bestFit="1" customWidth="1"/>
    <col min="4611" max="4611" width="13" bestFit="1" customWidth="1"/>
    <col min="4612" max="4612" width="13.42578125" bestFit="1" customWidth="1"/>
    <col min="4613" max="4613" width="10.85546875" bestFit="1" customWidth="1"/>
    <col min="4614" max="4614" width="26.85546875" bestFit="1" customWidth="1"/>
    <col min="4615" max="4615" width="20.85546875" bestFit="1" customWidth="1"/>
    <col min="4616" max="4616" width="30.42578125" bestFit="1" customWidth="1"/>
    <col min="4617" max="4617" width="19.42578125" bestFit="1" customWidth="1"/>
    <col min="4618" max="4618" width="20.28515625" bestFit="1" customWidth="1"/>
    <col min="4619" max="4620" width="12" bestFit="1" customWidth="1"/>
    <col min="4621" max="4622" width="12.5703125" bestFit="1" customWidth="1"/>
    <col min="4623" max="4623" width="11.7109375" bestFit="1" customWidth="1"/>
    <col min="4624" max="4624" width="19" bestFit="1" customWidth="1"/>
    <col min="4625" max="4625" width="12.140625" bestFit="1" customWidth="1"/>
    <col min="4855" max="4855" width="15" bestFit="1" customWidth="1"/>
    <col min="4856" max="4856" width="68.28515625" bestFit="1" customWidth="1"/>
    <col min="4857" max="4857" width="9.140625" bestFit="1" customWidth="1"/>
    <col min="4858" max="4858" width="21.42578125" bestFit="1" customWidth="1"/>
    <col min="4859" max="4861" width="15.42578125" bestFit="1" customWidth="1"/>
    <col min="4862" max="4862" width="8.85546875" bestFit="1" customWidth="1"/>
    <col min="4863" max="4863" width="10" bestFit="1" customWidth="1"/>
    <col min="4864" max="4864" width="12.7109375" bestFit="1" customWidth="1"/>
    <col min="4865" max="4865" width="8.85546875" bestFit="1" customWidth="1"/>
    <col min="4866" max="4866" width="17.7109375" bestFit="1" customWidth="1"/>
    <col min="4867" max="4867" width="13" bestFit="1" customWidth="1"/>
    <col min="4868" max="4868" width="13.42578125" bestFit="1" customWidth="1"/>
    <col min="4869" max="4869" width="10.85546875" bestFit="1" customWidth="1"/>
    <col min="4870" max="4870" width="26.85546875" bestFit="1" customWidth="1"/>
    <col min="4871" max="4871" width="20.85546875" bestFit="1" customWidth="1"/>
    <col min="4872" max="4872" width="30.42578125" bestFit="1" customWidth="1"/>
    <col min="4873" max="4873" width="19.42578125" bestFit="1" customWidth="1"/>
    <col min="4874" max="4874" width="20.28515625" bestFit="1" customWidth="1"/>
    <col min="4875" max="4876" width="12" bestFit="1" customWidth="1"/>
    <col min="4877" max="4878" width="12.5703125" bestFit="1" customWidth="1"/>
    <col min="4879" max="4879" width="11.7109375" bestFit="1" customWidth="1"/>
    <col min="4880" max="4880" width="19" bestFit="1" customWidth="1"/>
    <col min="4881" max="4881" width="12.140625" bestFit="1" customWidth="1"/>
    <col min="5111" max="5111" width="15" bestFit="1" customWidth="1"/>
    <col min="5112" max="5112" width="68.28515625" bestFit="1" customWidth="1"/>
    <col min="5113" max="5113" width="9.140625" bestFit="1" customWidth="1"/>
    <col min="5114" max="5114" width="21.42578125" bestFit="1" customWidth="1"/>
    <col min="5115" max="5117" width="15.42578125" bestFit="1" customWidth="1"/>
    <col min="5118" max="5118" width="8.85546875" bestFit="1" customWidth="1"/>
    <col min="5119" max="5119" width="10" bestFit="1" customWidth="1"/>
    <col min="5120" max="5120" width="12.7109375" bestFit="1" customWidth="1"/>
    <col min="5121" max="5121" width="8.85546875" bestFit="1" customWidth="1"/>
    <col min="5122" max="5122" width="17.7109375" bestFit="1" customWidth="1"/>
    <col min="5123" max="5123" width="13" bestFit="1" customWidth="1"/>
    <col min="5124" max="5124" width="13.42578125" bestFit="1" customWidth="1"/>
    <col min="5125" max="5125" width="10.85546875" bestFit="1" customWidth="1"/>
    <col min="5126" max="5126" width="26.85546875" bestFit="1" customWidth="1"/>
    <col min="5127" max="5127" width="20.85546875" bestFit="1" customWidth="1"/>
    <col min="5128" max="5128" width="30.42578125" bestFit="1" customWidth="1"/>
    <col min="5129" max="5129" width="19.42578125" bestFit="1" customWidth="1"/>
    <col min="5130" max="5130" width="20.28515625" bestFit="1" customWidth="1"/>
    <col min="5131" max="5132" width="12" bestFit="1" customWidth="1"/>
    <col min="5133" max="5134" width="12.5703125" bestFit="1" customWidth="1"/>
    <col min="5135" max="5135" width="11.7109375" bestFit="1" customWidth="1"/>
    <col min="5136" max="5136" width="19" bestFit="1" customWidth="1"/>
    <col min="5137" max="5137" width="12.140625" bestFit="1" customWidth="1"/>
    <col min="5367" max="5367" width="15" bestFit="1" customWidth="1"/>
    <col min="5368" max="5368" width="68.28515625" bestFit="1" customWidth="1"/>
    <col min="5369" max="5369" width="9.140625" bestFit="1" customWidth="1"/>
    <col min="5370" max="5370" width="21.42578125" bestFit="1" customWidth="1"/>
    <col min="5371" max="5373" width="15.42578125" bestFit="1" customWidth="1"/>
    <col min="5374" max="5374" width="8.85546875" bestFit="1" customWidth="1"/>
    <col min="5375" max="5375" width="10" bestFit="1" customWidth="1"/>
    <col min="5376" max="5376" width="12.7109375" bestFit="1" customWidth="1"/>
    <col min="5377" max="5377" width="8.85546875" bestFit="1" customWidth="1"/>
    <col min="5378" max="5378" width="17.7109375" bestFit="1" customWidth="1"/>
    <col min="5379" max="5379" width="13" bestFit="1" customWidth="1"/>
    <col min="5380" max="5380" width="13.42578125" bestFit="1" customWidth="1"/>
    <col min="5381" max="5381" width="10.85546875" bestFit="1" customWidth="1"/>
    <col min="5382" max="5382" width="26.85546875" bestFit="1" customWidth="1"/>
    <col min="5383" max="5383" width="20.85546875" bestFit="1" customWidth="1"/>
    <col min="5384" max="5384" width="30.42578125" bestFit="1" customWidth="1"/>
    <col min="5385" max="5385" width="19.42578125" bestFit="1" customWidth="1"/>
    <col min="5386" max="5386" width="20.28515625" bestFit="1" customWidth="1"/>
    <col min="5387" max="5388" width="12" bestFit="1" customWidth="1"/>
    <col min="5389" max="5390" width="12.5703125" bestFit="1" customWidth="1"/>
    <col min="5391" max="5391" width="11.7109375" bestFit="1" customWidth="1"/>
    <col min="5392" max="5392" width="19" bestFit="1" customWidth="1"/>
    <col min="5393" max="5393" width="12.140625" bestFit="1" customWidth="1"/>
    <col min="5623" max="5623" width="15" bestFit="1" customWidth="1"/>
    <col min="5624" max="5624" width="68.28515625" bestFit="1" customWidth="1"/>
    <col min="5625" max="5625" width="9.140625" bestFit="1" customWidth="1"/>
    <col min="5626" max="5626" width="21.42578125" bestFit="1" customWidth="1"/>
    <col min="5627" max="5629" width="15.42578125" bestFit="1" customWidth="1"/>
    <col min="5630" max="5630" width="8.85546875" bestFit="1" customWidth="1"/>
    <col min="5631" max="5631" width="10" bestFit="1" customWidth="1"/>
    <col min="5632" max="5632" width="12.7109375" bestFit="1" customWidth="1"/>
    <col min="5633" max="5633" width="8.85546875" bestFit="1" customWidth="1"/>
    <col min="5634" max="5634" width="17.7109375" bestFit="1" customWidth="1"/>
    <col min="5635" max="5635" width="13" bestFit="1" customWidth="1"/>
    <col min="5636" max="5636" width="13.42578125" bestFit="1" customWidth="1"/>
    <col min="5637" max="5637" width="10.85546875" bestFit="1" customWidth="1"/>
    <col min="5638" max="5638" width="26.85546875" bestFit="1" customWidth="1"/>
    <col min="5639" max="5639" width="20.85546875" bestFit="1" customWidth="1"/>
    <col min="5640" max="5640" width="30.42578125" bestFit="1" customWidth="1"/>
    <col min="5641" max="5641" width="19.42578125" bestFit="1" customWidth="1"/>
    <col min="5642" max="5642" width="20.28515625" bestFit="1" customWidth="1"/>
    <col min="5643" max="5644" width="12" bestFit="1" customWidth="1"/>
    <col min="5645" max="5646" width="12.5703125" bestFit="1" customWidth="1"/>
    <col min="5647" max="5647" width="11.7109375" bestFit="1" customWidth="1"/>
    <col min="5648" max="5648" width="19" bestFit="1" customWidth="1"/>
    <col min="5649" max="5649" width="12.140625" bestFit="1" customWidth="1"/>
    <col min="5879" max="5879" width="15" bestFit="1" customWidth="1"/>
    <col min="5880" max="5880" width="68.28515625" bestFit="1" customWidth="1"/>
    <col min="5881" max="5881" width="9.140625" bestFit="1" customWidth="1"/>
    <col min="5882" max="5882" width="21.42578125" bestFit="1" customWidth="1"/>
    <col min="5883" max="5885" width="15.42578125" bestFit="1" customWidth="1"/>
    <col min="5886" max="5886" width="8.85546875" bestFit="1" customWidth="1"/>
    <col min="5887" max="5887" width="10" bestFit="1" customWidth="1"/>
    <col min="5888" max="5888" width="12.7109375" bestFit="1" customWidth="1"/>
    <col min="5889" max="5889" width="8.85546875" bestFit="1" customWidth="1"/>
    <col min="5890" max="5890" width="17.7109375" bestFit="1" customWidth="1"/>
    <col min="5891" max="5891" width="13" bestFit="1" customWidth="1"/>
    <col min="5892" max="5892" width="13.42578125" bestFit="1" customWidth="1"/>
    <col min="5893" max="5893" width="10.85546875" bestFit="1" customWidth="1"/>
    <col min="5894" max="5894" width="26.85546875" bestFit="1" customWidth="1"/>
    <col min="5895" max="5895" width="20.85546875" bestFit="1" customWidth="1"/>
    <col min="5896" max="5896" width="30.42578125" bestFit="1" customWidth="1"/>
    <col min="5897" max="5897" width="19.42578125" bestFit="1" customWidth="1"/>
    <col min="5898" max="5898" width="20.28515625" bestFit="1" customWidth="1"/>
    <col min="5899" max="5900" width="12" bestFit="1" customWidth="1"/>
    <col min="5901" max="5902" width="12.5703125" bestFit="1" customWidth="1"/>
    <col min="5903" max="5903" width="11.7109375" bestFit="1" customWidth="1"/>
    <col min="5904" max="5904" width="19" bestFit="1" customWidth="1"/>
    <col min="5905" max="5905" width="12.140625" bestFit="1" customWidth="1"/>
    <col min="6135" max="6135" width="15" bestFit="1" customWidth="1"/>
    <col min="6136" max="6136" width="68.28515625" bestFit="1" customWidth="1"/>
    <col min="6137" max="6137" width="9.140625" bestFit="1" customWidth="1"/>
    <col min="6138" max="6138" width="21.42578125" bestFit="1" customWidth="1"/>
    <col min="6139" max="6141" width="15.42578125" bestFit="1" customWidth="1"/>
    <col min="6142" max="6142" width="8.85546875" bestFit="1" customWidth="1"/>
    <col min="6143" max="6143" width="10" bestFit="1" customWidth="1"/>
    <col min="6144" max="6144" width="12.7109375" bestFit="1" customWidth="1"/>
    <col min="6145" max="6145" width="8.85546875" bestFit="1" customWidth="1"/>
    <col min="6146" max="6146" width="17.7109375" bestFit="1" customWidth="1"/>
    <col min="6147" max="6147" width="13" bestFit="1" customWidth="1"/>
    <col min="6148" max="6148" width="13.42578125" bestFit="1" customWidth="1"/>
    <col min="6149" max="6149" width="10.85546875" bestFit="1" customWidth="1"/>
    <col min="6150" max="6150" width="26.85546875" bestFit="1" customWidth="1"/>
    <col min="6151" max="6151" width="20.85546875" bestFit="1" customWidth="1"/>
    <col min="6152" max="6152" width="30.42578125" bestFit="1" customWidth="1"/>
    <col min="6153" max="6153" width="19.42578125" bestFit="1" customWidth="1"/>
    <col min="6154" max="6154" width="20.28515625" bestFit="1" customWidth="1"/>
    <col min="6155" max="6156" width="12" bestFit="1" customWidth="1"/>
    <col min="6157" max="6158" width="12.5703125" bestFit="1" customWidth="1"/>
    <col min="6159" max="6159" width="11.7109375" bestFit="1" customWidth="1"/>
    <col min="6160" max="6160" width="19" bestFit="1" customWidth="1"/>
    <col min="6161" max="6161" width="12.140625" bestFit="1" customWidth="1"/>
    <col min="6391" max="6391" width="15" bestFit="1" customWidth="1"/>
    <col min="6392" max="6392" width="68.28515625" bestFit="1" customWidth="1"/>
    <col min="6393" max="6393" width="9.140625" bestFit="1" customWidth="1"/>
    <col min="6394" max="6394" width="21.42578125" bestFit="1" customWidth="1"/>
    <col min="6395" max="6397" width="15.42578125" bestFit="1" customWidth="1"/>
    <col min="6398" max="6398" width="8.85546875" bestFit="1" customWidth="1"/>
    <col min="6399" max="6399" width="10" bestFit="1" customWidth="1"/>
    <col min="6400" max="6400" width="12.7109375" bestFit="1" customWidth="1"/>
    <col min="6401" max="6401" width="8.85546875" bestFit="1" customWidth="1"/>
    <col min="6402" max="6402" width="17.7109375" bestFit="1" customWidth="1"/>
    <col min="6403" max="6403" width="13" bestFit="1" customWidth="1"/>
    <col min="6404" max="6404" width="13.42578125" bestFit="1" customWidth="1"/>
    <col min="6405" max="6405" width="10.85546875" bestFit="1" customWidth="1"/>
    <col min="6406" max="6406" width="26.85546875" bestFit="1" customWidth="1"/>
    <col min="6407" max="6407" width="20.85546875" bestFit="1" customWidth="1"/>
    <col min="6408" max="6408" width="30.42578125" bestFit="1" customWidth="1"/>
    <col min="6409" max="6409" width="19.42578125" bestFit="1" customWidth="1"/>
    <col min="6410" max="6410" width="20.28515625" bestFit="1" customWidth="1"/>
    <col min="6411" max="6412" width="12" bestFit="1" customWidth="1"/>
    <col min="6413" max="6414" width="12.5703125" bestFit="1" customWidth="1"/>
    <col min="6415" max="6415" width="11.7109375" bestFit="1" customWidth="1"/>
    <col min="6416" max="6416" width="19" bestFit="1" customWidth="1"/>
    <col min="6417" max="6417" width="12.140625" bestFit="1" customWidth="1"/>
    <col min="6647" max="6647" width="15" bestFit="1" customWidth="1"/>
    <col min="6648" max="6648" width="68.28515625" bestFit="1" customWidth="1"/>
    <col min="6649" max="6649" width="9.140625" bestFit="1" customWidth="1"/>
    <col min="6650" max="6650" width="21.42578125" bestFit="1" customWidth="1"/>
    <col min="6651" max="6653" width="15.42578125" bestFit="1" customWidth="1"/>
    <col min="6654" max="6654" width="8.85546875" bestFit="1" customWidth="1"/>
    <col min="6655" max="6655" width="10" bestFit="1" customWidth="1"/>
    <col min="6656" max="6656" width="12.7109375" bestFit="1" customWidth="1"/>
    <col min="6657" max="6657" width="8.85546875" bestFit="1" customWidth="1"/>
    <col min="6658" max="6658" width="17.7109375" bestFit="1" customWidth="1"/>
    <col min="6659" max="6659" width="13" bestFit="1" customWidth="1"/>
    <col min="6660" max="6660" width="13.42578125" bestFit="1" customWidth="1"/>
    <col min="6661" max="6661" width="10.85546875" bestFit="1" customWidth="1"/>
    <col min="6662" max="6662" width="26.85546875" bestFit="1" customWidth="1"/>
    <col min="6663" max="6663" width="20.85546875" bestFit="1" customWidth="1"/>
    <col min="6664" max="6664" width="30.42578125" bestFit="1" customWidth="1"/>
    <col min="6665" max="6665" width="19.42578125" bestFit="1" customWidth="1"/>
    <col min="6666" max="6666" width="20.28515625" bestFit="1" customWidth="1"/>
    <col min="6667" max="6668" width="12" bestFit="1" customWidth="1"/>
    <col min="6669" max="6670" width="12.5703125" bestFit="1" customWidth="1"/>
    <col min="6671" max="6671" width="11.7109375" bestFit="1" customWidth="1"/>
    <col min="6672" max="6672" width="19" bestFit="1" customWidth="1"/>
    <col min="6673" max="6673" width="12.140625" bestFit="1" customWidth="1"/>
    <col min="6903" max="6903" width="15" bestFit="1" customWidth="1"/>
    <col min="6904" max="6904" width="68.28515625" bestFit="1" customWidth="1"/>
    <col min="6905" max="6905" width="9.140625" bestFit="1" customWidth="1"/>
    <col min="6906" max="6906" width="21.42578125" bestFit="1" customWidth="1"/>
    <col min="6907" max="6909" width="15.42578125" bestFit="1" customWidth="1"/>
    <col min="6910" max="6910" width="8.85546875" bestFit="1" customWidth="1"/>
    <col min="6911" max="6911" width="10" bestFit="1" customWidth="1"/>
    <col min="6912" max="6912" width="12.7109375" bestFit="1" customWidth="1"/>
    <col min="6913" max="6913" width="8.85546875" bestFit="1" customWidth="1"/>
    <col min="6914" max="6914" width="17.7109375" bestFit="1" customWidth="1"/>
    <col min="6915" max="6915" width="13" bestFit="1" customWidth="1"/>
    <col min="6916" max="6916" width="13.42578125" bestFit="1" customWidth="1"/>
    <col min="6917" max="6917" width="10.85546875" bestFit="1" customWidth="1"/>
    <col min="6918" max="6918" width="26.85546875" bestFit="1" customWidth="1"/>
    <col min="6919" max="6919" width="20.85546875" bestFit="1" customWidth="1"/>
    <col min="6920" max="6920" width="30.42578125" bestFit="1" customWidth="1"/>
    <col min="6921" max="6921" width="19.42578125" bestFit="1" customWidth="1"/>
    <col min="6922" max="6922" width="20.28515625" bestFit="1" customWidth="1"/>
    <col min="6923" max="6924" width="12" bestFit="1" customWidth="1"/>
    <col min="6925" max="6926" width="12.5703125" bestFit="1" customWidth="1"/>
    <col min="6927" max="6927" width="11.7109375" bestFit="1" customWidth="1"/>
    <col min="6928" max="6928" width="19" bestFit="1" customWidth="1"/>
    <col min="6929" max="6929" width="12.140625" bestFit="1" customWidth="1"/>
    <col min="7159" max="7159" width="15" bestFit="1" customWidth="1"/>
    <col min="7160" max="7160" width="68.28515625" bestFit="1" customWidth="1"/>
    <col min="7161" max="7161" width="9.140625" bestFit="1" customWidth="1"/>
    <col min="7162" max="7162" width="21.42578125" bestFit="1" customWidth="1"/>
    <col min="7163" max="7165" width="15.42578125" bestFit="1" customWidth="1"/>
    <col min="7166" max="7166" width="8.85546875" bestFit="1" customWidth="1"/>
    <col min="7167" max="7167" width="10" bestFit="1" customWidth="1"/>
    <col min="7168" max="7168" width="12.7109375" bestFit="1" customWidth="1"/>
    <col min="7169" max="7169" width="8.85546875" bestFit="1" customWidth="1"/>
    <col min="7170" max="7170" width="17.7109375" bestFit="1" customWidth="1"/>
    <col min="7171" max="7171" width="13" bestFit="1" customWidth="1"/>
    <col min="7172" max="7172" width="13.42578125" bestFit="1" customWidth="1"/>
    <col min="7173" max="7173" width="10.85546875" bestFit="1" customWidth="1"/>
    <col min="7174" max="7174" width="26.85546875" bestFit="1" customWidth="1"/>
    <col min="7175" max="7175" width="20.85546875" bestFit="1" customWidth="1"/>
    <col min="7176" max="7176" width="30.42578125" bestFit="1" customWidth="1"/>
    <col min="7177" max="7177" width="19.42578125" bestFit="1" customWidth="1"/>
    <col min="7178" max="7178" width="20.28515625" bestFit="1" customWidth="1"/>
    <col min="7179" max="7180" width="12" bestFit="1" customWidth="1"/>
    <col min="7181" max="7182" width="12.5703125" bestFit="1" customWidth="1"/>
    <col min="7183" max="7183" width="11.7109375" bestFit="1" customWidth="1"/>
    <col min="7184" max="7184" width="19" bestFit="1" customWidth="1"/>
    <col min="7185" max="7185" width="12.140625" bestFit="1" customWidth="1"/>
    <col min="7415" max="7415" width="15" bestFit="1" customWidth="1"/>
    <col min="7416" max="7416" width="68.28515625" bestFit="1" customWidth="1"/>
    <col min="7417" max="7417" width="9.140625" bestFit="1" customWidth="1"/>
    <col min="7418" max="7418" width="21.42578125" bestFit="1" customWidth="1"/>
    <col min="7419" max="7421" width="15.42578125" bestFit="1" customWidth="1"/>
    <col min="7422" max="7422" width="8.85546875" bestFit="1" customWidth="1"/>
    <col min="7423" max="7423" width="10" bestFit="1" customWidth="1"/>
    <col min="7424" max="7424" width="12.7109375" bestFit="1" customWidth="1"/>
    <col min="7425" max="7425" width="8.85546875" bestFit="1" customWidth="1"/>
    <col min="7426" max="7426" width="17.7109375" bestFit="1" customWidth="1"/>
    <col min="7427" max="7427" width="13" bestFit="1" customWidth="1"/>
    <col min="7428" max="7428" width="13.42578125" bestFit="1" customWidth="1"/>
    <col min="7429" max="7429" width="10.85546875" bestFit="1" customWidth="1"/>
    <col min="7430" max="7430" width="26.85546875" bestFit="1" customWidth="1"/>
    <col min="7431" max="7431" width="20.85546875" bestFit="1" customWidth="1"/>
    <col min="7432" max="7432" width="30.42578125" bestFit="1" customWidth="1"/>
    <col min="7433" max="7433" width="19.42578125" bestFit="1" customWidth="1"/>
    <col min="7434" max="7434" width="20.28515625" bestFit="1" customWidth="1"/>
    <col min="7435" max="7436" width="12" bestFit="1" customWidth="1"/>
    <col min="7437" max="7438" width="12.5703125" bestFit="1" customWidth="1"/>
    <col min="7439" max="7439" width="11.7109375" bestFit="1" customWidth="1"/>
    <col min="7440" max="7440" width="19" bestFit="1" customWidth="1"/>
    <col min="7441" max="7441" width="12.140625" bestFit="1" customWidth="1"/>
    <col min="7671" max="7671" width="15" bestFit="1" customWidth="1"/>
    <col min="7672" max="7672" width="68.28515625" bestFit="1" customWidth="1"/>
    <col min="7673" max="7673" width="9.140625" bestFit="1" customWidth="1"/>
    <col min="7674" max="7674" width="21.42578125" bestFit="1" customWidth="1"/>
    <col min="7675" max="7677" width="15.42578125" bestFit="1" customWidth="1"/>
    <col min="7678" max="7678" width="8.85546875" bestFit="1" customWidth="1"/>
    <col min="7679" max="7679" width="10" bestFit="1" customWidth="1"/>
    <col min="7680" max="7680" width="12.7109375" bestFit="1" customWidth="1"/>
    <col min="7681" max="7681" width="8.85546875" bestFit="1" customWidth="1"/>
    <col min="7682" max="7682" width="17.7109375" bestFit="1" customWidth="1"/>
    <col min="7683" max="7683" width="13" bestFit="1" customWidth="1"/>
    <col min="7684" max="7684" width="13.42578125" bestFit="1" customWidth="1"/>
    <col min="7685" max="7685" width="10.85546875" bestFit="1" customWidth="1"/>
    <col min="7686" max="7686" width="26.85546875" bestFit="1" customWidth="1"/>
    <col min="7687" max="7687" width="20.85546875" bestFit="1" customWidth="1"/>
    <col min="7688" max="7688" width="30.42578125" bestFit="1" customWidth="1"/>
    <col min="7689" max="7689" width="19.42578125" bestFit="1" customWidth="1"/>
    <col min="7690" max="7690" width="20.28515625" bestFit="1" customWidth="1"/>
    <col min="7691" max="7692" width="12" bestFit="1" customWidth="1"/>
    <col min="7693" max="7694" width="12.5703125" bestFit="1" customWidth="1"/>
    <col min="7695" max="7695" width="11.7109375" bestFit="1" customWidth="1"/>
    <col min="7696" max="7696" width="19" bestFit="1" customWidth="1"/>
    <col min="7697" max="7697" width="12.140625" bestFit="1" customWidth="1"/>
    <col min="7927" max="7927" width="15" bestFit="1" customWidth="1"/>
    <col min="7928" max="7928" width="68.28515625" bestFit="1" customWidth="1"/>
    <col min="7929" max="7929" width="9.140625" bestFit="1" customWidth="1"/>
    <col min="7930" max="7930" width="21.42578125" bestFit="1" customWidth="1"/>
    <col min="7931" max="7933" width="15.42578125" bestFit="1" customWidth="1"/>
    <col min="7934" max="7934" width="8.85546875" bestFit="1" customWidth="1"/>
    <col min="7935" max="7935" width="10" bestFit="1" customWidth="1"/>
    <col min="7936" max="7936" width="12.7109375" bestFit="1" customWidth="1"/>
    <col min="7937" max="7937" width="8.85546875" bestFit="1" customWidth="1"/>
    <col min="7938" max="7938" width="17.7109375" bestFit="1" customWidth="1"/>
    <col min="7939" max="7939" width="13" bestFit="1" customWidth="1"/>
    <col min="7940" max="7940" width="13.42578125" bestFit="1" customWidth="1"/>
    <col min="7941" max="7941" width="10.85546875" bestFit="1" customWidth="1"/>
    <col min="7942" max="7942" width="26.85546875" bestFit="1" customWidth="1"/>
    <col min="7943" max="7943" width="20.85546875" bestFit="1" customWidth="1"/>
    <col min="7944" max="7944" width="30.42578125" bestFit="1" customWidth="1"/>
    <col min="7945" max="7945" width="19.42578125" bestFit="1" customWidth="1"/>
    <col min="7946" max="7946" width="20.28515625" bestFit="1" customWidth="1"/>
    <col min="7947" max="7948" width="12" bestFit="1" customWidth="1"/>
    <col min="7949" max="7950" width="12.5703125" bestFit="1" customWidth="1"/>
    <col min="7951" max="7951" width="11.7109375" bestFit="1" customWidth="1"/>
    <col min="7952" max="7952" width="19" bestFit="1" customWidth="1"/>
    <col min="7953" max="7953" width="12.140625" bestFit="1" customWidth="1"/>
    <col min="8183" max="8183" width="15" bestFit="1" customWidth="1"/>
    <col min="8184" max="8184" width="68.28515625" bestFit="1" customWidth="1"/>
    <col min="8185" max="8185" width="9.140625" bestFit="1" customWidth="1"/>
    <col min="8186" max="8186" width="21.42578125" bestFit="1" customWidth="1"/>
    <col min="8187" max="8189" width="15.42578125" bestFit="1" customWidth="1"/>
    <col min="8190" max="8190" width="8.85546875" bestFit="1" customWidth="1"/>
    <col min="8191" max="8191" width="10" bestFit="1" customWidth="1"/>
    <col min="8192" max="8192" width="12.7109375" bestFit="1" customWidth="1"/>
    <col min="8193" max="8193" width="8.85546875" bestFit="1" customWidth="1"/>
    <col min="8194" max="8194" width="17.7109375" bestFit="1" customWidth="1"/>
    <col min="8195" max="8195" width="13" bestFit="1" customWidth="1"/>
    <col min="8196" max="8196" width="13.42578125" bestFit="1" customWidth="1"/>
    <col min="8197" max="8197" width="10.85546875" bestFit="1" customWidth="1"/>
    <col min="8198" max="8198" width="26.85546875" bestFit="1" customWidth="1"/>
    <col min="8199" max="8199" width="20.85546875" bestFit="1" customWidth="1"/>
    <col min="8200" max="8200" width="30.42578125" bestFit="1" customWidth="1"/>
    <col min="8201" max="8201" width="19.42578125" bestFit="1" customWidth="1"/>
    <col min="8202" max="8202" width="20.28515625" bestFit="1" customWidth="1"/>
    <col min="8203" max="8204" width="12" bestFit="1" customWidth="1"/>
    <col min="8205" max="8206" width="12.5703125" bestFit="1" customWidth="1"/>
    <col min="8207" max="8207" width="11.7109375" bestFit="1" customWidth="1"/>
    <col min="8208" max="8208" width="19" bestFit="1" customWidth="1"/>
    <col min="8209" max="8209" width="12.140625" bestFit="1" customWidth="1"/>
    <col min="8439" max="8439" width="15" bestFit="1" customWidth="1"/>
    <col min="8440" max="8440" width="68.28515625" bestFit="1" customWidth="1"/>
    <col min="8441" max="8441" width="9.140625" bestFit="1" customWidth="1"/>
    <col min="8442" max="8442" width="21.42578125" bestFit="1" customWidth="1"/>
    <col min="8443" max="8445" width="15.42578125" bestFit="1" customWidth="1"/>
    <col min="8446" max="8446" width="8.85546875" bestFit="1" customWidth="1"/>
    <col min="8447" max="8447" width="10" bestFit="1" customWidth="1"/>
    <col min="8448" max="8448" width="12.7109375" bestFit="1" customWidth="1"/>
    <col min="8449" max="8449" width="8.85546875" bestFit="1" customWidth="1"/>
    <col min="8450" max="8450" width="17.7109375" bestFit="1" customWidth="1"/>
    <col min="8451" max="8451" width="13" bestFit="1" customWidth="1"/>
    <col min="8452" max="8452" width="13.42578125" bestFit="1" customWidth="1"/>
    <col min="8453" max="8453" width="10.85546875" bestFit="1" customWidth="1"/>
    <col min="8454" max="8454" width="26.85546875" bestFit="1" customWidth="1"/>
    <col min="8455" max="8455" width="20.85546875" bestFit="1" customWidth="1"/>
    <col min="8456" max="8456" width="30.42578125" bestFit="1" customWidth="1"/>
    <col min="8457" max="8457" width="19.42578125" bestFit="1" customWidth="1"/>
    <col min="8458" max="8458" width="20.28515625" bestFit="1" customWidth="1"/>
    <col min="8459" max="8460" width="12" bestFit="1" customWidth="1"/>
    <col min="8461" max="8462" width="12.5703125" bestFit="1" customWidth="1"/>
    <col min="8463" max="8463" width="11.7109375" bestFit="1" customWidth="1"/>
    <col min="8464" max="8464" width="19" bestFit="1" customWidth="1"/>
    <col min="8465" max="8465" width="12.140625" bestFit="1" customWidth="1"/>
    <col min="8695" max="8695" width="15" bestFit="1" customWidth="1"/>
    <col min="8696" max="8696" width="68.28515625" bestFit="1" customWidth="1"/>
    <col min="8697" max="8697" width="9.140625" bestFit="1" customWidth="1"/>
    <col min="8698" max="8698" width="21.42578125" bestFit="1" customWidth="1"/>
    <col min="8699" max="8701" width="15.42578125" bestFit="1" customWidth="1"/>
    <col min="8702" max="8702" width="8.85546875" bestFit="1" customWidth="1"/>
    <col min="8703" max="8703" width="10" bestFit="1" customWidth="1"/>
    <col min="8704" max="8704" width="12.7109375" bestFit="1" customWidth="1"/>
    <col min="8705" max="8705" width="8.85546875" bestFit="1" customWidth="1"/>
    <col min="8706" max="8706" width="17.7109375" bestFit="1" customWidth="1"/>
    <col min="8707" max="8707" width="13" bestFit="1" customWidth="1"/>
    <col min="8708" max="8708" width="13.42578125" bestFit="1" customWidth="1"/>
    <col min="8709" max="8709" width="10.85546875" bestFit="1" customWidth="1"/>
    <col min="8710" max="8710" width="26.85546875" bestFit="1" customWidth="1"/>
    <col min="8711" max="8711" width="20.85546875" bestFit="1" customWidth="1"/>
    <col min="8712" max="8712" width="30.42578125" bestFit="1" customWidth="1"/>
    <col min="8713" max="8713" width="19.42578125" bestFit="1" customWidth="1"/>
    <col min="8714" max="8714" width="20.28515625" bestFit="1" customWidth="1"/>
    <col min="8715" max="8716" width="12" bestFit="1" customWidth="1"/>
    <col min="8717" max="8718" width="12.5703125" bestFit="1" customWidth="1"/>
    <col min="8719" max="8719" width="11.7109375" bestFit="1" customWidth="1"/>
    <col min="8720" max="8720" width="19" bestFit="1" customWidth="1"/>
    <col min="8721" max="8721" width="12.140625" bestFit="1" customWidth="1"/>
    <col min="8951" max="8951" width="15" bestFit="1" customWidth="1"/>
    <col min="8952" max="8952" width="68.28515625" bestFit="1" customWidth="1"/>
    <col min="8953" max="8953" width="9.140625" bestFit="1" customWidth="1"/>
    <col min="8954" max="8954" width="21.42578125" bestFit="1" customWidth="1"/>
    <col min="8955" max="8957" width="15.42578125" bestFit="1" customWidth="1"/>
    <col min="8958" max="8958" width="8.85546875" bestFit="1" customWidth="1"/>
    <col min="8959" max="8959" width="10" bestFit="1" customWidth="1"/>
    <col min="8960" max="8960" width="12.7109375" bestFit="1" customWidth="1"/>
    <col min="8961" max="8961" width="8.85546875" bestFit="1" customWidth="1"/>
    <col min="8962" max="8962" width="17.7109375" bestFit="1" customWidth="1"/>
    <col min="8963" max="8963" width="13" bestFit="1" customWidth="1"/>
    <col min="8964" max="8964" width="13.42578125" bestFit="1" customWidth="1"/>
    <col min="8965" max="8965" width="10.85546875" bestFit="1" customWidth="1"/>
    <col min="8966" max="8966" width="26.85546875" bestFit="1" customWidth="1"/>
    <col min="8967" max="8967" width="20.85546875" bestFit="1" customWidth="1"/>
    <col min="8968" max="8968" width="30.42578125" bestFit="1" customWidth="1"/>
    <col min="8969" max="8969" width="19.42578125" bestFit="1" customWidth="1"/>
    <col min="8970" max="8970" width="20.28515625" bestFit="1" customWidth="1"/>
    <col min="8971" max="8972" width="12" bestFit="1" customWidth="1"/>
    <col min="8973" max="8974" width="12.5703125" bestFit="1" customWidth="1"/>
    <col min="8975" max="8975" width="11.7109375" bestFit="1" customWidth="1"/>
    <col min="8976" max="8976" width="19" bestFit="1" customWidth="1"/>
    <col min="8977" max="8977" width="12.140625" bestFit="1" customWidth="1"/>
    <col min="9207" max="9207" width="15" bestFit="1" customWidth="1"/>
    <col min="9208" max="9208" width="68.28515625" bestFit="1" customWidth="1"/>
    <col min="9209" max="9209" width="9.140625" bestFit="1" customWidth="1"/>
    <col min="9210" max="9210" width="21.42578125" bestFit="1" customWidth="1"/>
    <col min="9211" max="9213" width="15.42578125" bestFit="1" customWidth="1"/>
    <col min="9214" max="9214" width="8.85546875" bestFit="1" customWidth="1"/>
    <col min="9215" max="9215" width="10" bestFit="1" customWidth="1"/>
    <col min="9216" max="9216" width="12.7109375" bestFit="1" customWidth="1"/>
    <col min="9217" max="9217" width="8.85546875" bestFit="1" customWidth="1"/>
    <col min="9218" max="9218" width="17.7109375" bestFit="1" customWidth="1"/>
    <col min="9219" max="9219" width="13" bestFit="1" customWidth="1"/>
    <col min="9220" max="9220" width="13.42578125" bestFit="1" customWidth="1"/>
    <col min="9221" max="9221" width="10.85546875" bestFit="1" customWidth="1"/>
    <col min="9222" max="9222" width="26.85546875" bestFit="1" customWidth="1"/>
    <col min="9223" max="9223" width="20.85546875" bestFit="1" customWidth="1"/>
    <col min="9224" max="9224" width="30.42578125" bestFit="1" customWidth="1"/>
    <col min="9225" max="9225" width="19.42578125" bestFit="1" customWidth="1"/>
    <col min="9226" max="9226" width="20.28515625" bestFit="1" customWidth="1"/>
    <col min="9227" max="9228" width="12" bestFit="1" customWidth="1"/>
    <col min="9229" max="9230" width="12.5703125" bestFit="1" customWidth="1"/>
    <col min="9231" max="9231" width="11.7109375" bestFit="1" customWidth="1"/>
    <col min="9232" max="9232" width="19" bestFit="1" customWidth="1"/>
    <col min="9233" max="9233" width="12.140625" bestFit="1" customWidth="1"/>
    <col min="9463" max="9463" width="15" bestFit="1" customWidth="1"/>
    <col min="9464" max="9464" width="68.28515625" bestFit="1" customWidth="1"/>
    <col min="9465" max="9465" width="9.140625" bestFit="1" customWidth="1"/>
    <col min="9466" max="9466" width="21.42578125" bestFit="1" customWidth="1"/>
    <col min="9467" max="9469" width="15.42578125" bestFit="1" customWidth="1"/>
    <col min="9470" max="9470" width="8.85546875" bestFit="1" customWidth="1"/>
    <col min="9471" max="9471" width="10" bestFit="1" customWidth="1"/>
    <col min="9472" max="9472" width="12.7109375" bestFit="1" customWidth="1"/>
    <col min="9473" max="9473" width="8.85546875" bestFit="1" customWidth="1"/>
    <col min="9474" max="9474" width="17.7109375" bestFit="1" customWidth="1"/>
    <col min="9475" max="9475" width="13" bestFit="1" customWidth="1"/>
    <col min="9476" max="9476" width="13.42578125" bestFit="1" customWidth="1"/>
    <col min="9477" max="9477" width="10.85546875" bestFit="1" customWidth="1"/>
    <col min="9478" max="9478" width="26.85546875" bestFit="1" customWidth="1"/>
    <col min="9479" max="9479" width="20.85546875" bestFit="1" customWidth="1"/>
    <col min="9480" max="9480" width="30.42578125" bestFit="1" customWidth="1"/>
    <col min="9481" max="9481" width="19.42578125" bestFit="1" customWidth="1"/>
    <col min="9482" max="9482" width="20.28515625" bestFit="1" customWidth="1"/>
    <col min="9483" max="9484" width="12" bestFit="1" customWidth="1"/>
    <col min="9485" max="9486" width="12.5703125" bestFit="1" customWidth="1"/>
    <col min="9487" max="9487" width="11.7109375" bestFit="1" customWidth="1"/>
    <col min="9488" max="9488" width="19" bestFit="1" customWidth="1"/>
    <col min="9489" max="9489" width="12.140625" bestFit="1" customWidth="1"/>
    <col min="9719" max="9719" width="15" bestFit="1" customWidth="1"/>
    <col min="9720" max="9720" width="68.28515625" bestFit="1" customWidth="1"/>
    <col min="9721" max="9721" width="9.140625" bestFit="1" customWidth="1"/>
    <col min="9722" max="9722" width="21.42578125" bestFit="1" customWidth="1"/>
    <col min="9723" max="9725" width="15.42578125" bestFit="1" customWidth="1"/>
    <col min="9726" max="9726" width="8.85546875" bestFit="1" customWidth="1"/>
    <col min="9727" max="9727" width="10" bestFit="1" customWidth="1"/>
    <col min="9728" max="9728" width="12.7109375" bestFit="1" customWidth="1"/>
    <col min="9729" max="9729" width="8.85546875" bestFit="1" customWidth="1"/>
    <col min="9730" max="9730" width="17.7109375" bestFit="1" customWidth="1"/>
    <col min="9731" max="9731" width="13" bestFit="1" customWidth="1"/>
    <col min="9732" max="9732" width="13.42578125" bestFit="1" customWidth="1"/>
    <col min="9733" max="9733" width="10.85546875" bestFit="1" customWidth="1"/>
    <col min="9734" max="9734" width="26.85546875" bestFit="1" customWidth="1"/>
    <col min="9735" max="9735" width="20.85546875" bestFit="1" customWidth="1"/>
    <col min="9736" max="9736" width="30.42578125" bestFit="1" customWidth="1"/>
    <col min="9737" max="9737" width="19.42578125" bestFit="1" customWidth="1"/>
    <col min="9738" max="9738" width="20.28515625" bestFit="1" customWidth="1"/>
    <col min="9739" max="9740" width="12" bestFit="1" customWidth="1"/>
    <col min="9741" max="9742" width="12.5703125" bestFit="1" customWidth="1"/>
    <col min="9743" max="9743" width="11.7109375" bestFit="1" customWidth="1"/>
    <col min="9744" max="9744" width="19" bestFit="1" customWidth="1"/>
    <col min="9745" max="9745" width="12.140625" bestFit="1" customWidth="1"/>
    <col min="9975" max="9975" width="15" bestFit="1" customWidth="1"/>
    <col min="9976" max="9976" width="68.28515625" bestFit="1" customWidth="1"/>
    <col min="9977" max="9977" width="9.140625" bestFit="1" customWidth="1"/>
    <col min="9978" max="9978" width="21.42578125" bestFit="1" customWidth="1"/>
    <col min="9979" max="9981" width="15.42578125" bestFit="1" customWidth="1"/>
    <col min="9982" max="9982" width="8.85546875" bestFit="1" customWidth="1"/>
    <col min="9983" max="9983" width="10" bestFit="1" customWidth="1"/>
    <col min="9984" max="9984" width="12.7109375" bestFit="1" customWidth="1"/>
    <col min="9985" max="9985" width="8.85546875" bestFit="1" customWidth="1"/>
    <col min="9986" max="9986" width="17.7109375" bestFit="1" customWidth="1"/>
    <col min="9987" max="9987" width="13" bestFit="1" customWidth="1"/>
    <col min="9988" max="9988" width="13.42578125" bestFit="1" customWidth="1"/>
    <col min="9989" max="9989" width="10.85546875" bestFit="1" customWidth="1"/>
    <col min="9990" max="9990" width="26.85546875" bestFit="1" customWidth="1"/>
    <col min="9991" max="9991" width="20.85546875" bestFit="1" customWidth="1"/>
    <col min="9992" max="9992" width="30.42578125" bestFit="1" customWidth="1"/>
    <col min="9993" max="9993" width="19.42578125" bestFit="1" customWidth="1"/>
    <col min="9994" max="9994" width="20.28515625" bestFit="1" customWidth="1"/>
    <col min="9995" max="9996" width="12" bestFit="1" customWidth="1"/>
    <col min="9997" max="9998" width="12.5703125" bestFit="1" customWidth="1"/>
    <col min="9999" max="9999" width="11.7109375" bestFit="1" customWidth="1"/>
    <col min="10000" max="10000" width="19" bestFit="1" customWidth="1"/>
    <col min="10001" max="10001" width="12.140625" bestFit="1" customWidth="1"/>
    <col min="10231" max="10231" width="15" bestFit="1" customWidth="1"/>
    <col min="10232" max="10232" width="68.28515625" bestFit="1" customWidth="1"/>
    <col min="10233" max="10233" width="9.140625" bestFit="1" customWidth="1"/>
    <col min="10234" max="10234" width="21.42578125" bestFit="1" customWidth="1"/>
    <col min="10235" max="10237" width="15.42578125" bestFit="1" customWidth="1"/>
    <col min="10238" max="10238" width="8.85546875" bestFit="1" customWidth="1"/>
    <col min="10239" max="10239" width="10" bestFit="1" customWidth="1"/>
    <col min="10240" max="10240" width="12.7109375" bestFit="1" customWidth="1"/>
    <col min="10241" max="10241" width="8.85546875" bestFit="1" customWidth="1"/>
    <col min="10242" max="10242" width="17.7109375" bestFit="1" customWidth="1"/>
    <col min="10243" max="10243" width="13" bestFit="1" customWidth="1"/>
    <col min="10244" max="10244" width="13.42578125" bestFit="1" customWidth="1"/>
    <col min="10245" max="10245" width="10.85546875" bestFit="1" customWidth="1"/>
    <col min="10246" max="10246" width="26.85546875" bestFit="1" customWidth="1"/>
    <col min="10247" max="10247" width="20.85546875" bestFit="1" customWidth="1"/>
    <col min="10248" max="10248" width="30.42578125" bestFit="1" customWidth="1"/>
    <col min="10249" max="10249" width="19.42578125" bestFit="1" customWidth="1"/>
    <col min="10250" max="10250" width="20.28515625" bestFit="1" customWidth="1"/>
    <col min="10251" max="10252" width="12" bestFit="1" customWidth="1"/>
    <col min="10253" max="10254" width="12.5703125" bestFit="1" customWidth="1"/>
    <col min="10255" max="10255" width="11.7109375" bestFit="1" customWidth="1"/>
    <col min="10256" max="10256" width="19" bestFit="1" customWidth="1"/>
    <col min="10257" max="10257" width="12.140625" bestFit="1" customWidth="1"/>
    <col min="10487" max="10487" width="15" bestFit="1" customWidth="1"/>
    <col min="10488" max="10488" width="68.28515625" bestFit="1" customWidth="1"/>
    <col min="10489" max="10489" width="9.140625" bestFit="1" customWidth="1"/>
    <col min="10490" max="10490" width="21.42578125" bestFit="1" customWidth="1"/>
    <col min="10491" max="10493" width="15.42578125" bestFit="1" customWidth="1"/>
    <col min="10494" max="10494" width="8.85546875" bestFit="1" customWidth="1"/>
    <col min="10495" max="10495" width="10" bestFit="1" customWidth="1"/>
    <col min="10496" max="10496" width="12.7109375" bestFit="1" customWidth="1"/>
    <col min="10497" max="10497" width="8.85546875" bestFit="1" customWidth="1"/>
    <col min="10498" max="10498" width="17.7109375" bestFit="1" customWidth="1"/>
    <col min="10499" max="10499" width="13" bestFit="1" customWidth="1"/>
    <col min="10500" max="10500" width="13.42578125" bestFit="1" customWidth="1"/>
    <col min="10501" max="10501" width="10.85546875" bestFit="1" customWidth="1"/>
    <col min="10502" max="10502" width="26.85546875" bestFit="1" customWidth="1"/>
    <col min="10503" max="10503" width="20.85546875" bestFit="1" customWidth="1"/>
    <col min="10504" max="10504" width="30.42578125" bestFit="1" customWidth="1"/>
    <col min="10505" max="10505" width="19.42578125" bestFit="1" customWidth="1"/>
    <col min="10506" max="10506" width="20.28515625" bestFit="1" customWidth="1"/>
    <col min="10507" max="10508" width="12" bestFit="1" customWidth="1"/>
    <col min="10509" max="10510" width="12.5703125" bestFit="1" customWidth="1"/>
    <col min="10511" max="10511" width="11.7109375" bestFit="1" customWidth="1"/>
    <col min="10512" max="10512" width="19" bestFit="1" customWidth="1"/>
    <col min="10513" max="10513" width="12.140625" bestFit="1" customWidth="1"/>
    <col min="10743" max="10743" width="15" bestFit="1" customWidth="1"/>
    <col min="10744" max="10744" width="68.28515625" bestFit="1" customWidth="1"/>
    <col min="10745" max="10745" width="9.140625" bestFit="1" customWidth="1"/>
    <col min="10746" max="10746" width="21.42578125" bestFit="1" customWidth="1"/>
    <col min="10747" max="10749" width="15.42578125" bestFit="1" customWidth="1"/>
    <col min="10750" max="10750" width="8.85546875" bestFit="1" customWidth="1"/>
    <col min="10751" max="10751" width="10" bestFit="1" customWidth="1"/>
    <col min="10752" max="10752" width="12.7109375" bestFit="1" customWidth="1"/>
    <col min="10753" max="10753" width="8.85546875" bestFit="1" customWidth="1"/>
    <col min="10754" max="10754" width="17.7109375" bestFit="1" customWidth="1"/>
    <col min="10755" max="10755" width="13" bestFit="1" customWidth="1"/>
    <col min="10756" max="10756" width="13.42578125" bestFit="1" customWidth="1"/>
    <col min="10757" max="10757" width="10.85546875" bestFit="1" customWidth="1"/>
    <col min="10758" max="10758" width="26.85546875" bestFit="1" customWidth="1"/>
    <col min="10759" max="10759" width="20.85546875" bestFit="1" customWidth="1"/>
    <col min="10760" max="10760" width="30.42578125" bestFit="1" customWidth="1"/>
    <col min="10761" max="10761" width="19.42578125" bestFit="1" customWidth="1"/>
    <col min="10762" max="10762" width="20.28515625" bestFit="1" customWidth="1"/>
    <col min="10763" max="10764" width="12" bestFit="1" customWidth="1"/>
    <col min="10765" max="10766" width="12.5703125" bestFit="1" customWidth="1"/>
    <col min="10767" max="10767" width="11.7109375" bestFit="1" customWidth="1"/>
    <col min="10768" max="10768" width="19" bestFit="1" customWidth="1"/>
    <col min="10769" max="10769" width="12.140625" bestFit="1" customWidth="1"/>
    <col min="10999" max="10999" width="15" bestFit="1" customWidth="1"/>
    <col min="11000" max="11000" width="68.28515625" bestFit="1" customWidth="1"/>
    <col min="11001" max="11001" width="9.140625" bestFit="1" customWidth="1"/>
    <col min="11002" max="11002" width="21.42578125" bestFit="1" customWidth="1"/>
    <col min="11003" max="11005" width="15.42578125" bestFit="1" customWidth="1"/>
    <col min="11006" max="11006" width="8.85546875" bestFit="1" customWidth="1"/>
    <col min="11007" max="11007" width="10" bestFit="1" customWidth="1"/>
    <col min="11008" max="11008" width="12.7109375" bestFit="1" customWidth="1"/>
    <col min="11009" max="11009" width="8.85546875" bestFit="1" customWidth="1"/>
    <col min="11010" max="11010" width="17.7109375" bestFit="1" customWidth="1"/>
    <col min="11011" max="11011" width="13" bestFit="1" customWidth="1"/>
    <col min="11012" max="11012" width="13.42578125" bestFit="1" customWidth="1"/>
    <col min="11013" max="11013" width="10.85546875" bestFit="1" customWidth="1"/>
    <col min="11014" max="11014" width="26.85546875" bestFit="1" customWidth="1"/>
    <col min="11015" max="11015" width="20.85546875" bestFit="1" customWidth="1"/>
    <col min="11016" max="11016" width="30.42578125" bestFit="1" customWidth="1"/>
    <col min="11017" max="11017" width="19.42578125" bestFit="1" customWidth="1"/>
    <col min="11018" max="11018" width="20.28515625" bestFit="1" customWidth="1"/>
    <col min="11019" max="11020" width="12" bestFit="1" customWidth="1"/>
    <col min="11021" max="11022" width="12.5703125" bestFit="1" customWidth="1"/>
    <col min="11023" max="11023" width="11.7109375" bestFit="1" customWidth="1"/>
    <col min="11024" max="11024" width="19" bestFit="1" customWidth="1"/>
    <col min="11025" max="11025" width="12.140625" bestFit="1" customWidth="1"/>
    <col min="11255" max="11255" width="15" bestFit="1" customWidth="1"/>
    <col min="11256" max="11256" width="68.28515625" bestFit="1" customWidth="1"/>
    <col min="11257" max="11257" width="9.140625" bestFit="1" customWidth="1"/>
    <col min="11258" max="11258" width="21.42578125" bestFit="1" customWidth="1"/>
    <col min="11259" max="11261" width="15.42578125" bestFit="1" customWidth="1"/>
    <col min="11262" max="11262" width="8.85546875" bestFit="1" customWidth="1"/>
    <col min="11263" max="11263" width="10" bestFit="1" customWidth="1"/>
    <col min="11264" max="11264" width="12.7109375" bestFit="1" customWidth="1"/>
    <col min="11265" max="11265" width="8.85546875" bestFit="1" customWidth="1"/>
    <col min="11266" max="11266" width="17.7109375" bestFit="1" customWidth="1"/>
    <col min="11267" max="11267" width="13" bestFit="1" customWidth="1"/>
    <col min="11268" max="11268" width="13.42578125" bestFit="1" customWidth="1"/>
    <col min="11269" max="11269" width="10.85546875" bestFit="1" customWidth="1"/>
    <col min="11270" max="11270" width="26.85546875" bestFit="1" customWidth="1"/>
    <col min="11271" max="11271" width="20.85546875" bestFit="1" customWidth="1"/>
    <col min="11272" max="11272" width="30.42578125" bestFit="1" customWidth="1"/>
    <col min="11273" max="11273" width="19.42578125" bestFit="1" customWidth="1"/>
    <col min="11274" max="11274" width="20.28515625" bestFit="1" customWidth="1"/>
    <col min="11275" max="11276" width="12" bestFit="1" customWidth="1"/>
    <col min="11277" max="11278" width="12.5703125" bestFit="1" customWidth="1"/>
    <col min="11279" max="11279" width="11.7109375" bestFit="1" customWidth="1"/>
    <col min="11280" max="11280" width="19" bestFit="1" customWidth="1"/>
    <col min="11281" max="11281" width="12.140625" bestFit="1" customWidth="1"/>
    <col min="11511" max="11511" width="15" bestFit="1" customWidth="1"/>
    <col min="11512" max="11512" width="68.28515625" bestFit="1" customWidth="1"/>
    <col min="11513" max="11513" width="9.140625" bestFit="1" customWidth="1"/>
    <col min="11514" max="11514" width="21.42578125" bestFit="1" customWidth="1"/>
    <col min="11515" max="11517" width="15.42578125" bestFit="1" customWidth="1"/>
    <col min="11518" max="11518" width="8.85546875" bestFit="1" customWidth="1"/>
    <col min="11519" max="11519" width="10" bestFit="1" customWidth="1"/>
    <col min="11520" max="11520" width="12.7109375" bestFit="1" customWidth="1"/>
    <col min="11521" max="11521" width="8.85546875" bestFit="1" customWidth="1"/>
    <col min="11522" max="11522" width="17.7109375" bestFit="1" customWidth="1"/>
    <col min="11523" max="11523" width="13" bestFit="1" customWidth="1"/>
    <col min="11524" max="11524" width="13.42578125" bestFit="1" customWidth="1"/>
    <col min="11525" max="11525" width="10.85546875" bestFit="1" customWidth="1"/>
    <col min="11526" max="11526" width="26.85546875" bestFit="1" customWidth="1"/>
    <col min="11527" max="11527" width="20.85546875" bestFit="1" customWidth="1"/>
    <col min="11528" max="11528" width="30.42578125" bestFit="1" customWidth="1"/>
    <col min="11529" max="11529" width="19.42578125" bestFit="1" customWidth="1"/>
    <col min="11530" max="11530" width="20.28515625" bestFit="1" customWidth="1"/>
    <col min="11531" max="11532" width="12" bestFit="1" customWidth="1"/>
    <col min="11533" max="11534" width="12.5703125" bestFit="1" customWidth="1"/>
    <col min="11535" max="11535" width="11.7109375" bestFit="1" customWidth="1"/>
    <col min="11536" max="11536" width="19" bestFit="1" customWidth="1"/>
    <col min="11537" max="11537" width="12.140625" bestFit="1" customWidth="1"/>
    <col min="11767" max="11767" width="15" bestFit="1" customWidth="1"/>
    <col min="11768" max="11768" width="68.28515625" bestFit="1" customWidth="1"/>
    <col min="11769" max="11769" width="9.140625" bestFit="1" customWidth="1"/>
    <col min="11770" max="11770" width="21.42578125" bestFit="1" customWidth="1"/>
    <col min="11771" max="11773" width="15.42578125" bestFit="1" customWidth="1"/>
    <col min="11774" max="11774" width="8.85546875" bestFit="1" customWidth="1"/>
    <col min="11775" max="11775" width="10" bestFit="1" customWidth="1"/>
    <col min="11776" max="11776" width="12.7109375" bestFit="1" customWidth="1"/>
    <col min="11777" max="11777" width="8.85546875" bestFit="1" customWidth="1"/>
    <col min="11778" max="11778" width="17.7109375" bestFit="1" customWidth="1"/>
    <col min="11779" max="11779" width="13" bestFit="1" customWidth="1"/>
    <col min="11780" max="11780" width="13.42578125" bestFit="1" customWidth="1"/>
    <col min="11781" max="11781" width="10.85546875" bestFit="1" customWidth="1"/>
    <col min="11782" max="11782" width="26.85546875" bestFit="1" customWidth="1"/>
    <col min="11783" max="11783" width="20.85546875" bestFit="1" customWidth="1"/>
    <col min="11784" max="11784" width="30.42578125" bestFit="1" customWidth="1"/>
    <col min="11785" max="11785" width="19.42578125" bestFit="1" customWidth="1"/>
    <col min="11786" max="11786" width="20.28515625" bestFit="1" customWidth="1"/>
    <col min="11787" max="11788" width="12" bestFit="1" customWidth="1"/>
    <col min="11789" max="11790" width="12.5703125" bestFit="1" customWidth="1"/>
    <col min="11791" max="11791" width="11.7109375" bestFit="1" customWidth="1"/>
    <col min="11792" max="11792" width="19" bestFit="1" customWidth="1"/>
    <col min="11793" max="11793" width="12.140625" bestFit="1" customWidth="1"/>
    <col min="12023" max="12023" width="15" bestFit="1" customWidth="1"/>
    <col min="12024" max="12024" width="68.28515625" bestFit="1" customWidth="1"/>
    <col min="12025" max="12025" width="9.140625" bestFit="1" customWidth="1"/>
    <col min="12026" max="12026" width="21.42578125" bestFit="1" customWidth="1"/>
    <col min="12027" max="12029" width="15.42578125" bestFit="1" customWidth="1"/>
    <col min="12030" max="12030" width="8.85546875" bestFit="1" customWidth="1"/>
    <col min="12031" max="12031" width="10" bestFit="1" customWidth="1"/>
    <col min="12032" max="12032" width="12.7109375" bestFit="1" customWidth="1"/>
    <col min="12033" max="12033" width="8.85546875" bestFit="1" customWidth="1"/>
    <col min="12034" max="12034" width="17.7109375" bestFit="1" customWidth="1"/>
    <col min="12035" max="12035" width="13" bestFit="1" customWidth="1"/>
    <col min="12036" max="12036" width="13.42578125" bestFit="1" customWidth="1"/>
    <col min="12037" max="12037" width="10.85546875" bestFit="1" customWidth="1"/>
    <col min="12038" max="12038" width="26.85546875" bestFit="1" customWidth="1"/>
    <col min="12039" max="12039" width="20.85546875" bestFit="1" customWidth="1"/>
    <col min="12040" max="12040" width="30.42578125" bestFit="1" customWidth="1"/>
    <col min="12041" max="12041" width="19.42578125" bestFit="1" customWidth="1"/>
    <col min="12042" max="12042" width="20.28515625" bestFit="1" customWidth="1"/>
    <col min="12043" max="12044" width="12" bestFit="1" customWidth="1"/>
    <col min="12045" max="12046" width="12.5703125" bestFit="1" customWidth="1"/>
    <col min="12047" max="12047" width="11.7109375" bestFit="1" customWidth="1"/>
    <col min="12048" max="12048" width="19" bestFit="1" customWidth="1"/>
    <col min="12049" max="12049" width="12.140625" bestFit="1" customWidth="1"/>
    <col min="12279" max="12279" width="15" bestFit="1" customWidth="1"/>
    <col min="12280" max="12280" width="68.28515625" bestFit="1" customWidth="1"/>
    <col min="12281" max="12281" width="9.140625" bestFit="1" customWidth="1"/>
    <col min="12282" max="12282" width="21.42578125" bestFit="1" customWidth="1"/>
    <col min="12283" max="12285" width="15.42578125" bestFit="1" customWidth="1"/>
    <col min="12286" max="12286" width="8.85546875" bestFit="1" customWidth="1"/>
    <col min="12287" max="12287" width="10" bestFit="1" customWidth="1"/>
    <col min="12288" max="12288" width="12.7109375" bestFit="1" customWidth="1"/>
    <col min="12289" max="12289" width="8.85546875" bestFit="1" customWidth="1"/>
    <col min="12290" max="12290" width="17.7109375" bestFit="1" customWidth="1"/>
    <col min="12291" max="12291" width="13" bestFit="1" customWidth="1"/>
    <col min="12292" max="12292" width="13.42578125" bestFit="1" customWidth="1"/>
    <col min="12293" max="12293" width="10.85546875" bestFit="1" customWidth="1"/>
    <col min="12294" max="12294" width="26.85546875" bestFit="1" customWidth="1"/>
    <col min="12295" max="12295" width="20.85546875" bestFit="1" customWidth="1"/>
    <col min="12296" max="12296" width="30.42578125" bestFit="1" customWidth="1"/>
    <col min="12297" max="12297" width="19.42578125" bestFit="1" customWidth="1"/>
    <col min="12298" max="12298" width="20.28515625" bestFit="1" customWidth="1"/>
    <col min="12299" max="12300" width="12" bestFit="1" customWidth="1"/>
    <col min="12301" max="12302" width="12.5703125" bestFit="1" customWidth="1"/>
    <col min="12303" max="12303" width="11.7109375" bestFit="1" customWidth="1"/>
    <col min="12304" max="12304" width="19" bestFit="1" customWidth="1"/>
    <col min="12305" max="12305" width="12.140625" bestFit="1" customWidth="1"/>
    <col min="12535" max="12535" width="15" bestFit="1" customWidth="1"/>
    <col min="12536" max="12536" width="68.28515625" bestFit="1" customWidth="1"/>
    <col min="12537" max="12537" width="9.140625" bestFit="1" customWidth="1"/>
    <col min="12538" max="12538" width="21.42578125" bestFit="1" customWidth="1"/>
    <col min="12539" max="12541" width="15.42578125" bestFit="1" customWidth="1"/>
    <col min="12542" max="12542" width="8.85546875" bestFit="1" customWidth="1"/>
    <col min="12543" max="12543" width="10" bestFit="1" customWidth="1"/>
    <col min="12544" max="12544" width="12.7109375" bestFit="1" customWidth="1"/>
    <col min="12545" max="12545" width="8.85546875" bestFit="1" customWidth="1"/>
    <col min="12546" max="12546" width="17.7109375" bestFit="1" customWidth="1"/>
    <col min="12547" max="12547" width="13" bestFit="1" customWidth="1"/>
    <col min="12548" max="12548" width="13.42578125" bestFit="1" customWidth="1"/>
    <col min="12549" max="12549" width="10.85546875" bestFit="1" customWidth="1"/>
    <col min="12550" max="12550" width="26.85546875" bestFit="1" customWidth="1"/>
    <col min="12551" max="12551" width="20.85546875" bestFit="1" customWidth="1"/>
    <col min="12552" max="12552" width="30.42578125" bestFit="1" customWidth="1"/>
    <col min="12553" max="12553" width="19.42578125" bestFit="1" customWidth="1"/>
    <col min="12554" max="12554" width="20.28515625" bestFit="1" customWidth="1"/>
    <col min="12555" max="12556" width="12" bestFit="1" customWidth="1"/>
    <col min="12557" max="12558" width="12.5703125" bestFit="1" customWidth="1"/>
    <col min="12559" max="12559" width="11.7109375" bestFit="1" customWidth="1"/>
    <col min="12560" max="12560" width="19" bestFit="1" customWidth="1"/>
    <col min="12561" max="12561" width="12.140625" bestFit="1" customWidth="1"/>
    <col min="12791" max="12791" width="15" bestFit="1" customWidth="1"/>
    <col min="12792" max="12792" width="68.28515625" bestFit="1" customWidth="1"/>
    <col min="12793" max="12793" width="9.140625" bestFit="1" customWidth="1"/>
    <col min="12794" max="12794" width="21.42578125" bestFit="1" customWidth="1"/>
    <col min="12795" max="12797" width="15.42578125" bestFit="1" customWidth="1"/>
    <col min="12798" max="12798" width="8.85546875" bestFit="1" customWidth="1"/>
    <col min="12799" max="12799" width="10" bestFit="1" customWidth="1"/>
    <col min="12800" max="12800" width="12.7109375" bestFit="1" customWidth="1"/>
    <col min="12801" max="12801" width="8.85546875" bestFit="1" customWidth="1"/>
    <col min="12802" max="12802" width="17.7109375" bestFit="1" customWidth="1"/>
    <col min="12803" max="12803" width="13" bestFit="1" customWidth="1"/>
    <col min="12804" max="12804" width="13.42578125" bestFit="1" customWidth="1"/>
    <col min="12805" max="12805" width="10.85546875" bestFit="1" customWidth="1"/>
    <col min="12806" max="12806" width="26.85546875" bestFit="1" customWidth="1"/>
    <col min="12807" max="12807" width="20.85546875" bestFit="1" customWidth="1"/>
    <col min="12808" max="12808" width="30.42578125" bestFit="1" customWidth="1"/>
    <col min="12809" max="12809" width="19.42578125" bestFit="1" customWidth="1"/>
    <col min="12810" max="12810" width="20.28515625" bestFit="1" customWidth="1"/>
    <col min="12811" max="12812" width="12" bestFit="1" customWidth="1"/>
    <col min="12813" max="12814" width="12.5703125" bestFit="1" customWidth="1"/>
    <col min="12815" max="12815" width="11.7109375" bestFit="1" customWidth="1"/>
    <col min="12816" max="12816" width="19" bestFit="1" customWidth="1"/>
    <col min="12817" max="12817" width="12.140625" bestFit="1" customWidth="1"/>
    <col min="13047" max="13047" width="15" bestFit="1" customWidth="1"/>
    <col min="13048" max="13048" width="68.28515625" bestFit="1" customWidth="1"/>
    <col min="13049" max="13049" width="9.140625" bestFit="1" customWidth="1"/>
    <col min="13050" max="13050" width="21.42578125" bestFit="1" customWidth="1"/>
    <col min="13051" max="13053" width="15.42578125" bestFit="1" customWidth="1"/>
    <col min="13054" max="13054" width="8.85546875" bestFit="1" customWidth="1"/>
    <col min="13055" max="13055" width="10" bestFit="1" customWidth="1"/>
    <col min="13056" max="13056" width="12.7109375" bestFit="1" customWidth="1"/>
    <col min="13057" max="13057" width="8.85546875" bestFit="1" customWidth="1"/>
    <col min="13058" max="13058" width="17.7109375" bestFit="1" customWidth="1"/>
    <col min="13059" max="13059" width="13" bestFit="1" customWidth="1"/>
    <col min="13060" max="13060" width="13.42578125" bestFit="1" customWidth="1"/>
    <col min="13061" max="13061" width="10.85546875" bestFit="1" customWidth="1"/>
    <col min="13062" max="13062" width="26.85546875" bestFit="1" customWidth="1"/>
    <col min="13063" max="13063" width="20.85546875" bestFit="1" customWidth="1"/>
    <col min="13064" max="13064" width="30.42578125" bestFit="1" customWidth="1"/>
    <col min="13065" max="13065" width="19.42578125" bestFit="1" customWidth="1"/>
    <col min="13066" max="13066" width="20.28515625" bestFit="1" customWidth="1"/>
    <col min="13067" max="13068" width="12" bestFit="1" customWidth="1"/>
    <col min="13069" max="13070" width="12.5703125" bestFit="1" customWidth="1"/>
    <col min="13071" max="13071" width="11.7109375" bestFit="1" customWidth="1"/>
    <col min="13072" max="13072" width="19" bestFit="1" customWidth="1"/>
    <col min="13073" max="13073" width="12.140625" bestFit="1" customWidth="1"/>
    <col min="13303" max="13303" width="15" bestFit="1" customWidth="1"/>
    <col min="13304" max="13304" width="68.28515625" bestFit="1" customWidth="1"/>
    <col min="13305" max="13305" width="9.140625" bestFit="1" customWidth="1"/>
    <col min="13306" max="13306" width="21.42578125" bestFit="1" customWidth="1"/>
    <col min="13307" max="13309" width="15.42578125" bestFit="1" customWidth="1"/>
    <col min="13310" max="13310" width="8.85546875" bestFit="1" customWidth="1"/>
    <col min="13311" max="13311" width="10" bestFit="1" customWidth="1"/>
    <col min="13312" max="13312" width="12.7109375" bestFit="1" customWidth="1"/>
    <col min="13313" max="13313" width="8.85546875" bestFit="1" customWidth="1"/>
    <col min="13314" max="13314" width="17.7109375" bestFit="1" customWidth="1"/>
    <col min="13315" max="13315" width="13" bestFit="1" customWidth="1"/>
    <col min="13316" max="13316" width="13.42578125" bestFit="1" customWidth="1"/>
    <col min="13317" max="13317" width="10.85546875" bestFit="1" customWidth="1"/>
    <col min="13318" max="13318" width="26.85546875" bestFit="1" customWidth="1"/>
    <col min="13319" max="13319" width="20.85546875" bestFit="1" customWidth="1"/>
    <col min="13320" max="13320" width="30.42578125" bestFit="1" customWidth="1"/>
    <col min="13321" max="13321" width="19.42578125" bestFit="1" customWidth="1"/>
    <col min="13322" max="13322" width="20.28515625" bestFit="1" customWidth="1"/>
    <col min="13323" max="13324" width="12" bestFit="1" customWidth="1"/>
    <col min="13325" max="13326" width="12.5703125" bestFit="1" customWidth="1"/>
    <col min="13327" max="13327" width="11.7109375" bestFit="1" customWidth="1"/>
    <col min="13328" max="13328" width="19" bestFit="1" customWidth="1"/>
    <col min="13329" max="13329" width="12.140625" bestFit="1" customWidth="1"/>
    <col min="13559" max="13559" width="15" bestFit="1" customWidth="1"/>
    <col min="13560" max="13560" width="68.28515625" bestFit="1" customWidth="1"/>
    <col min="13561" max="13561" width="9.140625" bestFit="1" customWidth="1"/>
    <col min="13562" max="13562" width="21.42578125" bestFit="1" customWidth="1"/>
    <col min="13563" max="13565" width="15.42578125" bestFit="1" customWidth="1"/>
    <col min="13566" max="13566" width="8.85546875" bestFit="1" customWidth="1"/>
    <col min="13567" max="13567" width="10" bestFit="1" customWidth="1"/>
    <col min="13568" max="13568" width="12.7109375" bestFit="1" customWidth="1"/>
    <col min="13569" max="13569" width="8.85546875" bestFit="1" customWidth="1"/>
    <col min="13570" max="13570" width="17.7109375" bestFit="1" customWidth="1"/>
    <col min="13571" max="13571" width="13" bestFit="1" customWidth="1"/>
    <col min="13572" max="13572" width="13.42578125" bestFit="1" customWidth="1"/>
    <col min="13573" max="13573" width="10.85546875" bestFit="1" customWidth="1"/>
    <col min="13574" max="13574" width="26.85546875" bestFit="1" customWidth="1"/>
    <col min="13575" max="13575" width="20.85546875" bestFit="1" customWidth="1"/>
    <col min="13576" max="13576" width="30.42578125" bestFit="1" customWidth="1"/>
    <col min="13577" max="13577" width="19.42578125" bestFit="1" customWidth="1"/>
    <col min="13578" max="13578" width="20.28515625" bestFit="1" customWidth="1"/>
    <col min="13579" max="13580" width="12" bestFit="1" customWidth="1"/>
    <col min="13581" max="13582" width="12.5703125" bestFit="1" customWidth="1"/>
    <col min="13583" max="13583" width="11.7109375" bestFit="1" customWidth="1"/>
    <col min="13584" max="13584" width="19" bestFit="1" customWidth="1"/>
    <col min="13585" max="13585" width="12.140625" bestFit="1" customWidth="1"/>
    <col min="13815" max="13815" width="15" bestFit="1" customWidth="1"/>
    <col min="13816" max="13816" width="68.28515625" bestFit="1" customWidth="1"/>
    <col min="13817" max="13817" width="9.140625" bestFit="1" customWidth="1"/>
    <col min="13818" max="13818" width="21.42578125" bestFit="1" customWidth="1"/>
    <col min="13819" max="13821" width="15.42578125" bestFit="1" customWidth="1"/>
    <col min="13822" max="13822" width="8.85546875" bestFit="1" customWidth="1"/>
    <col min="13823" max="13823" width="10" bestFit="1" customWidth="1"/>
    <col min="13824" max="13824" width="12.7109375" bestFit="1" customWidth="1"/>
    <col min="13825" max="13825" width="8.85546875" bestFit="1" customWidth="1"/>
    <col min="13826" max="13826" width="17.7109375" bestFit="1" customWidth="1"/>
    <col min="13827" max="13827" width="13" bestFit="1" customWidth="1"/>
    <col min="13828" max="13828" width="13.42578125" bestFit="1" customWidth="1"/>
    <col min="13829" max="13829" width="10.85546875" bestFit="1" customWidth="1"/>
    <col min="13830" max="13830" width="26.85546875" bestFit="1" customWidth="1"/>
    <col min="13831" max="13831" width="20.85546875" bestFit="1" customWidth="1"/>
    <col min="13832" max="13832" width="30.42578125" bestFit="1" customWidth="1"/>
    <col min="13833" max="13833" width="19.42578125" bestFit="1" customWidth="1"/>
    <col min="13834" max="13834" width="20.28515625" bestFit="1" customWidth="1"/>
    <col min="13835" max="13836" width="12" bestFit="1" customWidth="1"/>
    <col min="13837" max="13838" width="12.5703125" bestFit="1" customWidth="1"/>
    <col min="13839" max="13839" width="11.7109375" bestFit="1" customWidth="1"/>
    <col min="13840" max="13840" width="19" bestFit="1" customWidth="1"/>
    <col min="13841" max="13841" width="12.140625" bestFit="1" customWidth="1"/>
    <col min="14071" max="14071" width="15" bestFit="1" customWidth="1"/>
    <col min="14072" max="14072" width="68.28515625" bestFit="1" customWidth="1"/>
    <col min="14073" max="14073" width="9.140625" bestFit="1" customWidth="1"/>
    <col min="14074" max="14074" width="21.42578125" bestFit="1" customWidth="1"/>
    <col min="14075" max="14077" width="15.42578125" bestFit="1" customWidth="1"/>
    <col min="14078" max="14078" width="8.85546875" bestFit="1" customWidth="1"/>
    <col min="14079" max="14079" width="10" bestFit="1" customWidth="1"/>
    <col min="14080" max="14080" width="12.7109375" bestFit="1" customWidth="1"/>
    <col min="14081" max="14081" width="8.85546875" bestFit="1" customWidth="1"/>
    <col min="14082" max="14082" width="17.7109375" bestFit="1" customWidth="1"/>
    <col min="14083" max="14083" width="13" bestFit="1" customWidth="1"/>
    <col min="14084" max="14084" width="13.42578125" bestFit="1" customWidth="1"/>
    <col min="14085" max="14085" width="10.85546875" bestFit="1" customWidth="1"/>
    <col min="14086" max="14086" width="26.85546875" bestFit="1" customWidth="1"/>
    <col min="14087" max="14087" width="20.85546875" bestFit="1" customWidth="1"/>
    <col min="14088" max="14088" width="30.42578125" bestFit="1" customWidth="1"/>
    <col min="14089" max="14089" width="19.42578125" bestFit="1" customWidth="1"/>
    <col min="14090" max="14090" width="20.28515625" bestFit="1" customWidth="1"/>
    <col min="14091" max="14092" width="12" bestFit="1" customWidth="1"/>
    <col min="14093" max="14094" width="12.5703125" bestFit="1" customWidth="1"/>
    <col min="14095" max="14095" width="11.7109375" bestFit="1" customWidth="1"/>
    <col min="14096" max="14096" width="19" bestFit="1" customWidth="1"/>
    <col min="14097" max="14097" width="12.140625" bestFit="1" customWidth="1"/>
    <col min="14327" max="14327" width="15" bestFit="1" customWidth="1"/>
    <col min="14328" max="14328" width="68.28515625" bestFit="1" customWidth="1"/>
    <col min="14329" max="14329" width="9.140625" bestFit="1" customWidth="1"/>
    <col min="14330" max="14330" width="21.42578125" bestFit="1" customWidth="1"/>
    <col min="14331" max="14333" width="15.42578125" bestFit="1" customWidth="1"/>
    <col min="14334" max="14334" width="8.85546875" bestFit="1" customWidth="1"/>
    <col min="14335" max="14335" width="10" bestFit="1" customWidth="1"/>
    <col min="14336" max="14336" width="12.7109375" bestFit="1" customWidth="1"/>
    <col min="14337" max="14337" width="8.85546875" bestFit="1" customWidth="1"/>
    <col min="14338" max="14338" width="17.7109375" bestFit="1" customWidth="1"/>
    <col min="14339" max="14339" width="13" bestFit="1" customWidth="1"/>
    <col min="14340" max="14340" width="13.42578125" bestFit="1" customWidth="1"/>
    <col min="14341" max="14341" width="10.85546875" bestFit="1" customWidth="1"/>
    <col min="14342" max="14342" width="26.85546875" bestFit="1" customWidth="1"/>
    <col min="14343" max="14343" width="20.85546875" bestFit="1" customWidth="1"/>
    <col min="14344" max="14344" width="30.42578125" bestFit="1" customWidth="1"/>
    <col min="14345" max="14345" width="19.42578125" bestFit="1" customWidth="1"/>
    <col min="14346" max="14346" width="20.28515625" bestFit="1" customWidth="1"/>
    <col min="14347" max="14348" width="12" bestFit="1" customWidth="1"/>
    <col min="14349" max="14350" width="12.5703125" bestFit="1" customWidth="1"/>
    <col min="14351" max="14351" width="11.7109375" bestFit="1" customWidth="1"/>
    <col min="14352" max="14352" width="19" bestFit="1" customWidth="1"/>
    <col min="14353" max="14353" width="12.140625" bestFit="1" customWidth="1"/>
    <col min="14583" max="14583" width="15" bestFit="1" customWidth="1"/>
    <col min="14584" max="14584" width="68.28515625" bestFit="1" customWidth="1"/>
    <col min="14585" max="14585" width="9.140625" bestFit="1" customWidth="1"/>
    <col min="14586" max="14586" width="21.42578125" bestFit="1" customWidth="1"/>
    <col min="14587" max="14589" width="15.42578125" bestFit="1" customWidth="1"/>
    <col min="14590" max="14590" width="8.85546875" bestFit="1" customWidth="1"/>
    <col min="14591" max="14591" width="10" bestFit="1" customWidth="1"/>
    <col min="14592" max="14592" width="12.7109375" bestFit="1" customWidth="1"/>
    <col min="14593" max="14593" width="8.85546875" bestFit="1" customWidth="1"/>
    <col min="14594" max="14594" width="17.7109375" bestFit="1" customWidth="1"/>
    <col min="14595" max="14595" width="13" bestFit="1" customWidth="1"/>
    <col min="14596" max="14596" width="13.42578125" bestFit="1" customWidth="1"/>
    <col min="14597" max="14597" width="10.85546875" bestFit="1" customWidth="1"/>
    <col min="14598" max="14598" width="26.85546875" bestFit="1" customWidth="1"/>
    <col min="14599" max="14599" width="20.85546875" bestFit="1" customWidth="1"/>
    <col min="14600" max="14600" width="30.42578125" bestFit="1" customWidth="1"/>
    <col min="14601" max="14601" width="19.42578125" bestFit="1" customWidth="1"/>
    <col min="14602" max="14602" width="20.28515625" bestFit="1" customWidth="1"/>
    <col min="14603" max="14604" width="12" bestFit="1" customWidth="1"/>
    <col min="14605" max="14606" width="12.5703125" bestFit="1" customWidth="1"/>
    <col min="14607" max="14607" width="11.7109375" bestFit="1" customWidth="1"/>
    <col min="14608" max="14608" width="19" bestFit="1" customWidth="1"/>
    <col min="14609" max="14609" width="12.140625" bestFit="1" customWidth="1"/>
    <col min="14839" max="14839" width="15" bestFit="1" customWidth="1"/>
    <col min="14840" max="14840" width="68.28515625" bestFit="1" customWidth="1"/>
    <col min="14841" max="14841" width="9.140625" bestFit="1" customWidth="1"/>
    <col min="14842" max="14842" width="21.42578125" bestFit="1" customWidth="1"/>
    <col min="14843" max="14845" width="15.42578125" bestFit="1" customWidth="1"/>
    <col min="14846" max="14846" width="8.85546875" bestFit="1" customWidth="1"/>
    <col min="14847" max="14847" width="10" bestFit="1" customWidth="1"/>
    <col min="14848" max="14848" width="12.7109375" bestFit="1" customWidth="1"/>
    <col min="14849" max="14849" width="8.85546875" bestFit="1" customWidth="1"/>
    <col min="14850" max="14850" width="17.7109375" bestFit="1" customWidth="1"/>
    <col min="14851" max="14851" width="13" bestFit="1" customWidth="1"/>
    <col min="14852" max="14852" width="13.42578125" bestFit="1" customWidth="1"/>
    <col min="14853" max="14853" width="10.85546875" bestFit="1" customWidth="1"/>
    <col min="14854" max="14854" width="26.85546875" bestFit="1" customWidth="1"/>
    <col min="14855" max="14855" width="20.85546875" bestFit="1" customWidth="1"/>
    <col min="14856" max="14856" width="30.42578125" bestFit="1" customWidth="1"/>
    <col min="14857" max="14857" width="19.42578125" bestFit="1" customWidth="1"/>
    <col min="14858" max="14858" width="20.28515625" bestFit="1" customWidth="1"/>
    <col min="14859" max="14860" width="12" bestFit="1" customWidth="1"/>
    <col min="14861" max="14862" width="12.5703125" bestFit="1" customWidth="1"/>
    <col min="14863" max="14863" width="11.7109375" bestFit="1" customWidth="1"/>
    <col min="14864" max="14864" width="19" bestFit="1" customWidth="1"/>
    <col min="14865" max="14865" width="12.140625" bestFit="1" customWidth="1"/>
    <col min="15095" max="15095" width="15" bestFit="1" customWidth="1"/>
    <col min="15096" max="15096" width="68.28515625" bestFit="1" customWidth="1"/>
    <col min="15097" max="15097" width="9.140625" bestFit="1" customWidth="1"/>
    <col min="15098" max="15098" width="21.42578125" bestFit="1" customWidth="1"/>
    <col min="15099" max="15101" width="15.42578125" bestFit="1" customWidth="1"/>
    <col min="15102" max="15102" width="8.85546875" bestFit="1" customWidth="1"/>
    <col min="15103" max="15103" width="10" bestFit="1" customWidth="1"/>
    <col min="15104" max="15104" width="12.7109375" bestFit="1" customWidth="1"/>
    <col min="15105" max="15105" width="8.85546875" bestFit="1" customWidth="1"/>
    <col min="15106" max="15106" width="17.7109375" bestFit="1" customWidth="1"/>
    <col min="15107" max="15107" width="13" bestFit="1" customWidth="1"/>
    <col min="15108" max="15108" width="13.42578125" bestFit="1" customWidth="1"/>
    <col min="15109" max="15109" width="10.85546875" bestFit="1" customWidth="1"/>
    <col min="15110" max="15110" width="26.85546875" bestFit="1" customWidth="1"/>
    <col min="15111" max="15111" width="20.85546875" bestFit="1" customWidth="1"/>
    <col min="15112" max="15112" width="30.42578125" bestFit="1" customWidth="1"/>
    <col min="15113" max="15113" width="19.42578125" bestFit="1" customWidth="1"/>
    <col min="15114" max="15114" width="20.28515625" bestFit="1" customWidth="1"/>
    <col min="15115" max="15116" width="12" bestFit="1" customWidth="1"/>
    <col min="15117" max="15118" width="12.5703125" bestFit="1" customWidth="1"/>
    <col min="15119" max="15119" width="11.7109375" bestFit="1" customWidth="1"/>
    <col min="15120" max="15120" width="19" bestFit="1" customWidth="1"/>
    <col min="15121" max="15121" width="12.140625" bestFit="1" customWidth="1"/>
    <col min="15351" max="15351" width="15" bestFit="1" customWidth="1"/>
    <col min="15352" max="15352" width="68.28515625" bestFit="1" customWidth="1"/>
    <col min="15353" max="15353" width="9.140625" bestFit="1" customWidth="1"/>
    <col min="15354" max="15354" width="21.42578125" bestFit="1" customWidth="1"/>
    <col min="15355" max="15357" width="15.42578125" bestFit="1" customWidth="1"/>
    <col min="15358" max="15358" width="8.85546875" bestFit="1" customWidth="1"/>
    <col min="15359" max="15359" width="10" bestFit="1" customWidth="1"/>
    <col min="15360" max="15360" width="12.7109375" bestFit="1" customWidth="1"/>
    <col min="15361" max="15361" width="8.85546875" bestFit="1" customWidth="1"/>
    <col min="15362" max="15362" width="17.7109375" bestFit="1" customWidth="1"/>
    <col min="15363" max="15363" width="13" bestFit="1" customWidth="1"/>
    <col min="15364" max="15364" width="13.42578125" bestFit="1" customWidth="1"/>
    <col min="15365" max="15365" width="10.85546875" bestFit="1" customWidth="1"/>
    <col min="15366" max="15366" width="26.85546875" bestFit="1" customWidth="1"/>
    <col min="15367" max="15367" width="20.85546875" bestFit="1" customWidth="1"/>
    <col min="15368" max="15368" width="30.42578125" bestFit="1" customWidth="1"/>
    <col min="15369" max="15369" width="19.42578125" bestFit="1" customWidth="1"/>
    <col min="15370" max="15370" width="20.28515625" bestFit="1" customWidth="1"/>
    <col min="15371" max="15372" width="12" bestFit="1" customWidth="1"/>
    <col min="15373" max="15374" width="12.5703125" bestFit="1" customWidth="1"/>
    <col min="15375" max="15375" width="11.7109375" bestFit="1" customWidth="1"/>
    <col min="15376" max="15376" width="19" bestFit="1" customWidth="1"/>
    <col min="15377" max="15377" width="12.140625" bestFit="1" customWidth="1"/>
    <col min="15607" max="15607" width="15" bestFit="1" customWidth="1"/>
    <col min="15608" max="15608" width="68.28515625" bestFit="1" customWidth="1"/>
    <col min="15609" max="15609" width="9.140625" bestFit="1" customWidth="1"/>
    <col min="15610" max="15610" width="21.42578125" bestFit="1" customWidth="1"/>
    <col min="15611" max="15613" width="15.42578125" bestFit="1" customWidth="1"/>
    <col min="15614" max="15614" width="8.85546875" bestFit="1" customWidth="1"/>
    <col min="15615" max="15615" width="10" bestFit="1" customWidth="1"/>
    <col min="15616" max="15616" width="12.7109375" bestFit="1" customWidth="1"/>
    <col min="15617" max="15617" width="8.85546875" bestFit="1" customWidth="1"/>
    <col min="15618" max="15618" width="17.7109375" bestFit="1" customWidth="1"/>
    <col min="15619" max="15619" width="13" bestFit="1" customWidth="1"/>
    <col min="15620" max="15620" width="13.42578125" bestFit="1" customWidth="1"/>
    <col min="15621" max="15621" width="10.85546875" bestFit="1" customWidth="1"/>
    <col min="15622" max="15622" width="26.85546875" bestFit="1" customWidth="1"/>
    <col min="15623" max="15623" width="20.85546875" bestFit="1" customWidth="1"/>
    <col min="15624" max="15624" width="30.42578125" bestFit="1" customWidth="1"/>
    <col min="15625" max="15625" width="19.42578125" bestFit="1" customWidth="1"/>
    <col min="15626" max="15626" width="20.28515625" bestFit="1" customWidth="1"/>
    <col min="15627" max="15628" width="12" bestFit="1" customWidth="1"/>
    <col min="15629" max="15630" width="12.5703125" bestFit="1" customWidth="1"/>
    <col min="15631" max="15631" width="11.7109375" bestFit="1" customWidth="1"/>
    <col min="15632" max="15632" width="19" bestFit="1" customWidth="1"/>
    <col min="15633" max="15633" width="12.140625" bestFit="1" customWidth="1"/>
    <col min="15863" max="15863" width="15" bestFit="1" customWidth="1"/>
    <col min="15864" max="15864" width="68.28515625" bestFit="1" customWidth="1"/>
    <col min="15865" max="15865" width="9.140625" bestFit="1" customWidth="1"/>
    <col min="15866" max="15866" width="21.42578125" bestFit="1" customWidth="1"/>
    <col min="15867" max="15869" width="15.42578125" bestFit="1" customWidth="1"/>
    <col min="15870" max="15870" width="8.85546875" bestFit="1" customWidth="1"/>
    <col min="15871" max="15871" width="10" bestFit="1" customWidth="1"/>
    <col min="15872" max="15872" width="12.7109375" bestFit="1" customWidth="1"/>
    <col min="15873" max="15873" width="8.85546875" bestFit="1" customWidth="1"/>
    <col min="15874" max="15874" width="17.7109375" bestFit="1" customWidth="1"/>
    <col min="15875" max="15875" width="13" bestFit="1" customWidth="1"/>
    <col min="15876" max="15876" width="13.42578125" bestFit="1" customWidth="1"/>
    <col min="15877" max="15877" width="10.85546875" bestFit="1" customWidth="1"/>
    <col min="15878" max="15878" width="26.85546875" bestFit="1" customWidth="1"/>
    <col min="15879" max="15879" width="20.85546875" bestFit="1" customWidth="1"/>
    <col min="15880" max="15880" width="30.42578125" bestFit="1" customWidth="1"/>
    <col min="15881" max="15881" width="19.42578125" bestFit="1" customWidth="1"/>
    <col min="15882" max="15882" width="20.28515625" bestFit="1" customWidth="1"/>
    <col min="15883" max="15884" width="12" bestFit="1" customWidth="1"/>
    <col min="15885" max="15886" width="12.5703125" bestFit="1" customWidth="1"/>
    <col min="15887" max="15887" width="11.7109375" bestFit="1" customWidth="1"/>
    <col min="15888" max="15888" width="19" bestFit="1" customWidth="1"/>
    <col min="15889" max="15889" width="12.140625" bestFit="1" customWidth="1"/>
    <col min="16119" max="16119" width="15" bestFit="1" customWidth="1"/>
    <col min="16120" max="16120" width="68.28515625" bestFit="1" customWidth="1"/>
    <col min="16121" max="16121" width="9.140625" bestFit="1" customWidth="1"/>
    <col min="16122" max="16122" width="21.42578125" bestFit="1" customWidth="1"/>
    <col min="16123" max="16125" width="15.42578125" bestFit="1" customWidth="1"/>
    <col min="16126" max="16126" width="8.85546875" bestFit="1" customWidth="1"/>
    <col min="16127" max="16127" width="10" bestFit="1" customWidth="1"/>
    <col min="16128" max="16128" width="12.7109375" bestFit="1" customWidth="1"/>
    <col min="16129" max="16129" width="8.85546875" bestFit="1" customWidth="1"/>
    <col min="16130" max="16130" width="17.7109375" bestFit="1" customWidth="1"/>
    <col min="16131" max="16131" width="13" bestFit="1" customWidth="1"/>
    <col min="16132" max="16132" width="13.42578125" bestFit="1" customWidth="1"/>
    <col min="16133" max="16133" width="10.85546875" bestFit="1" customWidth="1"/>
    <col min="16134" max="16134" width="26.85546875" bestFit="1" customWidth="1"/>
    <col min="16135" max="16135" width="20.85546875" bestFit="1" customWidth="1"/>
    <col min="16136" max="16136" width="30.42578125" bestFit="1" customWidth="1"/>
    <col min="16137" max="16137" width="19.42578125" bestFit="1" customWidth="1"/>
    <col min="16138" max="16138" width="20.28515625" bestFit="1" customWidth="1"/>
    <col min="16139" max="16140" width="12" bestFit="1" customWidth="1"/>
    <col min="16141" max="16142" width="12.5703125" bestFit="1" customWidth="1"/>
    <col min="16143" max="16143" width="11.7109375" bestFit="1" customWidth="1"/>
    <col min="16144" max="16144" width="19" bestFit="1" customWidth="1"/>
    <col min="16145" max="16145" width="12.140625" bestFit="1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x14ac:dyDescent="0.25">
      <c r="A2" s="1" t="s">
        <v>12059</v>
      </c>
      <c r="C2" t="str">
        <f t="shared" ref="C2:C40" si="0">CONCATENATE(LEFT(T2,3),RIGHT(A2,8))</f>
        <v>BEB90581691</v>
      </c>
      <c r="D2" t="s">
        <v>8689</v>
      </c>
      <c r="E2" s="1" t="s">
        <v>12060</v>
      </c>
      <c r="F2" s="61">
        <v>6564</v>
      </c>
      <c r="G2" s="3">
        <v>0</v>
      </c>
      <c r="H2" s="4" t="s">
        <v>8690</v>
      </c>
      <c r="I2">
        <v>8</v>
      </c>
      <c r="J2">
        <v>8</v>
      </c>
      <c r="K2" s="3">
        <v>0</v>
      </c>
      <c r="L2" s="65">
        <f>((ARTICULOS_QUENTO[[#This Row],[P. Compra]]*(1+ARTICULOS_QUENTO[[#This Row],[IVA]]%))/ARTICULOS_QUENTO[[#This Row],[UnidFact]])+ARTICULOS_QUENTO[[#This Row],[CostoFlete]]</f>
        <v>820.5</v>
      </c>
      <c r="M2">
        <v>30</v>
      </c>
      <c r="N2" s="63">
        <f t="shared" ref="N2:N40" si="1">IF(L2&gt;=5,MROUND(L2/(1-M2/100),50),10)</f>
        <v>1150</v>
      </c>
      <c r="O2" s="3">
        <f>MROUND((ARTICULOS_QUENTO[[#This Row],[Precio]]/0.6),10)</f>
        <v>1920</v>
      </c>
      <c r="P2" t="s">
        <v>8693</v>
      </c>
      <c r="Q2">
        <v>2</v>
      </c>
      <c r="R2" s="3">
        <f>ARTICULOS_QUENTO[[#This Row],[Bulto]]+ARTICULOS_QUENTO[[#This Row],[Minimo]]</f>
        <v>10</v>
      </c>
      <c r="S2" t="s">
        <v>55</v>
      </c>
      <c r="T2" t="s">
        <v>10</v>
      </c>
      <c r="U2" t="s">
        <v>76</v>
      </c>
      <c r="V2" t="s">
        <v>10682</v>
      </c>
      <c r="W2" t="s">
        <v>8692</v>
      </c>
      <c r="X2">
        <v>1</v>
      </c>
      <c r="Z2"/>
      <c r="AB2" s="80">
        <f>ARTICULOS_QUENTO[[#This Row],[Costo]]*ARTICULOS_QUENTO[[#This Row],[Pedido]]</f>
        <v>0</v>
      </c>
      <c r="AD2"/>
      <c r="AF2" s="2"/>
      <c r="AH2" s="2" t="str">
        <f>IF(AND(ARTICULOS_QUENTO[[#This Row],[FechaVenc]]=0,ARTICULOS_QUENTO[[#This Row],[DiasVenc]]=0),"",ARTICULOS_QUENTO[[#This Row],[FechaVenc]]-ARTICULOS_QUENTO[[#This Row],[DiasVenc]])</f>
        <v/>
      </c>
      <c r="AK2"/>
      <c r="AM2"/>
      <c r="AO2" t="s">
        <v>8689</v>
      </c>
    </row>
    <row r="3" spans="1:43" x14ac:dyDescent="0.25">
      <c r="A3" s="1" t="s">
        <v>12061</v>
      </c>
      <c r="C3" t="str">
        <f t="shared" si="0"/>
        <v>BEB90580120</v>
      </c>
      <c r="D3" t="s">
        <v>8689</v>
      </c>
      <c r="E3" s="1" t="s">
        <v>12062</v>
      </c>
      <c r="F3" s="61">
        <f>F2</f>
        <v>6564</v>
      </c>
      <c r="G3" s="3">
        <v>0</v>
      </c>
      <c r="H3" s="4" t="s">
        <v>8690</v>
      </c>
      <c r="I3">
        <v>8</v>
      </c>
      <c r="J3">
        <v>8</v>
      </c>
      <c r="K3" s="3">
        <v>0</v>
      </c>
      <c r="L3" s="65">
        <f>((ARTICULOS_QUENTO[[#This Row],[P. Compra]]*(1+ARTICULOS_QUENTO[[#This Row],[IVA]]%))/ARTICULOS_QUENTO[[#This Row],[UnidFact]])+ARTICULOS_QUENTO[[#This Row],[CostoFlete]]</f>
        <v>820.5</v>
      </c>
      <c r="M3">
        <v>30</v>
      </c>
      <c r="N3" s="63">
        <f t="shared" si="1"/>
        <v>1150</v>
      </c>
      <c r="O3" s="3">
        <f>MROUND((ARTICULOS_QUENTO[[#This Row],[Precio]]/0.6),10)</f>
        <v>1920</v>
      </c>
      <c r="P3" t="s">
        <v>8693</v>
      </c>
      <c r="Q3">
        <v>6</v>
      </c>
      <c r="R3" s="3">
        <f>ARTICULOS_QUENTO[[#This Row],[Bulto]]+ARTICULOS_QUENTO[[#This Row],[Minimo]]</f>
        <v>14</v>
      </c>
      <c r="S3" t="s">
        <v>55</v>
      </c>
      <c r="T3" t="s">
        <v>10</v>
      </c>
      <c r="U3" t="s">
        <v>76</v>
      </c>
      <c r="V3" t="s">
        <v>10682</v>
      </c>
      <c r="W3" t="s">
        <v>8692</v>
      </c>
      <c r="X3">
        <v>1</v>
      </c>
      <c r="Z3"/>
      <c r="AB3" s="80">
        <f>ARTICULOS_QUENTO[[#This Row],[Costo]]*ARTICULOS_QUENTO[[#This Row],[Pedido]]</f>
        <v>0</v>
      </c>
      <c r="AD3"/>
      <c r="AH3" s="2" t="str">
        <f>IF(AND(ARTICULOS_QUENTO[[#This Row],[FechaVenc]]=0,ARTICULOS_QUENTO[[#This Row],[DiasVenc]]=0),"",ARTICULOS_QUENTO[[#This Row],[FechaVenc]]-ARTICULOS_QUENTO[[#This Row],[DiasVenc]])</f>
        <v/>
      </c>
      <c r="AK3"/>
      <c r="AM3"/>
      <c r="AO3" t="s">
        <v>8689</v>
      </c>
    </row>
    <row r="4" spans="1:43" x14ac:dyDescent="0.25">
      <c r="A4" s="1" t="s">
        <v>10683</v>
      </c>
      <c r="C4" t="str">
        <f t="shared" si="0"/>
        <v>BEB90580144</v>
      </c>
      <c r="D4" t="s">
        <v>8689</v>
      </c>
      <c r="E4" s="1" t="s">
        <v>10684</v>
      </c>
      <c r="F4" s="61">
        <v>4530</v>
      </c>
      <c r="G4" s="3">
        <v>0</v>
      </c>
      <c r="H4" s="4" t="s">
        <v>8690</v>
      </c>
      <c r="I4">
        <v>18</v>
      </c>
      <c r="J4">
        <v>18</v>
      </c>
      <c r="K4" s="3">
        <v>0</v>
      </c>
      <c r="L4" s="65">
        <f>((ARTICULOS_QUENTO[[#This Row],[P. Compra]]*(1+ARTICULOS_QUENTO[[#This Row],[IVA]]%))/ARTICULOS_QUENTO[[#This Row],[UnidFact]])+ARTICULOS_QUENTO[[#This Row],[CostoFlete]]</f>
        <v>251.66666666666666</v>
      </c>
      <c r="M4">
        <v>30</v>
      </c>
      <c r="N4" s="63">
        <f t="shared" si="1"/>
        <v>350</v>
      </c>
      <c r="O4" s="3">
        <f>MROUND((ARTICULOS_QUENTO[[#This Row],[Precio]]/0.6),10)</f>
        <v>580</v>
      </c>
      <c r="P4" t="s">
        <v>8693</v>
      </c>
      <c r="Q4">
        <v>6</v>
      </c>
      <c r="R4" s="3">
        <f>ARTICULOS_QUENTO[[#This Row],[Bulto]]+ARTICULOS_QUENTO[[#This Row],[Minimo]]</f>
        <v>24</v>
      </c>
      <c r="S4" t="s">
        <v>55</v>
      </c>
      <c r="T4" t="s">
        <v>10</v>
      </c>
      <c r="U4" t="s">
        <v>76</v>
      </c>
      <c r="V4" t="s">
        <v>10682</v>
      </c>
      <c r="W4" t="s">
        <v>8692</v>
      </c>
      <c r="X4">
        <v>1</v>
      </c>
      <c r="Z4"/>
      <c r="AB4" s="80">
        <f>ARTICULOS_QUENTO[[#This Row],[Costo]]*ARTICULOS_QUENTO[[#This Row],[Pedido]]</f>
        <v>0</v>
      </c>
      <c r="AD4"/>
      <c r="AH4" s="2" t="str">
        <f>IF(AND(ARTICULOS_QUENTO[[#This Row],[FechaVenc]]=0,ARTICULOS_QUENTO[[#This Row],[DiasVenc]]=0),"",ARTICULOS_QUENTO[[#This Row],[FechaVenc]]-ARTICULOS_QUENTO[[#This Row],[DiasVenc]])</f>
        <v/>
      </c>
      <c r="AK4"/>
      <c r="AM4"/>
      <c r="AO4" t="s">
        <v>8689</v>
      </c>
    </row>
    <row r="5" spans="1:43" x14ac:dyDescent="0.25">
      <c r="A5" s="1" t="s">
        <v>10685</v>
      </c>
      <c r="C5" t="str">
        <f t="shared" si="0"/>
        <v>BEB90580083</v>
      </c>
      <c r="D5" t="s">
        <v>8689</v>
      </c>
      <c r="E5" s="1" t="s">
        <v>10686</v>
      </c>
      <c r="F5" s="61">
        <f>F4</f>
        <v>4530</v>
      </c>
      <c r="G5" s="3">
        <v>0</v>
      </c>
      <c r="H5" s="4" t="s">
        <v>8690</v>
      </c>
      <c r="I5">
        <v>18</v>
      </c>
      <c r="J5">
        <v>18</v>
      </c>
      <c r="K5" s="3">
        <v>0</v>
      </c>
      <c r="L5" s="65">
        <f>((ARTICULOS_QUENTO[[#This Row],[P. Compra]]*(1+ARTICULOS_QUENTO[[#This Row],[IVA]]%))/ARTICULOS_QUENTO[[#This Row],[UnidFact]])+ARTICULOS_QUENTO[[#This Row],[CostoFlete]]</f>
        <v>251.66666666666666</v>
      </c>
      <c r="M5">
        <v>30</v>
      </c>
      <c r="N5" s="63">
        <f t="shared" si="1"/>
        <v>350</v>
      </c>
      <c r="O5" s="3">
        <f>MROUND((ARTICULOS_QUENTO[[#This Row],[Precio]]/0.6),10)</f>
        <v>580</v>
      </c>
      <c r="P5" t="s">
        <v>8693</v>
      </c>
      <c r="Q5">
        <v>6</v>
      </c>
      <c r="R5" s="3">
        <f>ARTICULOS_QUENTO[[#This Row],[Bulto]]+ARTICULOS_QUENTO[[#This Row],[Minimo]]</f>
        <v>24</v>
      </c>
      <c r="S5" t="s">
        <v>55</v>
      </c>
      <c r="T5" t="s">
        <v>10</v>
      </c>
      <c r="U5" t="s">
        <v>76</v>
      </c>
      <c r="V5" t="s">
        <v>10682</v>
      </c>
      <c r="W5" t="s">
        <v>8692</v>
      </c>
      <c r="X5">
        <v>1</v>
      </c>
      <c r="Z5"/>
      <c r="AB5" s="80">
        <f>ARTICULOS_QUENTO[[#This Row],[Costo]]*ARTICULOS_QUENTO[[#This Row],[Pedido]]</f>
        <v>0</v>
      </c>
      <c r="AD5"/>
      <c r="AH5" s="2" t="str">
        <f>IF(AND(ARTICULOS_QUENTO[[#This Row],[FechaVenc]]=0,ARTICULOS_QUENTO[[#This Row],[DiasVenc]]=0),"",ARTICULOS_QUENTO[[#This Row],[FechaVenc]]-ARTICULOS_QUENTO[[#This Row],[DiasVenc]])</f>
        <v/>
      </c>
      <c r="AK5"/>
      <c r="AM5"/>
      <c r="AO5" t="s">
        <v>8689</v>
      </c>
    </row>
    <row r="6" spans="1:43" x14ac:dyDescent="0.25">
      <c r="A6" s="1" t="s">
        <v>10687</v>
      </c>
      <c r="C6" t="str">
        <f t="shared" si="0"/>
        <v>BEB90580113</v>
      </c>
      <c r="D6" t="s">
        <v>8689</v>
      </c>
      <c r="E6" s="1" t="s">
        <v>10688</v>
      </c>
      <c r="F6" s="61">
        <f t="shared" ref="F6:F8" si="2">F5</f>
        <v>4530</v>
      </c>
      <c r="G6" s="3">
        <v>0</v>
      </c>
      <c r="H6" s="4" t="s">
        <v>8690</v>
      </c>
      <c r="I6">
        <v>18</v>
      </c>
      <c r="J6">
        <v>18</v>
      </c>
      <c r="K6" s="3">
        <v>0</v>
      </c>
      <c r="L6" s="65">
        <f>((ARTICULOS_QUENTO[[#This Row],[P. Compra]]*(1+ARTICULOS_QUENTO[[#This Row],[IVA]]%))/ARTICULOS_QUENTO[[#This Row],[UnidFact]])+ARTICULOS_QUENTO[[#This Row],[CostoFlete]]</f>
        <v>251.66666666666666</v>
      </c>
      <c r="M6">
        <v>30</v>
      </c>
      <c r="N6" s="63">
        <f t="shared" si="1"/>
        <v>350</v>
      </c>
      <c r="O6" s="3">
        <f>MROUND((ARTICULOS_QUENTO[[#This Row],[Precio]]/0.6),10)</f>
        <v>580</v>
      </c>
      <c r="P6" t="s">
        <v>8693</v>
      </c>
      <c r="Q6">
        <v>6</v>
      </c>
      <c r="R6" s="3">
        <f>ARTICULOS_QUENTO[[#This Row],[Bulto]]+ARTICULOS_QUENTO[[#This Row],[Minimo]]</f>
        <v>24</v>
      </c>
      <c r="S6" t="s">
        <v>55</v>
      </c>
      <c r="T6" t="s">
        <v>10</v>
      </c>
      <c r="U6" t="s">
        <v>76</v>
      </c>
      <c r="V6" t="s">
        <v>10682</v>
      </c>
      <c r="W6" t="s">
        <v>8692</v>
      </c>
      <c r="X6">
        <v>1</v>
      </c>
      <c r="Z6"/>
      <c r="AB6" s="80">
        <f>ARTICULOS_QUENTO[[#This Row],[Costo]]*ARTICULOS_QUENTO[[#This Row],[Pedido]]</f>
        <v>0</v>
      </c>
      <c r="AD6"/>
      <c r="AH6" s="2" t="str">
        <f>IF(AND(ARTICULOS_QUENTO[[#This Row],[FechaVenc]]=0,ARTICULOS_QUENTO[[#This Row],[DiasVenc]]=0),"",ARTICULOS_QUENTO[[#This Row],[FechaVenc]]-ARTICULOS_QUENTO[[#This Row],[DiasVenc]])</f>
        <v/>
      </c>
      <c r="AK6"/>
      <c r="AM6"/>
      <c r="AO6" t="s">
        <v>8689</v>
      </c>
    </row>
    <row r="7" spans="1:43" x14ac:dyDescent="0.25">
      <c r="A7" s="1" t="s">
        <v>10689</v>
      </c>
      <c r="C7" t="str">
        <f t="shared" si="0"/>
        <v>BEB90580052</v>
      </c>
      <c r="D7" t="s">
        <v>8689</v>
      </c>
      <c r="E7" s="1" t="s">
        <v>10690</v>
      </c>
      <c r="F7" s="61">
        <f t="shared" si="2"/>
        <v>4530</v>
      </c>
      <c r="G7" s="3">
        <v>0</v>
      </c>
      <c r="H7" s="4" t="s">
        <v>8690</v>
      </c>
      <c r="I7">
        <v>18</v>
      </c>
      <c r="J7">
        <v>18</v>
      </c>
      <c r="K7" s="3">
        <v>0</v>
      </c>
      <c r="L7" s="65">
        <f>((ARTICULOS_QUENTO[[#This Row],[P. Compra]]*(1+ARTICULOS_QUENTO[[#This Row],[IVA]]%))/ARTICULOS_QUENTO[[#This Row],[UnidFact]])+ARTICULOS_QUENTO[[#This Row],[CostoFlete]]</f>
        <v>251.66666666666666</v>
      </c>
      <c r="M7">
        <v>30</v>
      </c>
      <c r="N7" s="63">
        <f t="shared" si="1"/>
        <v>350</v>
      </c>
      <c r="O7" s="3">
        <f>MROUND((ARTICULOS_QUENTO[[#This Row],[Precio]]/0.6),10)</f>
        <v>580</v>
      </c>
      <c r="P7" t="s">
        <v>8693</v>
      </c>
      <c r="Q7">
        <v>6</v>
      </c>
      <c r="R7" s="3">
        <f>ARTICULOS_QUENTO[[#This Row],[Bulto]]+ARTICULOS_QUENTO[[#This Row],[Minimo]]</f>
        <v>24</v>
      </c>
      <c r="S7" t="s">
        <v>55</v>
      </c>
      <c r="T7" t="s">
        <v>10</v>
      </c>
      <c r="U7" t="s">
        <v>76</v>
      </c>
      <c r="V7" t="s">
        <v>10682</v>
      </c>
      <c r="W7" t="s">
        <v>8692</v>
      </c>
      <c r="X7">
        <v>1</v>
      </c>
      <c r="Z7"/>
      <c r="AB7" s="80">
        <f>ARTICULOS_QUENTO[[#This Row],[Costo]]*ARTICULOS_QUENTO[[#This Row],[Pedido]]</f>
        <v>0</v>
      </c>
      <c r="AD7"/>
      <c r="AH7" s="2" t="str">
        <f>IF(AND(ARTICULOS_QUENTO[[#This Row],[FechaVenc]]=0,ARTICULOS_QUENTO[[#This Row],[DiasVenc]]=0),"",ARTICULOS_QUENTO[[#This Row],[FechaVenc]]-ARTICULOS_QUENTO[[#This Row],[DiasVenc]])</f>
        <v/>
      </c>
      <c r="AK7"/>
      <c r="AM7"/>
      <c r="AO7" t="s">
        <v>8689</v>
      </c>
    </row>
    <row r="8" spans="1:43" x14ac:dyDescent="0.25">
      <c r="A8" s="1" t="s">
        <v>12063</v>
      </c>
      <c r="C8" t="str">
        <f t="shared" ref="C8" si="3">CONCATENATE(LEFT(T8,3),RIGHT(A8,8))</f>
        <v>BEB90581868</v>
      </c>
      <c r="D8" t="s">
        <v>8689</v>
      </c>
      <c r="E8" s="1" t="s">
        <v>12064</v>
      </c>
      <c r="F8" s="61">
        <f t="shared" si="2"/>
        <v>4530</v>
      </c>
      <c r="G8" s="3">
        <v>0</v>
      </c>
      <c r="H8" s="4" t="s">
        <v>8690</v>
      </c>
      <c r="I8">
        <v>18</v>
      </c>
      <c r="J8">
        <v>18</v>
      </c>
      <c r="K8" s="3">
        <v>0</v>
      </c>
      <c r="L8" s="65">
        <f>((ARTICULOS_QUENTO[[#This Row],[P. Compra]]*(1+ARTICULOS_QUENTO[[#This Row],[IVA]]%))/ARTICULOS_QUENTO[[#This Row],[UnidFact]])+ARTICULOS_QUENTO[[#This Row],[CostoFlete]]</f>
        <v>251.66666666666666</v>
      </c>
      <c r="M8">
        <v>30</v>
      </c>
      <c r="N8" s="63">
        <f t="shared" ref="N8" si="4">IF(L8&gt;=5,MROUND(L8/(1-M8/100),50),10)</f>
        <v>350</v>
      </c>
      <c r="O8" s="3">
        <f>MROUND((ARTICULOS_QUENTO[[#This Row],[Precio]]/0.6),10)</f>
        <v>580</v>
      </c>
      <c r="P8" t="s">
        <v>8693</v>
      </c>
      <c r="Q8">
        <v>6</v>
      </c>
      <c r="R8" s="3">
        <f>ARTICULOS_QUENTO[[#This Row],[Bulto]]+ARTICULOS_QUENTO[[#This Row],[Minimo]]</f>
        <v>24</v>
      </c>
      <c r="S8" t="s">
        <v>55</v>
      </c>
      <c r="T8" t="s">
        <v>10</v>
      </c>
      <c r="U8" t="s">
        <v>76</v>
      </c>
      <c r="V8" t="s">
        <v>10682</v>
      </c>
      <c r="W8" t="s">
        <v>8692</v>
      </c>
      <c r="X8">
        <v>1</v>
      </c>
      <c r="Z8"/>
      <c r="AB8" s="80">
        <f>ARTICULOS_QUENTO[[#This Row],[Costo]]*ARTICULOS_QUENTO[[#This Row],[Pedido]]</f>
        <v>0</v>
      </c>
      <c r="AD8"/>
      <c r="AH8" s="2" t="str">
        <f>IF(AND(ARTICULOS_QUENTO[[#This Row],[FechaVenc]]=0,ARTICULOS_QUENTO[[#This Row],[DiasVenc]]=0),"",ARTICULOS_QUENTO[[#This Row],[FechaVenc]]-ARTICULOS_QUENTO[[#This Row],[DiasVenc]])</f>
        <v/>
      </c>
      <c r="AK8"/>
      <c r="AM8"/>
      <c r="AO8" t="s">
        <v>8689</v>
      </c>
    </row>
    <row r="9" spans="1:43" x14ac:dyDescent="0.25">
      <c r="A9" s="1" t="s">
        <v>10691</v>
      </c>
      <c r="C9" t="str">
        <f t="shared" si="0"/>
        <v>BEB90581837</v>
      </c>
      <c r="D9" t="s">
        <v>8689</v>
      </c>
      <c r="E9" s="1" t="s">
        <v>12055</v>
      </c>
      <c r="F9" s="61"/>
      <c r="G9" s="3">
        <v>0</v>
      </c>
      <c r="H9" s="4" t="s">
        <v>8690</v>
      </c>
      <c r="I9">
        <v>12</v>
      </c>
      <c r="J9">
        <v>12</v>
      </c>
      <c r="K9" s="3">
        <v>0</v>
      </c>
      <c r="L9" s="65">
        <f>((ARTICULOS_QUENTO[[#This Row],[P. Compra]]*(1+ARTICULOS_QUENTO[[#This Row],[IVA]]%))/ARTICULOS_QUENTO[[#This Row],[UnidFact]])+ARTICULOS_QUENTO[[#This Row],[CostoFlete]]</f>
        <v>0</v>
      </c>
      <c r="M9">
        <v>30</v>
      </c>
      <c r="N9" s="63">
        <f t="shared" si="1"/>
        <v>10</v>
      </c>
      <c r="O9" s="3">
        <f>MROUND((ARTICULOS_QUENTO[[#This Row],[Precio]]/0.6),10)</f>
        <v>20</v>
      </c>
      <c r="P9" t="s">
        <v>8693</v>
      </c>
      <c r="Q9">
        <v>3</v>
      </c>
      <c r="R9" s="3">
        <f>ARTICULOS_QUENTO[[#This Row],[Bulto]]+ARTICULOS_QUENTO[[#This Row],[Minimo]]</f>
        <v>15</v>
      </c>
      <c r="S9" t="s">
        <v>55</v>
      </c>
      <c r="T9" t="s">
        <v>10</v>
      </c>
      <c r="U9" t="s">
        <v>76</v>
      </c>
      <c r="V9" t="s">
        <v>10682</v>
      </c>
      <c r="W9" t="s">
        <v>8692</v>
      </c>
      <c r="X9">
        <v>1</v>
      </c>
      <c r="Z9"/>
      <c r="AB9" s="80">
        <f>ARTICULOS_QUENTO[[#This Row],[Costo]]*ARTICULOS_QUENTO[[#This Row],[Pedido]]</f>
        <v>0</v>
      </c>
      <c r="AD9"/>
      <c r="AH9" s="2" t="str">
        <f>IF(AND(ARTICULOS_QUENTO[[#This Row],[FechaVenc]]=0,ARTICULOS_QUENTO[[#This Row],[DiasVenc]]=0),"",ARTICULOS_QUENTO[[#This Row],[FechaVenc]]-ARTICULOS_QUENTO[[#This Row],[DiasVenc]])</f>
        <v/>
      </c>
      <c r="AK9"/>
      <c r="AM9"/>
      <c r="AO9" t="s">
        <v>8689</v>
      </c>
    </row>
    <row r="10" spans="1:43" x14ac:dyDescent="0.25">
      <c r="A10" s="1" t="s">
        <v>10692</v>
      </c>
      <c r="C10" t="str">
        <f t="shared" si="0"/>
        <v>BEB90581806</v>
      </c>
      <c r="D10" t="s">
        <v>8689</v>
      </c>
      <c r="E10" s="1" t="s">
        <v>10693</v>
      </c>
      <c r="F10" s="61"/>
      <c r="G10" s="3">
        <v>0</v>
      </c>
      <c r="H10" s="4" t="s">
        <v>8690</v>
      </c>
      <c r="I10">
        <v>12</v>
      </c>
      <c r="J10">
        <v>12</v>
      </c>
      <c r="K10" s="3">
        <v>0</v>
      </c>
      <c r="L10" s="65">
        <f>((ARTICULOS_QUENTO[[#This Row],[P. Compra]]*(1+ARTICULOS_QUENTO[[#This Row],[IVA]]%))/ARTICULOS_QUENTO[[#This Row],[UnidFact]])+ARTICULOS_QUENTO[[#This Row],[CostoFlete]]</f>
        <v>0</v>
      </c>
      <c r="M10">
        <v>30</v>
      </c>
      <c r="N10" s="63">
        <f t="shared" si="1"/>
        <v>10</v>
      </c>
      <c r="O10" s="3">
        <f>MROUND((ARTICULOS_QUENTO[[#This Row],[Precio]]/0.6),10)</f>
        <v>20</v>
      </c>
      <c r="P10" t="s">
        <v>8693</v>
      </c>
      <c r="Q10">
        <v>3</v>
      </c>
      <c r="R10" s="3">
        <f>ARTICULOS_QUENTO[[#This Row],[Bulto]]+ARTICULOS_QUENTO[[#This Row],[Minimo]]</f>
        <v>15</v>
      </c>
      <c r="S10" t="s">
        <v>55</v>
      </c>
      <c r="T10" t="s">
        <v>10</v>
      </c>
      <c r="U10" t="s">
        <v>76</v>
      </c>
      <c r="V10" t="s">
        <v>10682</v>
      </c>
      <c r="W10" t="s">
        <v>8692</v>
      </c>
      <c r="X10">
        <v>1</v>
      </c>
      <c r="Z10"/>
      <c r="AB10" s="80">
        <f>ARTICULOS_QUENTO[[#This Row],[Costo]]*ARTICULOS_QUENTO[[#This Row],[Pedido]]</f>
        <v>0</v>
      </c>
      <c r="AD10"/>
      <c r="AH10" s="2" t="str">
        <f>IF(AND(ARTICULOS_QUENTO[[#This Row],[FechaVenc]]=0,ARTICULOS_QUENTO[[#This Row],[DiasVenc]]=0),"",ARTICULOS_QUENTO[[#This Row],[FechaVenc]]-ARTICULOS_QUENTO[[#This Row],[DiasVenc]])</f>
        <v/>
      </c>
      <c r="AK10"/>
      <c r="AM10"/>
      <c r="AO10" t="s">
        <v>8689</v>
      </c>
    </row>
    <row r="11" spans="1:43" s="26" customFormat="1" ht="16.5" thickBot="1" x14ac:dyDescent="0.3">
      <c r="A11" s="25" t="s">
        <v>10694</v>
      </c>
      <c r="B11" s="25"/>
      <c r="C11" s="26" t="str">
        <f t="shared" si="0"/>
        <v>BEB90581721</v>
      </c>
      <c r="D11" s="26" t="s">
        <v>8689</v>
      </c>
      <c r="E11" s="25" t="s">
        <v>10695</v>
      </c>
      <c r="F11" s="95"/>
      <c r="G11" s="3">
        <v>0</v>
      </c>
      <c r="H11" s="28" t="s">
        <v>8690</v>
      </c>
      <c r="I11" s="26">
        <v>12</v>
      </c>
      <c r="J11" s="26">
        <v>12</v>
      </c>
      <c r="K11" s="3">
        <v>0</v>
      </c>
      <c r="L11" s="65">
        <f>((ARTICULOS_QUENTO[[#This Row],[P. Compra]]*(1+ARTICULOS_QUENTO[[#This Row],[IVA]]%))/ARTICULOS_QUENTO[[#This Row],[UnidFact]])+ARTICULOS_QUENTO[[#This Row],[CostoFlete]]</f>
        <v>0</v>
      </c>
      <c r="M11" s="26">
        <v>30</v>
      </c>
      <c r="N11" s="96">
        <f t="shared" si="1"/>
        <v>10</v>
      </c>
      <c r="O11" s="27">
        <f>MROUND((ARTICULOS_QUENTO[[#This Row],[Precio]]/0.6),10)</f>
        <v>20</v>
      </c>
      <c r="P11" s="26" t="s">
        <v>8693</v>
      </c>
      <c r="Q11" s="26">
        <v>3</v>
      </c>
      <c r="R11" s="27">
        <f>ARTICULOS_QUENTO[[#This Row],[Bulto]]+ARTICULOS_QUENTO[[#This Row],[Minimo]]</f>
        <v>15</v>
      </c>
      <c r="S11" s="26" t="s">
        <v>55</v>
      </c>
      <c r="T11" s="26" t="s">
        <v>10</v>
      </c>
      <c r="U11" s="26" t="s">
        <v>76</v>
      </c>
      <c r="V11" s="26" t="s">
        <v>10682</v>
      </c>
      <c r="W11" s="26" t="s">
        <v>8692</v>
      </c>
      <c r="X11" s="26">
        <v>1</v>
      </c>
      <c r="Y11" s="27"/>
      <c r="AB11" s="86">
        <f>ARTICULOS_QUENTO[[#This Row],[Costo]]*ARTICULOS_QUENTO[[#This Row],[Pedido]]</f>
        <v>0</v>
      </c>
      <c r="AH11" s="87" t="str">
        <f>IF(AND(ARTICULOS_QUENTO[[#This Row],[FechaVenc]]=0,ARTICULOS_QUENTO[[#This Row],[DiasVenc]]=0),"",ARTICULOS_QUENTO[[#This Row],[FechaVenc]]-ARTICULOS_QUENTO[[#This Row],[DiasVenc]])</f>
        <v/>
      </c>
      <c r="AO11" t="s">
        <v>8689</v>
      </c>
    </row>
    <row r="12" spans="1:43" x14ac:dyDescent="0.25">
      <c r="A12" s="1" t="s">
        <v>10696</v>
      </c>
      <c r="C12" t="str">
        <f t="shared" si="0"/>
        <v>ALM87211311</v>
      </c>
      <c r="D12" t="s">
        <v>8689</v>
      </c>
      <c r="E12" s="1" t="s">
        <v>12056</v>
      </c>
      <c r="F12" s="61">
        <v>1022</v>
      </c>
      <c r="G12" s="3">
        <v>0</v>
      </c>
      <c r="H12" s="4" t="s">
        <v>8690</v>
      </c>
      <c r="I12">
        <v>6</v>
      </c>
      <c r="J12">
        <v>1</v>
      </c>
      <c r="K12" s="3">
        <v>0</v>
      </c>
      <c r="L12" s="65">
        <f>((ARTICULOS_QUENTO[[#This Row],[P. Compra]]*(1+ARTICULOS_QUENTO[[#This Row],[IVA]]%))/ARTICULOS_QUENTO[[#This Row],[UnidFact]])+ARTICULOS_QUENTO[[#This Row],[CostoFlete]]</f>
        <v>1022</v>
      </c>
      <c r="M12">
        <v>30</v>
      </c>
      <c r="N12" s="63">
        <f t="shared" si="1"/>
        <v>1450</v>
      </c>
      <c r="O12" s="3">
        <f>MROUND((ARTICULOS_QUENTO[[#This Row],[Precio]]/0.6),10)</f>
        <v>2420</v>
      </c>
      <c r="P12" t="s">
        <v>8693</v>
      </c>
      <c r="Q12">
        <v>2</v>
      </c>
      <c r="R12" s="3">
        <f>ARTICULOS_QUENTO[[#This Row],[Bulto]]+ARTICULOS_QUENTO[[#This Row],[Minimo]]</f>
        <v>8</v>
      </c>
      <c r="S12" t="s">
        <v>55</v>
      </c>
      <c r="T12" t="s">
        <v>4</v>
      </c>
      <c r="U12" t="s">
        <v>102</v>
      </c>
      <c r="V12" t="s">
        <v>55</v>
      </c>
      <c r="W12" t="s">
        <v>8692</v>
      </c>
      <c r="X12">
        <v>1</v>
      </c>
      <c r="Z12"/>
      <c r="AB12" s="80">
        <f>ARTICULOS_QUENTO[[#This Row],[Costo]]*ARTICULOS_QUENTO[[#This Row],[Pedido]]</f>
        <v>0</v>
      </c>
      <c r="AD12"/>
      <c r="AH12" s="2" t="str">
        <f>IF(AND(ARTICULOS_QUENTO[[#This Row],[FechaVenc]]=0,ARTICULOS_QUENTO[[#This Row],[DiasVenc]]=0),"",ARTICULOS_QUENTO[[#This Row],[FechaVenc]]-ARTICULOS_QUENTO[[#This Row],[DiasVenc]])</f>
        <v/>
      </c>
      <c r="AK12"/>
      <c r="AM12"/>
      <c r="AO12" t="s">
        <v>8689</v>
      </c>
    </row>
    <row r="13" spans="1:43" x14ac:dyDescent="0.25">
      <c r="A13" s="1" t="s">
        <v>10697</v>
      </c>
      <c r="C13" t="str">
        <f t="shared" si="0"/>
        <v>ALM87211335</v>
      </c>
      <c r="D13" t="s">
        <v>8689</v>
      </c>
      <c r="E13" s="1" t="s">
        <v>12057</v>
      </c>
      <c r="F13" s="61">
        <f>F12</f>
        <v>1022</v>
      </c>
      <c r="G13" s="3">
        <v>0</v>
      </c>
      <c r="H13" s="4" t="s">
        <v>8690</v>
      </c>
      <c r="I13">
        <v>6</v>
      </c>
      <c r="J13">
        <v>1</v>
      </c>
      <c r="K13" s="3">
        <v>0</v>
      </c>
      <c r="L13" s="65">
        <f>((ARTICULOS_QUENTO[[#This Row],[P. Compra]]*(1+ARTICULOS_QUENTO[[#This Row],[IVA]]%))/ARTICULOS_QUENTO[[#This Row],[UnidFact]])+ARTICULOS_QUENTO[[#This Row],[CostoFlete]]</f>
        <v>1022</v>
      </c>
      <c r="M13">
        <v>30</v>
      </c>
      <c r="N13" s="63">
        <f t="shared" si="1"/>
        <v>1450</v>
      </c>
      <c r="O13" s="3">
        <f>MROUND((ARTICULOS_QUENTO[[#This Row],[Precio]]/0.6),10)</f>
        <v>2420</v>
      </c>
      <c r="P13" t="s">
        <v>8693</v>
      </c>
      <c r="Q13">
        <v>2</v>
      </c>
      <c r="R13" s="3">
        <f>ARTICULOS_QUENTO[[#This Row],[Bulto]]+ARTICULOS_QUENTO[[#This Row],[Minimo]]</f>
        <v>8</v>
      </c>
      <c r="S13" t="s">
        <v>55</v>
      </c>
      <c r="T13" t="s">
        <v>4</v>
      </c>
      <c r="U13" t="s">
        <v>102</v>
      </c>
      <c r="V13" t="s">
        <v>55</v>
      </c>
      <c r="W13" t="s">
        <v>8692</v>
      </c>
      <c r="X13">
        <v>1</v>
      </c>
      <c r="Z13"/>
      <c r="AB13" s="80">
        <f>ARTICULOS_QUENTO[[#This Row],[Costo]]*ARTICULOS_QUENTO[[#This Row],[Pedido]]</f>
        <v>0</v>
      </c>
      <c r="AD13"/>
      <c r="AH13" s="2" t="str">
        <f>IF(AND(ARTICULOS_QUENTO[[#This Row],[FechaVenc]]=0,ARTICULOS_QUENTO[[#This Row],[DiasVenc]]=0),"",ARTICULOS_QUENTO[[#This Row],[FechaVenc]]-ARTICULOS_QUENTO[[#This Row],[DiasVenc]])</f>
        <v/>
      </c>
      <c r="AK13"/>
      <c r="AM13"/>
      <c r="AO13" t="s">
        <v>8689</v>
      </c>
    </row>
    <row r="14" spans="1:43" x14ac:dyDescent="0.25">
      <c r="A14" s="1" t="s">
        <v>10698</v>
      </c>
      <c r="C14" t="str">
        <f t="shared" si="0"/>
        <v>ALM87210567</v>
      </c>
      <c r="D14" t="s">
        <v>8689</v>
      </c>
      <c r="E14" s="1" t="s">
        <v>10699</v>
      </c>
      <c r="F14" s="61">
        <f t="shared" ref="F14:F27" si="5">F13</f>
        <v>1022</v>
      </c>
      <c r="G14" s="3">
        <v>0</v>
      </c>
      <c r="H14" s="4" t="s">
        <v>8690</v>
      </c>
      <c r="I14">
        <v>6</v>
      </c>
      <c r="J14">
        <v>1</v>
      </c>
      <c r="K14" s="3">
        <v>0</v>
      </c>
      <c r="L14" s="65">
        <f>((ARTICULOS_QUENTO[[#This Row],[P. Compra]]*(1+ARTICULOS_QUENTO[[#This Row],[IVA]]%))/ARTICULOS_QUENTO[[#This Row],[UnidFact]])+ARTICULOS_QUENTO[[#This Row],[CostoFlete]]</f>
        <v>1022</v>
      </c>
      <c r="M14">
        <v>30</v>
      </c>
      <c r="N14" s="63">
        <f t="shared" si="1"/>
        <v>1450</v>
      </c>
      <c r="O14" s="3">
        <f>MROUND((ARTICULOS_QUENTO[[#This Row],[Precio]]/0.6),10)</f>
        <v>2420</v>
      </c>
      <c r="P14" t="s">
        <v>8693</v>
      </c>
      <c r="Q14">
        <v>2</v>
      </c>
      <c r="R14" s="3">
        <f>ARTICULOS_QUENTO[[#This Row],[Bulto]]+ARTICULOS_QUENTO[[#This Row],[Minimo]]</f>
        <v>8</v>
      </c>
      <c r="S14" t="s">
        <v>55</v>
      </c>
      <c r="T14" t="s">
        <v>4</v>
      </c>
      <c r="U14" t="s">
        <v>102</v>
      </c>
      <c r="V14" t="s">
        <v>55</v>
      </c>
      <c r="W14" t="s">
        <v>8692</v>
      </c>
      <c r="X14">
        <v>1</v>
      </c>
      <c r="Z14"/>
      <c r="AB14" s="80">
        <f>ARTICULOS_QUENTO[[#This Row],[Costo]]*ARTICULOS_QUENTO[[#This Row],[Pedido]]</f>
        <v>0</v>
      </c>
      <c r="AD14"/>
      <c r="AH14" s="2" t="str">
        <f>IF(AND(ARTICULOS_QUENTO[[#This Row],[FechaVenc]]=0,ARTICULOS_QUENTO[[#This Row],[DiasVenc]]=0),"",ARTICULOS_QUENTO[[#This Row],[FechaVenc]]-ARTICULOS_QUENTO[[#This Row],[DiasVenc]])</f>
        <v/>
      </c>
      <c r="AK14"/>
      <c r="AM14"/>
      <c r="AO14" t="s">
        <v>8689</v>
      </c>
    </row>
    <row r="15" spans="1:43" x14ac:dyDescent="0.25">
      <c r="A15" s="1" t="s">
        <v>10700</v>
      </c>
      <c r="C15" t="str">
        <f t="shared" si="0"/>
        <v>ALM87211465</v>
      </c>
      <c r="D15" t="s">
        <v>8689</v>
      </c>
      <c r="E15" s="1" t="s">
        <v>10701</v>
      </c>
      <c r="F15" s="61">
        <f t="shared" si="5"/>
        <v>1022</v>
      </c>
      <c r="G15" s="3">
        <v>0</v>
      </c>
      <c r="H15" s="4" t="s">
        <v>8690</v>
      </c>
      <c r="I15">
        <v>6</v>
      </c>
      <c r="J15">
        <v>1</v>
      </c>
      <c r="K15" s="3">
        <v>0</v>
      </c>
      <c r="L15" s="65">
        <f>((ARTICULOS_QUENTO[[#This Row],[P. Compra]]*(1+ARTICULOS_QUENTO[[#This Row],[IVA]]%))/ARTICULOS_QUENTO[[#This Row],[UnidFact]])+ARTICULOS_QUENTO[[#This Row],[CostoFlete]]</f>
        <v>1022</v>
      </c>
      <c r="M15">
        <v>30</v>
      </c>
      <c r="N15" s="63">
        <f t="shared" si="1"/>
        <v>1450</v>
      </c>
      <c r="O15" s="3">
        <f>MROUND((ARTICULOS_QUENTO[[#This Row],[Precio]]/0.6),10)</f>
        <v>2420</v>
      </c>
      <c r="P15" t="s">
        <v>8693</v>
      </c>
      <c r="Q15">
        <v>2</v>
      </c>
      <c r="R15" s="3">
        <f>ARTICULOS_QUENTO[[#This Row],[Bulto]]+ARTICULOS_QUENTO[[#This Row],[Minimo]]</f>
        <v>8</v>
      </c>
      <c r="S15" t="s">
        <v>55</v>
      </c>
      <c r="T15" t="s">
        <v>4</v>
      </c>
      <c r="U15" t="s">
        <v>102</v>
      </c>
      <c r="V15" t="s">
        <v>55</v>
      </c>
      <c r="W15" t="s">
        <v>8692</v>
      </c>
      <c r="X15">
        <v>1</v>
      </c>
      <c r="Z15"/>
      <c r="AB15" s="80">
        <f>ARTICULOS_QUENTO[[#This Row],[Costo]]*ARTICULOS_QUENTO[[#This Row],[Pedido]]</f>
        <v>0</v>
      </c>
      <c r="AD15"/>
      <c r="AH15" s="2" t="str">
        <f>IF(AND(ARTICULOS_QUENTO[[#This Row],[FechaVenc]]=0,ARTICULOS_QUENTO[[#This Row],[DiasVenc]]=0),"",ARTICULOS_QUENTO[[#This Row],[FechaVenc]]-ARTICULOS_QUENTO[[#This Row],[DiasVenc]])</f>
        <v/>
      </c>
      <c r="AK15"/>
      <c r="AM15"/>
      <c r="AO15" t="s">
        <v>8689</v>
      </c>
    </row>
    <row r="16" spans="1:43" x14ac:dyDescent="0.25">
      <c r="A16" s="1" t="s">
        <v>10702</v>
      </c>
      <c r="C16" t="str">
        <f t="shared" si="0"/>
        <v>ALM87211816</v>
      </c>
      <c r="D16" t="s">
        <v>8689</v>
      </c>
      <c r="E16" s="1" t="s">
        <v>10703</v>
      </c>
      <c r="F16" s="61">
        <f t="shared" si="5"/>
        <v>1022</v>
      </c>
      <c r="G16" s="3">
        <v>0</v>
      </c>
      <c r="H16" s="4" t="s">
        <v>8690</v>
      </c>
      <c r="I16">
        <v>6</v>
      </c>
      <c r="J16">
        <v>1</v>
      </c>
      <c r="K16" s="3">
        <v>0</v>
      </c>
      <c r="L16" s="65">
        <f>((ARTICULOS_QUENTO[[#This Row],[P. Compra]]*(1+ARTICULOS_QUENTO[[#This Row],[IVA]]%))/ARTICULOS_QUENTO[[#This Row],[UnidFact]])+ARTICULOS_QUENTO[[#This Row],[CostoFlete]]</f>
        <v>1022</v>
      </c>
      <c r="M16">
        <v>30</v>
      </c>
      <c r="N16" s="63">
        <f t="shared" si="1"/>
        <v>1450</v>
      </c>
      <c r="O16" s="3">
        <f>MROUND((ARTICULOS_QUENTO[[#This Row],[Precio]]/0.6),10)</f>
        <v>2420</v>
      </c>
      <c r="P16" t="s">
        <v>8693</v>
      </c>
      <c r="Q16">
        <v>2</v>
      </c>
      <c r="R16" s="3">
        <f>ARTICULOS_QUENTO[[#This Row],[Bulto]]+ARTICULOS_QUENTO[[#This Row],[Minimo]]</f>
        <v>8</v>
      </c>
      <c r="S16" t="s">
        <v>55</v>
      </c>
      <c r="T16" t="s">
        <v>4</v>
      </c>
      <c r="U16" t="s">
        <v>102</v>
      </c>
      <c r="V16" t="s">
        <v>55</v>
      </c>
      <c r="W16" t="s">
        <v>8692</v>
      </c>
      <c r="X16">
        <v>1</v>
      </c>
      <c r="Z16"/>
      <c r="AB16" s="80">
        <f>ARTICULOS_QUENTO[[#This Row],[Costo]]*ARTICULOS_QUENTO[[#This Row],[Pedido]]</f>
        <v>0</v>
      </c>
      <c r="AD16"/>
      <c r="AH16" s="2" t="str">
        <f>IF(AND(ARTICULOS_QUENTO[[#This Row],[FechaVenc]]=0,ARTICULOS_QUENTO[[#This Row],[DiasVenc]]=0),"",ARTICULOS_QUENTO[[#This Row],[FechaVenc]]-ARTICULOS_QUENTO[[#This Row],[DiasVenc]])</f>
        <v/>
      </c>
      <c r="AK16"/>
      <c r="AM16"/>
      <c r="AO16" t="s">
        <v>8689</v>
      </c>
    </row>
    <row r="17" spans="1:41" x14ac:dyDescent="0.25">
      <c r="A17" s="1" t="s">
        <v>10704</v>
      </c>
      <c r="C17" t="str">
        <f t="shared" si="0"/>
        <v>ALM87211427</v>
      </c>
      <c r="D17" t="s">
        <v>8689</v>
      </c>
      <c r="E17" s="1" t="s">
        <v>10705</v>
      </c>
      <c r="F17" s="61">
        <f t="shared" si="5"/>
        <v>1022</v>
      </c>
      <c r="G17" s="3">
        <v>0</v>
      </c>
      <c r="H17" s="4" t="s">
        <v>8690</v>
      </c>
      <c r="I17">
        <v>6</v>
      </c>
      <c r="J17">
        <v>1</v>
      </c>
      <c r="K17" s="3">
        <v>0</v>
      </c>
      <c r="L17" s="65">
        <f>((ARTICULOS_QUENTO[[#This Row],[P. Compra]]*(1+ARTICULOS_QUENTO[[#This Row],[IVA]]%))/ARTICULOS_QUENTO[[#This Row],[UnidFact]])+ARTICULOS_QUENTO[[#This Row],[CostoFlete]]</f>
        <v>1022</v>
      </c>
      <c r="M17">
        <v>30</v>
      </c>
      <c r="N17" s="63">
        <f t="shared" si="1"/>
        <v>1450</v>
      </c>
      <c r="O17" s="3">
        <f>MROUND((ARTICULOS_QUENTO[[#This Row],[Precio]]/0.6),10)</f>
        <v>2420</v>
      </c>
      <c r="P17" t="s">
        <v>8693</v>
      </c>
      <c r="Q17">
        <v>2</v>
      </c>
      <c r="R17" s="3">
        <f>ARTICULOS_QUENTO[[#This Row],[Bulto]]+ARTICULOS_QUENTO[[#This Row],[Minimo]]</f>
        <v>8</v>
      </c>
      <c r="S17" t="s">
        <v>55</v>
      </c>
      <c r="T17" t="s">
        <v>4</v>
      </c>
      <c r="U17" t="s">
        <v>102</v>
      </c>
      <c r="V17" t="s">
        <v>55</v>
      </c>
      <c r="W17" t="s">
        <v>8692</v>
      </c>
      <c r="X17">
        <v>1</v>
      </c>
      <c r="Z17"/>
      <c r="AB17" s="80">
        <f>ARTICULOS_QUENTO[[#This Row],[Costo]]*ARTICULOS_QUENTO[[#This Row],[Pedido]]</f>
        <v>0</v>
      </c>
      <c r="AD17"/>
      <c r="AH17" s="2" t="str">
        <f>IF(AND(ARTICULOS_QUENTO[[#This Row],[FechaVenc]]=0,ARTICULOS_QUENTO[[#This Row],[DiasVenc]]=0),"",ARTICULOS_QUENTO[[#This Row],[FechaVenc]]-ARTICULOS_QUENTO[[#This Row],[DiasVenc]])</f>
        <v/>
      </c>
      <c r="AK17"/>
      <c r="AM17"/>
      <c r="AO17" t="s">
        <v>8689</v>
      </c>
    </row>
    <row r="18" spans="1:41" x14ac:dyDescent="0.25">
      <c r="A18" s="1" t="s">
        <v>10706</v>
      </c>
      <c r="C18" t="str">
        <f t="shared" si="0"/>
        <v>ALM87211328</v>
      </c>
      <c r="D18" t="s">
        <v>8689</v>
      </c>
      <c r="E18" s="1" t="s">
        <v>10707</v>
      </c>
      <c r="F18" s="61">
        <f t="shared" si="5"/>
        <v>1022</v>
      </c>
      <c r="G18" s="3">
        <v>0</v>
      </c>
      <c r="H18" s="4" t="s">
        <v>8690</v>
      </c>
      <c r="I18">
        <v>6</v>
      </c>
      <c r="J18">
        <v>1</v>
      </c>
      <c r="K18" s="3">
        <v>0</v>
      </c>
      <c r="L18" s="65">
        <f>((ARTICULOS_QUENTO[[#This Row],[P. Compra]]*(1+ARTICULOS_QUENTO[[#This Row],[IVA]]%))/ARTICULOS_QUENTO[[#This Row],[UnidFact]])+ARTICULOS_QUENTO[[#This Row],[CostoFlete]]</f>
        <v>1022</v>
      </c>
      <c r="M18">
        <v>30</v>
      </c>
      <c r="N18" s="63">
        <f t="shared" si="1"/>
        <v>1450</v>
      </c>
      <c r="O18" s="3">
        <f>MROUND((ARTICULOS_QUENTO[[#This Row],[Precio]]/0.6),10)</f>
        <v>2420</v>
      </c>
      <c r="P18" t="s">
        <v>8693</v>
      </c>
      <c r="Q18">
        <v>2</v>
      </c>
      <c r="R18" s="3">
        <f>ARTICULOS_QUENTO[[#This Row],[Bulto]]+ARTICULOS_QUENTO[[#This Row],[Minimo]]</f>
        <v>8</v>
      </c>
      <c r="S18" t="s">
        <v>55</v>
      </c>
      <c r="T18" t="s">
        <v>4</v>
      </c>
      <c r="U18" t="s">
        <v>102</v>
      </c>
      <c r="V18" t="s">
        <v>55</v>
      </c>
      <c r="W18" t="s">
        <v>8692</v>
      </c>
      <c r="X18">
        <v>1</v>
      </c>
      <c r="Z18"/>
      <c r="AB18" s="80">
        <f>ARTICULOS_QUENTO[[#This Row],[Costo]]*ARTICULOS_QUENTO[[#This Row],[Pedido]]</f>
        <v>0</v>
      </c>
      <c r="AD18"/>
      <c r="AH18" s="2" t="str">
        <f>IF(AND(ARTICULOS_QUENTO[[#This Row],[FechaVenc]]=0,ARTICULOS_QUENTO[[#This Row],[DiasVenc]]=0),"",ARTICULOS_QUENTO[[#This Row],[FechaVenc]]-ARTICULOS_QUENTO[[#This Row],[DiasVenc]])</f>
        <v/>
      </c>
      <c r="AK18"/>
      <c r="AM18"/>
      <c r="AO18" t="s">
        <v>8689</v>
      </c>
    </row>
    <row r="19" spans="1:41" x14ac:dyDescent="0.25">
      <c r="A19" s="1" t="s">
        <v>10708</v>
      </c>
      <c r="C19" t="str">
        <f t="shared" si="0"/>
        <v>ALM87211786</v>
      </c>
      <c r="D19" t="s">
        <v>8689</v>
      </c>
      <c r="E19" s="1" t="s">
        <v>10709</v>
      </c>
      <c r="F19" s="61">
        <f t="shared" si="5"/>
        <v>1022</v>
      </c>
      <c r="G19" s="3">
        <v>0</v>
      </c>
      <c r="H19" s="4" t="s">
        <v>8690</v>
      </c>
      <c r="I19">
        <v>6</v>
      </c>
      <c r="J19">
        <v>1</v>
      </c>
      <c r="K19" s="3">
        <v>0</v>
      </c>
      <c r="L19" s="65">
        <f>((ARTICULOS_QUENTO[[#This Row],[P. Compra]]*(1+ARTICULOS_QUENTO[[#This Row],[IVA]]%))/ARTICULOS_QUENTO[[#This Row],[UnidFact]])+ARTICULOS_QUENTO[[#This Row],[CostoFlete]]</f>
        <v>1022</v>
      </c>
      <c r="M19">
        <v>30</v>
      </c>
      <c r="N19" s="63">
        <f t="shared" si="1"/>
        <v>1450</v>
      </c>
      <c r="O19" s="3">
        <f>MROUND((ARTICULOS_QUENTO[[#This Row],[Precio]]/0.6),10)</f>
        <v>2420</v>
      </c>
      <c r="P19" t="s">
        <v>8693</v>
      </c>
      <c r="Q19">
        <v>2</v>
      </c>
      <c r="R19" s="3">
        <f>ARTICULOS_QUENTO[[#This Row],[Bulto]]+ARTICULOS_QUENTO[[#This Row],[Minimo]]</f>
        <v>8</v>
      </c>
      <c r="S19" t="s">
        <v>55</v>
      </c>
      <c r="T19" t="s">
        <v>4</v>
      </c>
      <c r="U19" t="s">
        <v>102</v>
      </c>
      <c r="V19" t="s">
        <v>55</v>
      </c>
      <c r="W19" t="s">
        <v>8692</v>
      </c>
      <c r="X19">
        <v>1</v>
      </c>
      <c r="Z19"/>
      <c r="AB19" s="80">
        <f>ARTICULOS_QUENTO[[#This Row],[Costo]]*ARTICULOS_QUENTO[[#This Row],[Pedido]]</f>
        <v>0</v>
      </c>
      <c r="AD19"/>
      <c r="AH19" s="2" t="str">
        <f>IF(AND(ARTICULOS_QUENTO[[#This Row],[FechaVenc]]=0,ARTICULOS_QUENTO[[#This Row],[DiasVenc]]=0),"",ARTICULOS_QUENTO[[#This Row],[FechaVenc]]-ARTICULOS_QUENTO[[#This Row],[DiasVenc]])</f>
        <v/>
      </c>
      <c r="AK19"/>
      <c r="AM19"/>
      <c r="AO19" t="s">
        <v>8689</v>
      </c>
    </row>
    <row r="20" spans="1:41" x14ac:dyDescent="0.25">
      <c r="A20" s="1" t="s">
        <v>10710</v>
      </c>
      <c r="C20" t="str">
        <f t="shared" si="0"/>
        <v>ALM87211298</v>
      </c>
      <c r="D20" t="s">
        <v>8689</v>
      </c>
      <c r="E20" s="1" t="s">
        <v>10711</v>
      </c>
      <c r="F20" s="61">
        <f t="shared" si="5"/>
        <v>1022</v>
      </c>
      <c r="G20" s="3">
        <v>0</v>
      </c>
      <c r="H20" s="4" t="s">
        <v>8690</v>
      </c>
      <c r="I20">
        <v>6</v>
      </c>
      <c r="J20">
        <v>1</v>
      </c>
      <c r="K20" s="3">
        <v>0</v>
      </c>
      <c r="L20" s="65">
        <f>((ARTICULOS_QUENTO[[#This Row],[P. Compra]]*(1+ARTICULOS_QUENTO[[#This Row],[IVA]]%))/ARTICULOS_QUENTO[[#This Row],[UnidFact]])+ARTICULOS_QUENTO[[#This Row],[CostoFlete]]</f>
        <v>1022</v>
      </c>
      <c r="M20">
        <v>30</v>
      </c>
      <c r="N20" s="63">
        <f t="shared" si="1"/>
        <v>1450</v>
      </c>
      <c r="O20" s="3">
        <f>MROUND((ARTICULOS_QUENTO[[#This Row],[Precio]]/0.6),10)</f>
        <v>2420</v>
      </c>
      <c r="P20" t="s">
        <v>8693</v>
      </c>
      <c r="Q20">
        <v>2</v>
      </c>
      <c r="R20" s="3">
        <f>ARTICULOS_QUENTO[[#This Row],[Bulto]]+ARTICULOS_QUENTO[[#This Row],[Minimo]]</f>
        <v>8</v>
      </c>
      <c r="S20" t="s">
        <v>55</v>
      </c>
      <c r="T20" t="s">
        <v>4</v>
      </c>
      <c r="U20" t="s">
        <v>102</v>
      </c>
      <c r="V20" t="s">
        <v>55</v>
      </c>
      <c r="W20" t="s">
        <v>8692</v>
      </c>
      <c r="X20">
        <v>1</v>
      </c>
      <c r="Z20"/>
      <c r="AB20" s="80">
        <f>ARTICULOS_QUENTO[[#This Row],[Costo]]*ARTICULOS_QUENTO[[#This Row],[Pedido]]</f>
        <v>0</v>
      </c>
      <c r="AD20"/>
      <c r="AH20" s="2" t="str">
        <f>IF(AND(ARTICULOS_QUENTO[[#This Row],[FechaVenc]]=0,ARTICULOS_QUENTO[[#This Row],[DiasVenc]]=0),"",ARTICULOS_QUENTO[[#This Row],[FechaVenc]]-ARTICULOS_QUENTO[[#This Row],[DiasVenc]])</f>
        <v/>
      </c>
      <c r="AK20"/>
      <c r="AM20"/>
      <c r="AO20" t="s">
        <v>8689</v>
      </c>
    </row>
    <row r="21" spans="1:41" x14ac:dyDescent="0.25">
      <c r="A21" s="1" t="s">
        <v>10712</v>
      </c>
      <c r="C21" t="str">
        <f t="shared" si="0"/>
        <v>ALM87211281</v>
      </c>
      <c r="D21" t="s">
        <v>8689</v>
      </c>
      <c r="E21" s="1" t="s">
        <v>10713</v>
      </c>
      <c r="F21" s="61">
        <f t="shared" si="5"/>
        <v>1022</v>
      </c>
      <c r="G21" s="3">
        <v>0</v>
      </c>
      <c r="H21" s="4" t="s">
        <v>8690</v>
      </c>
      <c r="I21">
        <v>6</v>
      </c>
      <c r="J21">
        <v>1</v>
      </c>
      <c r="K21" s="3">
        <v>0</v>
      </c>
      <c r="L21" s="65">
        <f>((ARTICULOS_QUENTO[[#This Row],[P. Compra]]*(1+ARTICULOS_QUENTO[[#This Row],[IVA]]%))/ARTICULOS_QUENTO[[#This Row],[UnidFact]])+ARTICULOS_QUENTO[[#This Row],[CostoFlete]]</f>
        <v>1022</v>
      </c>
      <c r="M21">
        <v>30</v>
      </c>
      <c r="N21" s="63">
        <f t="shared" si="1"/>
        <v>1450</v>
      </c>
      <c r="O21" s="3">
        <f>MROUND((ARTICULOS_QUENTO[[#This Row],[Precio]]/0.6),10)</f>
        <v>2420</v>
      </c>
      <c r="P21" t="s">
        <v>8693</v>
      </c>
      <c r="Q21">
        <v>2</v>
      </c>
      <c r="R21" s="3">
        <f>ARTICULOS_QUENTO[[#This Row],[Bulto]]+ARTICULOS_QUENTO[[#This Row],[Minimo]]</f>
        <v>8</v>
      </c>
      <c r="S21" t="s">
        <v>55</v>
      </c>
      <c r="T21" t="s">
        <v>4</v>
      </c>
      <c r="U21" t="s">
        <v>102</v>
      </c>
      <c r="V21" t="s">
        <v>55</v>
      </c>
      <c r="W21" t="s">
        <v>8692</v>
      </c>
      <c r="X21">
        <v>1</v>
      </c>
      <c r="Z21"/>
      <c r="AB21" s="80">
        <f>ARTICULOS_QUENTO[[#This Row],[Costo]]*ARTICULOS_QUENTO[[#This Row],[Pedido]]</f>
        <v>0</v>
      </c>
      <c r="AD21"/>
      <c r="AH21" s="2" t="str">
        <f>IF(AND(ARTICULOS_QUENTO[[#This Row],[FechaVenc]]=0,ARTICULOS_QUENTO[[#This Row],[DiasVenc]]=0),"",ARTICULOS_QUENTO[[#This Row],[FechaVenc]]-ARTICULOS_QUENTO[[#This Row],[DiasVenc]])</f>
        <v/>
      </c>
      <c r="AK21"/>
      <c r="AM21"/>
      <c r="AO21" t="s">
        <v>8689</v>
      </c>
    </row>
    <row r="22" spans="1:41" x14ac:dyDescent="0.25">
      <c r="A22" s="1" t="s">
        <v>10714</v>
      </c>
      <c r="C22" t="str">
        <f t="shared" si="0"/>
        <v>ALM87211304</v>
      </c>
      <c r="D22" t="s">
        <v>8689</v>
      </c>
      <c r="E22" s="1" t="s">
        <v>10715</v>
      </c>
      <c r="F22" s="61">
        <f t="shared" si="5"/>
        <v>1022</v>
      </c>
      <c r="G22" s="3">
        <v>0</v>
      </c>
      <c r="H22" s="4" t="s">
        <v>8690</v>
      </c>
      <c r="I22">
        <v>6</v>
      </c>
      <c r="J22">
        <v>1</v>
      </c>
      <c r="K22" s="3">
        <v>0</v>
      </c>
      <c r="L22" s="65">
        <f>((ARTICULOS_QUENTO[[#This Row],[P. Compra]]*(1+ARTICULOS_QUENTO[[#This Row],[IVA]]%))/ARTICULOS_QUENTO[[#This Row],[UnidFact]])+ARTICULOS_QUENTO[[#This Row],[CostoFlete]]</f>
        <v>1022</v>
      </c>
      <c r="M22">
        <v>30</v>
      </c>
      <c r="N22" s="63">
        <f t="shared" si="1"/>
        <v>1450</v>
      </c>
      <c r="O22" s="3">
        <f>MROUND((ARTICULOS_QUENTO[[#This Row],[Precio]]/0.6),10)</f>
        <v>2420</v>
      </c>
      <c r="P22" t="s">
        <v>8693</v>
      </c>
      <c r="Q22">
        <v>2</v>
      </c>
      <c r="R22" s="3">
        <f>ARTICULOS_QUENTO[[#This Row],[Bulto]]+ARTICULOS_QUENTO[[#This Row],[Minimo]]</f>
        <v>8</v>
      </c>
      <c r="S22" t="s">
        <v>55</v>
      </c>
      <c r="T22" t="s">
        <v>4</v>
      </c>
      <c r="U22" t="s">
        <v>102</v>
      </c>
      <c r="V22" t="s">
        <v>55</v>
      </c>
      <c r="W22" t="s">
        <v>8692</v>
      </c>
      <c r="X22">
        <v>1</v>
      </c>
      <c r="Z22"/>
      <c r="AB22" s="80">
        <f>ARTICULOS_QUENTO[[#This Row],[Costo]]*ARTICULOS_QUENTO[[#This Row],[Pedido]]</f>
        <v>0</v>
      </c>
      <c r="AD22"/>
      <c r="AH22" s="2" t="str">
        <f>IF(AND(ARTICULOS_QUENTO[[#This Row],[FechaVenc]]=0,ARTICULOS_QUENTO[[#This Row],[DiasVenc]]=0),"",ARTICULOS_QUENTO[[#This Row],[FechaVenc]]-ARTICULOS_QUENTO[[#This Row],[DiasVenc]])</f>
        <v/>
      </c>
      <c r="AK22"/>
      <c r="AM22"/>
      <c r="AO22" t="s">
        <v>8689</v>
      </c>
    </row>
    <row r="23" spans="1:41" x14ac:dyDescent="0.25">
      <c r="A23" s="1" t="s">
        <v>10716</v>
      </c>
      <c r="C23" t="str">
        <f t="shared" si="0"/>
        <v>ALM87211564</v>
      </c>
      <c r="D23" t="s">
        <v>8689</v>
      </c>
      <c r="E23" s="1" t="s">
        <v>10717</v>
      </c>
      <c r="F23" s="61">
        <f t="shared" si="5"/>
        <v>1022</v>
      </c>
      <c r="G23" s="3">
        <v>0</v>
      </c>
      <c r="H23" s="4" t="s">
        <v>8690</v>
      </c>
      <c r="I23">
        <v>6</v>
      </c>
      <c r="J23">
        <v>1</v>
      </c>
      <c r="K23" s="3">
        <v>0</v>
      </c>
      <c r="L23" s="65">
        <f>((ARTICULOS_QUENTO[[#This Row],[P. Compra]]*(1+ARTICULOS_QUENTO[[#This Row],[IVA]]%))/ARTICULOS_QUENTO[[#This Row],[UnidFact]])+ARTICULOS_QUENTO[[#This Row],[CostoFlete]]</f>
        <v>1022</v>
      </c>
      <c r="M23">
        <v>30</v>
      </c>
      <c r="N23" s="63">
        <f t="shared" si="1"/>
        <v>1450</v>
      </c>
      <c r="O23" s="3">
        <f>MROUND((ARTICULOS_QUENTO[[#This Row],[Precio]]/0.6),10)</f>
        <v>2420</v>
      </c>
      <c r="P23" t="s">
        <v>8693</v>
      </c>
      <c r="Q23">
        <v>2</v>
      </c>
      <c r="R23" s="3">
        <f>ARTICULOS_QUENTO[[#This Row],[Bulto]]+ARTICULOS_QUENTO[[#This Row],[Minimo]]</f>
        <v>8</v>
      </c>
      <c r="S23" t="s">
        <v>55</v>
      </c>
      <c r="T23" t="s">
        <v>4</v>
      </c>
      <c r="U23" t="s">
        <v>102</v>
      </c>
      <c r="V23" t="s">
        <v>55</v>
      </c>
      <c r="W23" t="s">
        <v>8692</v>
      </c>
      <c r="X23">
        <v>1</v>
      </c>
      <c r="Z23"/>
      <c r="AB23" s="80">
        <f>ARTICULOS_QUENTO[[#This Row],[Costo]]*ARTICULOS_QUENTO[[#This Row],[Pedido]]</f>
        <v>0</v>
      </c>
      <c r="AD23"/>
      <c r="AH23" s="2" t="str">
        <f>IF(AND(ARTICULOS_QUENTO[[#This Row],[FechaVenc]]=0,ARTICULOS_QUENTO[[#This Row],[DiasVenc]]=0),"",ARTICULOS_QUENTO[[#This Row],[FechaVenc]]-ARTICULOS_QUENTO[[#This Row],[DiasVenc]])</f>
        <v/>
      </c>
      <c r="AK23"/>
      <c r="AM23"/>
      <c r="AO23" t="s">
        <v>8689</v>
      </c>
    </row>
    <row r="24" spans="1:41" x14ac:dyDescent="0.25">
      <c r="A24" s="1" t="s">
        <v>10718</v>
      </c>
      <c r="C24" t="str">
        <f t="shared" si="0"/>
        <v>ALM87211571</v>
      </c>
      <c r="D24" t="s">
        <v>8689</v>
      </c>
      <c r="E24" s="1" t="s">
        <v>10719</v>
      </c>
      <c r="F24" s="61">
        <f t="shared" si="5"/>
        <v>1022</v>
      </c>
      <c r="G24" s="3">
        <v>0</v>
      </c>
      <c r="H24" s="4" t="s">
        <v>8690</v>
      </c>
      <c r="I24">
        <v>6</v>
      </c>
      <c r="J24">
        <v>1</v>
      </c>
      <c r="K24" s="3">
        <v>0</v>
      </c>
      <c r="L24" s="65">
        <f>((ARTICULOS_QUENTO[[#This Row],[P. Compra]]*(1+ARTICULOS_QUENTO[[#This Row],[IVA]]%))/ARTICULOS_QUENTO[[#This Row],[UnidFact]])+ARTICULOS_QUENTO[[#This Row],[CostoFlete]]</f>
        <v>1022</v>
      </c>
      <c r="M24">
        <v>30</v>
      </c>
      <c r="N24" s="63">
        <f t="shared" si="1"/>
        <v>1450</v>
      </c>
      <c r="O24" s="3">
        <f>MROUND((ARTICULOS_QUENTO[[#This Row],[Precio]]/0.6),10)</f>
        <v>2420</v>
      </c>
      <c r="P24" t="s">
        <v>8693</v>
      </c>
      <c r="Q24">
        <v>2</v>
      </c>
      <c r="R24" s="3">
        <f>ARTICULOS_QUENTO[[#This Row],[Bulto]]+ARTICULOS_QUENTO[[#This Row],[Minimo]]</f>
        <v>8</v>
      </c>
      <c r="S24" t="s">
        <v>55</v>
      </c>
      <c r="T24" t="s">
        <v>4</v>
      </c>
      <c r="U24" t="s">
        <v>102</v>
      </c>
      <c r="V24" t="s">
        <v>55</v>
      </c>
      <c r="W24" t="s">
        <v>8692</v>
      </c>
      <c r="X24">
        <v>1</v>
      </c>
      <c r="Z24"/>
      <c r="AB24" s="80">
        <f>ARTICULOS_QUENTO[[#This Row],[Costo]]*ARTICULOS_QUENTO[[#This Row],[Pedido]]</f>
        <v>0</v>
      </c>
      <c r="AD24"/>
      <c r="AH24" s="2" t="str">
        <f>IF(AND(ARTICULOS_QUENTO[[#This Row],[FechaVenc]]=0,ARTICULOS_QUENTO[[#This Row],[DiasVenc]]=0),"",ARTICULOS_QUENTO[[#This Row],[FechaVenc]]-ARTICULOS_QUENTO[[#This Row],[DiasVenc]])</f>
        <v/>
      </c>
      <c r="AK24"/>
      <c r="AM24"/>
      <c r="AO24" t="s">
        <v>8689</v>
      </c>
    </row>
    <row r="25" spans="1:41" x14ac:dyDescent="0.25">
      <c r="A25" s="1" t="s">
        <v>10720</v>
      </c>
      <c r="C25" t="str">
        <f t="shared" si="0"/>
        <v>ALM87211410</v>
      </c>
      <c r="D25" t="s">
        <v>8689</v>
      </c>
      <c r="E25" s="1" t="s">
        <v>10721</v>
      </c>
      <c r="F25" s="61">
        <f t="shared" si="5"/>
        <v>1022</v>
      </c>
      <c r="G25" s="3">
        <v>0</v>
      </c>
      <c r="H25" s="4" t="s">
        <v>8690</v>
      </c>
      <c r="I25">
        <v>6</v>
      </c>
      <c r="J25">
        <v>1</v>
      </c>
      <c r="K25" s="3">
        <v>0</v>
      </c>
      <c r="L25" s="65">
        <f>((ARTICULOS_QUENTO[[#This Row],[P. Compra]]*(1+ARTICULOS_QUENTO[[#This Row],[IVA]]%))/ARTICULOS_QUENTO[[#This Row],[UnidFact]])+ARTICULOS_QUENTO[[#This Row],[CostoFlete]]</f>
        <v>1022</v>
      </c>
      <c r="M25">
        <v>30</v>
      </c>
      <c r="N25" s="63">
        <f t="shared" si="1"/>
        <v>1450</v>
      </c>
      <c r="O25" s="3">
        <f>MROUND((ARTICULOS_QUENTO[[#This Row],[Precio]]/0.6),10)</f>
        <v>2420</v>
      </c>
      <c r="P25" t="s">
        <v>8693</v>
      </c>
      <c r="Q25">
        <v>2</v>
      </c>
      <c r="R25" s="3">
        <f>ARTICULOS_QUENTO[[#This Row],[Bulto]]+ARTICULOS_QUENTO[[#This Row],[Minimo]]</f>
        <v>8</v>
      </c>
      <c r="S25" t="s">
        <v>55</v>
      </c>
      <c r="T25" t="s">
        <v>4</v>
      </c>
      <c r="U25" t="s">
        <v>102</v>
      </c>
      <c r="V25" t="s">
        <v>55</v>
      </c>
      <c r="W25" t="s">
        <v>8692</v>
      </c>
      <c r="X25">
        <v>1</v>
      </c>
      <c r="Z25"/>
      <c r="AB25" s="80">
        <f>ARTICULOS_QUENTO[[#This Row],[Costo]]*ARTICULOS_QUENTO[[#This Row],[Pedido]]</f>
        <v>0</v>
      </c>
      <c r="AD25"/>
      <c r="AH25" s="2" t="str">
        <f>IF(AND(ARTICULOS_QUENTO[[#This Row],[FechaVenc]]=0,ARTICULOS_QUENTO[[#This Row],[DiasVenc]]=0),"",ARTICULOS_QUENTO[[#This Row],[FechaVenc]]-ARTICULOS_QUENTO[[#This Row],[DiasVenc]])</f>
        <v/>
      </c>
      <c r="AK25"/>
      <c r="AM25"/>
      <c r="AO25" t="s">
        <v>8689</v>
      </c>
    </row>
    <row r="26" spans="1:41" x14ac:dyDescent="0.25">
      <c r="A26" s="1" t="s">
        <v>12047</v>
      </c>
      <c r="C26" t="str">
        <f t="shared" ref="C26:C27" si="6">CONCATENATE(LEFT(T26,3),RIGHT(A26,8))</f>
        <v>ALM87211946</v>
      </c>
      <c r="D26" t="s">
        <v>8689</v>
      </c>
      <c r="E26" s="1" t="s">
        <v>12048</v>
      </c>
      <c r="F26" s="61">
        <f t="shared" si="5"/>
        <v>1022</v>
      </c>
      <c r="G26" s="3">
        <v>0</v>
      </c>
      <c r="H26" s="4" t="s">
        <v>8690</v>
      </c>
      <c r="I26">
        <v>6</v>
      </c>
      <c r="J26">
        <v>1</v>
      </c>
      <c r="K26" s="3">
        <v>0</v>
      </c>
      <c r="L26" s="65">
        <f>((ARTICULOS_QUENTO[[#This Row],[P. Compra]]*(1+ARTICULOS_QUENTO[[#This Row],[IVA]]%))/ARTICULOS_QUENTO[[#This Row],[UnidFact]])+ARTICULOS_QUENTO[[#This Row],[CostoFlete]]</f>
        <v>1022</v>
      </c>
      <c r="M26">
        <v>30</v>
      </c>
      <c r="N26" s="63">
        <f t="shared" si="1"/>
        <v>1450</v>
      </c>
      <c r="O26" s="3">
        <f>MROUND((ARTICULOS_QUENTO[[#This Row],[Precio]]/0.6),10)</f>
        <v>2420</v>
      </c>
      <c r="P26" t="s">
        <v>8693</v>
      </c>
      <c r="Q26">
        <v>2</v>
      </c>
      <c r="R26" s="3">
        <f>ARTICULOS_QUENTO[[#This Row],[Bulto]]+ARTICULOS_QUENTO[[#This Row],[Minimo]]</f>
        <v>8</v>
      </c>
      <c r="S26" t="s">
        <v>55</v>
      </c>
      <c r="T26" t="s">
        <v>4</v>
      </c>
      <c r="U26" t="s">
        <v>102</v>
      </c>
      <c r="V26" t="s">
        <v>55</v>
      </c>
      <c r="W26" t="s">
        <v>8692</v>
      </c>
      <c r="X26">
        <v>1</v>
      </c>
      <c r="Z26"/>
      <c r="AB26" s="80">
        <f>ARTICULOS_QUENTO[[#This Row],[Costo]]*ARTICULOS_QUENTO[[#This Row],[Pedido]]</f>
        <v>0</v>
      </c>
      <c r="AD26"/>
      <c r="AH26" s="2" t="str">
        <f>IF(AND(ARTICULOS_QUENTO[[#This Row],[FechaVenc]]=0,ARTICULOS_QUENTO[[#This Row],[DiasVenc]]=0),"",ARTICULOS_QUENTO[[#This Row],[FechaVenc]]-ARTICULOS_QUENTO[[#This Row],[DiasVenc]])</f>
        <v/>
      </c>
      <c r="AK26"/>
      <c r="AM26"/>
      <c r="AO26" t="s">
        <v>8689</v>
      </c>
    </row>
    <row r="27" spans="1:41" x14ac:dyDescent="0.25">
      <c r="A27" s="1" t="s">
        <v>12049</v>
      </c>
      <c r="C27" t="str">
        <f t="shared" si="6"/>
        <v>ALM87211939</v>
      </c>
      <c r="D27" t="s">
        <v>8689</v>
      </c>
      <c r="E27" s="1" t="s">
        <v>12050</v>
      </c>
      <c r="F27" s="61">
        <f t="shared" si="5"/>
        <v>1022</v>
      </c>
      <c r="G27" s="3">
        <v>0</v>
      </c>
      <c r="H27" s="4" t="s">
        <v>8690</v>
      </c>
      <c r="I27">
        <v>6</v>
      </c>
      <c r="J27">
        <v>1</v>
      </c>
      <c r="K27" s="3">
        <v>0</v>
      </c>
      <c r="L27" s="65">
        <f>((ARTICULOS_QUENTO[[#This Row],[P. Compra]]*(1+ARTICULOS_QUENTO[[#This Row],[IVA]]%))/ARTICULOS_QUENTO[[#This Row],[UnidFact]])+ARTICULOS_QUENTO[[#This Row],[CostoFlete]]</f>
        <v>1022</v>
      </c>
      <c r="M27">
        <v>30</v>
      </c>
      <c r="N27" s="63">
        <f t="shared" si="1"/>
        <v>1450</v>
      </c>
      <c r="O27" s="3">
        <f>MROUND((ARTICULOS_QUENTO[[#This Row],[Precio]]/0.6),10)</f>
        <v>2420</v>
      </c>
      <c r="P27" t="s">
        <v>8693</v>
      </c>
      <c r="Q27">
        <v>2</v>
      </c>
      <c r="R27" s="3">
        <f>ARTICULOS_QUENTO[[#This Row],[Bulto]]+ARTICULOS_QUENTO[[#This Row],[Minimo]]</f>
        <v>8</v>
      </c>
      <c r="S27" t="s">
        <v>55</v>
      </c>
      <c r="T27" t="s">
        <v>4</v>
      </c>
      <c r="U27" t="s">
        <v>102</v>
      </c>
      <c r="V27" t="s">
        <v>55</v>
      </c>
      <c r="W27" t="s">
        <v>8692</v>
      </c>
      <c r="X27">
        <v>1</v>
      </c>
      <c r="Z27"/>
      <c r="AB27" s="80">
        <f>ARTICULOS_QUENTO[[#This Row],[Costo]]*ARTICULOS_QUENTO[[#This Row],[Pedido]]</f>
        <v>0</v>
      </c>
      <c r="AD27"/>
      <c r="AH27" s="2" t="str">
        <f>IF(AND(ARTICULOS_QUENTO[[#This Row],[FechaVenc]]=0,ARTICULOS_QUENTO[[#This Row],[DiasVenc]]=0),"",ARTICULOS_QUENTO[[#This Row],[FechaVenc]]-ARTICULOS_QUENTO[[#This Row],[DiasVenc]])</f>
        <v/>
      </c>
      <c r="AK27"/>
      <c r="AM27"/>
      <c r="AO27" t="s">
        <v>8689</v>
      </c>
    </row>
    <row r="28" spans="1:41" x14ac:dyDescent="0.25">
      <c r="A28" s="1" t="s">
        <v>10722</v>
      </c>
      <c r="C28" t="str">
        <f t="shared" si="0"/>
        <v>ALM87211403</v>
      </c>
      <c r="D28" t="s">
        <v>8689</v>
      </c>
      <c r="E28" s="1" t="s">
        <v>12058</v>
      </c>
      <c r="F28" s="61">
        <v>514</v>
      </c>
      <c r="G28" s="3">
        <v>0</v>
      </c>
      <c r="H28" s="4" t="s">
        <v>8690</v>
      </c>
      <c r="I28">
        <v>6</v>
      </c>
      <c r="J28">
        <v>1</v>
      </c>
      <c r="K28" s="3">
        <v>0</v>
      </c>
      <c r="L28" s="65">
        <f>((ARTICULOS_QUENTO[[#This Row],[P. Compra]]*(1+ARTICULOS_QUENTO[[#This Row],[IVA]]%))/ARTICULOS_QUENTO[[#This Row],[UnidFact]])+ARTICULOS_QUENTO[[#This Row],[CostoFlete]]</f>
        <v>514</v>
      </c>
      <c r="M28">
        <v>30</v>
      </c>
      <c r="N28" s="63">
        <f t="shared" si="1"/>
        <v>750</v>
      </c>
      <c r="O28" s="3">
        <f>MROUND((ARTICULOS_QUENTO[[#This Row],[Precio]]/0.6),10)</f>
        <v>1250</v>
      </c>
      <c r="P28" t="s">
        <v>8693</v>
      </c>
      <c r="Q28">
        <v>2</v>
      </c>
      <c r="R28" s="3">
        <f>ARTICULOS_QUENTO[[#This Row],[Bulto]]+ARTICULOS_QUENTO[[#This Row],[Minimo]]</f>
        <v>8</v>
      </c>
      <c r="S28" t="s">
        <v>55</v>
      </c>
      <c r="T28" t="s">
        <v>4</v>
      </c>
      <c r="U28" t="s">
        <v>102</v>
      </c>
      <c r="V28" t="s">
        <v>55</v>
      </c>
      <c r="W28" t="s">
        <v>8692</v>
      </c>
      <c r="X28">
        <v>1</v>
      </c>
      <c r="Z28"/>
      <c r="AB28" s="80">
        <f>ARTICULOS_QUENTO[[#This Row],[Costo]]*ARTICULOS_QUENTO[[#This Row],[Pedido]]</f>
        <v>0</v>
      </c>
      <c r="AD28"/>
      <c r="AH28" s="2" t="str">
        <f>IF(AND(ARTICULOS_QUENTO[[#This Row],[FechaVenc]]=0,ARTICULOS_QUENTO[[#This Row],[DiasVenc]]=0),"",ARTICULOS_QUENTO[[#This Row],[FechaVenc]]-ARTICULOS_QUENTO[[#This Row],[DiasVenc]])</f>
        <v/>
      </c>
      <c r="AK28"/>
      <c r="AM28"/>
      <c r="AO28" t="s">
        <v>8689</v>
      </c>
    </row>
    <row r="29" spans="1:41" x14ac:dyDescent="0.25">
      <c r="A29" s="1" t="s">
        <v>10723</v>
      </c>
      <c r="C29" t="str">
        <f t="shared" si="0"/>
        <v>ALM87211441</v>
      </c>
      <c r="D29" t="s">
        <v>8689</v>
      </c>
      <c r="E29" s="1" t="s">
        <v>12051</v>
      </c>
      <c r="F29" s="61">
        <f>F28</f>
        <v>514</v>
      </c>
      <c r="G29" s="3">
        <v>0</v>
      </c>
      <c r="H29" s="4" t="s">
        <v>8690</v>
      </c>
      <c r="I29">
        <v>6</v>
      </c>
      <c r="J29">
        <v>1</v>
      </c>
      <c r="K29" s="3">
        <v>0</v>
      </c>
      <c r="L29" s="65">
        <f>((ARTICULOS_QUENTO[[#This Row],[P. Compra]]*(1+ARTICULOS_QUENTO[[#This Row],[IVA]]%))/ARTICULOS_QUENTO[[#This Row],[UnidFact]])+ARTICULOS_QUENTO[[#This Row],[CostoFlete]]</f>
        <v>514</v>
      </c>
      <c r="M29">
        <v>30</v>
      </c>
      <c r="N29" s="63">
        <f t="shared" si="1"/>
        <v>750</v>
      </c>
      <c r="O29" s="3">
        <f>MROUND((ARTICULOS_QUENTO[[#This Row],[Precio]]/0.6),10)</f>
        <v>1250</v>
      </c>
      <c r="P29" t="s">
        <v>8693</v>
      </c>
      <c r="Q29">
        <v>2</v>
      </c>
      <c r="R29" s="3">
        <f>ARTICULOS_QUENTO[[#This Row],[Bulto]]+ARTICULOS_QUENTO[[#This Row],[Minimo]]</f>
        <v>8</v>
      </c>
      <c r="S29" t="s">
        <v>55</v>
      </c>
      <c r="T29" t="s">
        <v>4</v>
      </c>
      <c r="U29" t="s">
        <v>102</v>
      </c>
      <c r="V29" t="s">
        <v>55</v>
      </c>
      <c r="W29" t="s">
        <v>8692</v>
      </c>
      <c r="X29">
        <v>1</v>
      </c>
      <c r="Z29"/>
      <c r="AB29" s="80">
        <f>ARTICULOS_QUENTO[[#This Row],[Costo]]*ARTICULOS_QUENTO[[#This Row],[Pedido]]</f>
        <v>0</v>
      </c>
      <c r="AD29"/>
      <c r="AH29" s="2" t="str">
        <f>IF(AND(ARTICULOS_QUENTO[[#This Row],[FechaVenc]]=0,ARTICULOS_QUENTO[[#This Row],[DiasVenc]]=0),"",ARTICULOS_QUENTO[[#This Row],[FechaVenc]]-ARTICULOS_QUENTO[[#This Row],[DiasVenc]])</f>
        <v/>
      </c>
      <c r="AK29"/>
      <c r="AM29"/>
      <c r="AO29" t="s">
        <v>8689</v>
      </c>
    </row>
    <row r="30" spans="1:41" x14ac:dyDescent="0.25">
      <c r="A30" s="1" t="s">
        <v>10724</v>
      </c>
      <c r="C30" t="str">
        <f t="shared" si="0"/>
        <v>ALM87210529</v>
      </c>
      <c r="D30" t="s">
        <v>8689</v>
      </c>
      <c r="E30" s="1" t="s">
        <v>12052</v>
      </c>
      <c r="F30" s="61">
        <f t="shared" ref="F30:F40" si="7">F29</f>
        <v>514</v>
      </c>
      <c r="G30" s="3">
        <v>0</v>
      </c>
      <c r="H30" s="8" t="s">
        <v>8690</v>
      </c>
      <c r="I30">
        <v>6</v>
      </c>
      <c r="J30">
        <v>1</v>
      </c>
      <c r="K30" s="3">
        <v>0</v>
      </c>
      <c r="L30" s="65">
        <f>((ARTICULOS_QUENTO[[#This Row],[P. Compra]]*(1+ARTICULOS_QUENTO[[#This Row],[IVA]]%))/ARTICULOS_QUENTO[[#This Row],[UnidFact]])+ARTICULOS_QUENTO[[#This Row],[CostoFlete]]</f>
        <v>514</v>
      </c>
      <c r="M30">
        <v>30</v>
      </c>
      <c r="N30" s="63">
        <f t="shared" si="1"/>
        <v>750</v>
      </c>
      <c r="O30" s="3">
        <f>MROUND((ARTICULOS_QUENTO[[#This Row],[Precio]]/0.6),10)</f>
        <v>1250</v>
      </c>
      <c r="P30" t="s">
        <v>8693</v>
      </c>
      <c r="Q30">
        <v>2</v>
      </c>
      <c r="R30" s="7">
        <f>ARTICULOS_QUENTO[[#This Row],[Bulto]]+ARTICULOS_QUENTO[[#This Row],[Minimo]]</f>
        <v>8</v>
      </c>
      <c r="S30" t="s">
        <v>55</v>
      </c>
      <c r="T30" t="s">
        <v>4</v>
      </c>
      <c r="U30" t="s">
        <v>102</v>
      </c>
      <c r="V30" t="s">
        <v>55</v>
      </c>
      <c r="W30" t="s">
        <v>8692</v>
      </c>
      <c r="X30">
        <v>1</v>
      </c>
      <c r="Y30" s="7"/>
      <c r="Z30"/>
      <c r="AB30" s="80">
        <f>ARTICULOS_QUENTO[[#This Row],[Costo]]*ARTICULOS_QUENTO[[#This Row],[Pedido]]</f>
        <v>0</v>
      </c>
      <c r="AD30"/>
      <c r="AH30" s="2" t="str">
        <f>IF(AND(ARTICULOS_QUENTO[[#This Row],[FechaVenc]]=0,ARTICULOS_QUENTO[[#This Row],[DiasVenc]]=0),"",ARTICULOS_QUENTO[[#This Row],[FechaVenc]]-ARTICULOS_QUENTO[[#This Row],[DiasVenc]])</f>
        <v/>
      </c>
      <c r="AK30"/>
      <c r="AM30"/>
      <c r="AO30" t="s">
        <v>8689</v>
      </c>
    </row>
    <row r="31" spans="1:41" x14ac:dyDescent="0.25">
      <c r="A31" s="1" t="s">
        <v>10725</v>
      </c>
      <c r="C31" t="str">
        <f t="shared" si="0"/>
        <v>ALM87210314</v>
      </c>
      <c r="D31" t="s">
        <v>8689</v>
      </c>
      <c r="E31" s="1" t="s">
        <v>12053</v>
      </c>
      <c r="F31" s="61">
        <f t="shared" si="7"/>
        <v>514</v>
      </c>
      <c r="G31" s="3">
        <v>0</v>
      </c>
      <c r="H31" s="4" t="s">
        <v>8690</v>
      </c>
      <c r="I31">
        <v>6</v>
      </c>
      <c r="J31">
        <v>1</v>
      </c>
      <c r="K31" s="3">
        <v>0</v>
      </c>
      <c r="L31" s="65">
        <f>((ARTICULOS_QUENTO[[#This Row],[P. Compra]]*(1+ARTICULOS_QUENTO[[#This Row],[IVA]]%))/ARTICULOS_QUENTO[[#This Row],[UnidFact]])+ARTICULOS_QUENTO[[#This Row],[CostoFlete]]</f>
        <v>514</v>
      </c>
      <c r="M31">
        <v>30</v>
      </c>
      <c r="N31" s="63">
        <f t="shared" si="1"/>
        <v>750</v>
      </c>
      <c r="O31" s="3">
        <f>MROUND((ARTICULOS_QUENTO[[#This Row],[Precio]]/0.6),10)</f>
        <v>1250</v>
      </c>
      <c r="P31" t="s">
        <v>8693</v>
      </c>
      <c r="Q31">
        <v>2</v>
      </c>
      <c r="R31" s="3">
        <f>ARTICULOS_QUENTO[[#This Row],[Bulto]]+ARTICULOS_QUENTO[[#This Row],[Minimo]]</f>
        <v>8</v>
      </c>
      <c r="S31" t="s">
        <v>55</v>
      </c>
      <c r="T31" t="s">
        <v>4</v>
      </c>
      <c r="U31" t="s">
        <v>102</v>
      </c>
      <c r="V31" t="s">
        <v>55</v>
      </c>
      <c r="W31" t="s">
        <v>8692</v>
      </c>
      <c r="X31">
        <v>1</v>
      </c>
      <c r="Z31"/>
      <c r="AB31" s="80">
        <f>ARTICULOS_QUENTO[[#This Row],[Costo]]*ARTICULOS_QUENTO[[#This Row],[Pedido]]</f>
        <v>0</v>
      </c>
      <c r="AD31"/>
      <c r="AH31" s="2" t="str">
        <f>IF(AND(ARTICULOS_QUENTO[[#This Row],[FechaVenc]]=0,ARTICULOS_QUENTO[[#This Row],[DiasVenc]]=0),"",ARTICULOS_QUENTO[[#This Row],[FechaVenc]]-ARTICULOS_QUENTO[[#This Row],[DiasVenc]])</f>
        <v/>
      </c>
      <c r="AK31"/>
      <c r="AM31"/>
      <c r="AO31" t="s">
        <v>8689</v>
      </c>
    </row>
    <row r="32" spans="1:41" x14ac:dyDescent="0.25">
      <c r="A32" s="1" t="s">
        <v>10726</v>
      </c>
      <c r="C32" t="str">
        <f t="shared" si="0"/>
        <v>ALM87211632</v>
      </c>
      <c r="D32" t="s">
        <v>8689</v>
      </c>
      <c r="E32" s="1" t="s">
        <v>12054</v>
      </c>
      <c r="F32" s="61">
        <f t="shared" si="7"/>
        <v>514</v>
      </c>
      <c r="G32" s="3">
        <v>0</v>
      </c>
      <c r="H32" s="4" t="s">
        <v>8690</v>
      </c>
      <c r="I32">
        <v>6</v>
      </c>
      <c r="J32">
        <v>1</v>
      </c>
      <c r="K32" s="3">
        <v>0</v>
      </c>
      <c r="L32" s="65">
        <f>((ARTICULOS_QUENTO[[#This Row],[P. Compra]]*(1+ARTICULOS_QUENTO[[#This Row],[IVA]]%))/ARTICULOS_QUENTO[[#This Row],[UnidFact]])+ARTICULOS_QUENTO[[#This Row],[CostoFlete]]</f>
        <v>514</v>
      </c>
      <c r="M32">
        <v>30</v>
      </c>
      <c r="N32" s="63">
        <f t="shared" si="1"/>
        <v>750</v>
      </c>
      <c r="O32" s="3">
        <f>MROUND((ARTICULOS_QUENTO[[#This Row],[Precio]]/0.6),10)</f>
        <v>1250</v>
      </c>
      <c r="P32" t="s">
        <v>8693</v>
      </c>
      <c r="Q32">
        <v>2</v>
      </c>
      <c r="R32" s="3">
        <f>ARTICULOS_QUENTO[[#This Row],[Bulto]]+ARTICULOS_QUENTO[[#This Row],[Minimo]]</f>
        <v>8</v>
      </c>
      <c r="S32" t="s">
        <v>55</v>
      </c>
      <c r="T32" t="s">
        <v>4</v>
      </c>
      <c r="U32" t="s">
        <v>102</v>
      </c>
      <c r="V32" t="s">
        <v>55</v>
      </c>
      <c r="W32" t="s">
        <v>8692</v>
      </c>
      <c r="X32">
        <v>1</v>
      </c>
      <c r="Z32"/>
      <c r="AB32" s="80">
        <f>ARTICULOS_QUENTO[[#This Row],[Costo]]*ARTICULOS_QUENTO[[#This Row],[Pedido]]</f>
        <v>0</v>
      </c>
      <c r="AD32"/>
      <c r="AH32" s="2" t="str">
        <f>IF(AND(ARTICULOS_QUENTO[[#This Row],[FechaVenc]]=0,ARTICULOS_QUENTO[[#This Row],[DiasVenc]]=0),"",ARTICULOS_QUENTO[[#This Row],[FechaVenc]]-ARTICULOS_QUENTO[[#This Row],[DiasVenc]])</f>
        <v/>
      </c>
      <c r="AK32"/>
      <c r="AM32"/>
      <c r="AO32" t="s">
        <v>8689</v>
      </c>
    </row>
    <row r="33" spans="1:41" x14ac:dyDescent="0.25">
      <c r="A33" s="1" t="s">
        <v>10727</v>
      </c>
      <c r="C33" t="str">
        <f t="shared" si="0"/>
        <v>ALM87210048</v>
      </c>
      <c r="D33" t="s">
        <v>8689</v>
      </c>
      <c r="E33" s="1" t="s">
        <v>10728</v>
      </c>
      <c r="F33" s="61">
        <f t="shared" si="7"/>
        <v>514</v>
      </c>
      <c r="G33" s="3">
        <v>0</v>
      </c>
      <c r="H33" s="4" t="s">
        <v>8690</v>
      </c>
      <c r="I33">
        <v>6</v>
      </c>
      <c r="J33">
        <v>1</v>
      </c>
      <c r="K33" s="3">
        <v>0</v>
      </c>
      <c r="L33" s="65">
        <f>((ARTICULOS_QUENTO[[#This Row],[P. Compra]]*(1+ARTICULOS_QUENTO[[#This Row],[IVA]]%))/ARTICULOS_QUENTO[[#This Row],[UnidFact]])+ARTICULOS_QUENTO[[#This Row],[CostoFlete]]</f>
        <v>514</v>
      </c>
      <c r="M33">
        <v>30</v>
      </c>
      <c r="N33" s="63">
        <f t="shared" si="1"/>
        <v>750</v>
      </c>
      <c r="O33" s="3">
        <f>MROUND((ARTICULOS_QUENTO[[#This Row],[Precio]]/0.6),10)</f>
        <v>1250</v>
      </c>
      <c r="P33" t="s">
        <v>8693</v>
      </c>
      <c r="Q33">
        <v>2</v>
      </c>
      <c r="R33" s="3">
        <f>ARTICULOS_QUENTO[[#This Row],[Bulto]]+ARTICULOS_QUENTO[[#This Row],[Minimo]]</f>
        <v>8</v>
      </c>
      <c r="S33" t="s">
        <v>55</v>
      </c>
      <c r="T33" t="s">
        <v>4</v>
      </c>
      <c r="U33" t="s">
        <v>102</v>
      </c>
      <c r="V33" t="s">
        <v>55</v>
      </c>
      <c r="W33" t="s">
        <v>8692</v>
      </c>
      <c r="X33">
        <v>1</v>
      </c>
      <c r="Z33"/>
      <c r="AB33" s="80">
        <f>ARTICULOS_QUENTO[[#This Row],[Costo]]*ARTICULOS_QUENTO[[#This Row],[Pedido]]</f>
        <v>0</v>
      </c>
      <c r="AD33"/>
      <c r="AH33" s="2" t="str">
        <f>IF(AND(ARTICULOS_QUENTO[[#This Row],[FechaVenc]]=0,ARTICULOS_QUENTO[[#This Row],[DiasVenc]]=0),"",ARTICULOS_QUENTO[[#This Row],[FechaVenc]]-ARTICULOS_QUENTO[[#This Row],[DiasVenc]])</f>
        <v/>
      </c>
      <c r="AK33"/>
      <c r="AM33"/>
      <c r="AO33" t="s">
        <v>8689</v>
      </c>
    </row>
    <row r="34" spans="1:41" x14ac:dyDescent="0.25">
      <c r="A34" s="1" t="s">
        <v>10729</v>
      </c>
      <c r="C34" t="str">
        <f t="shared" si="0"/>
        <v>ALM87210024</v>
      </c>
      <c r="D34" t="s">
        <v>8689</v>
      </c>
      <c r="E34" s="1" t="s">
        <v>10730</v>
      </c>
      <c r="F34" s="61">
        <f t="shared" si="7"/>
        <v>514</v>
      </c>
      <c r="G34" s="3">
        <v>0</v>
      </c>
      <c r="H34" s="4" t="s">
        <v>8690</v>
      </c>
      <c r="I34">
        <v>6</v>
      </c>
      <c r="J34">
        <v>1</v>
      </c>
      <c r="K34" s="3">
        <v>0</v>
      </c>
      <c r="L34" s="65">
        <f>((ARTICULOS_QUENTO[[#This Row],[P. Compra]]*(1+ARTICULOS_QUENTO[[#This Row],[IVA]]%))/ARTICULOS_QUENTO[[#This Row],[UnidFact]])+ARTICULOS_QUENTO[[#This Row],[CostoFlete]]</f>
        <v>514</v>
      </c>
      <c r="M34">
        <v>30</v>
      </c>
      <c r="N34" s="63">
        <f t="shared" si="1"/>
        <v>750</v>
      </c>
      <c r="O34" s="3">
        <f>MROUND((ARTICULOS_QUENTO[[#This Row],[Precio]]/0.6),10)</f>
        <v>1250</v>
      </c>
      <c r="P34" t="s">
        <v>8693</v>
      </c>
      <c r="Q34">
        <v>2</v>
      </c>
      <c r="R34" s="3">
        <f>ARTICULOS_QUENTO[[#This Row],[Bulto]]+ARTICULOS_QUENTO[[#This Row],[Minimo]]</f>
        <v>8</v>
      </c>
      <c r="S34" t="s">
        <v>55</v>
      </c>
      <c r="T34" t="s">
        <v>4</v>
      </c>
      <c r="U34" t="s">
        <v>102</v>
      </c>
      <c r="V34" t="s">
        <v>55</v>
      </c>
      <c r="W34" t="s">
        <v>8692</v>
      </c>
      <c r="X34">
        <v>1</v>
      </c>
      <c r="Z34"/>
      <c r="AB34" s="80">
        <f>ARTICULOS_QUENTO[[#This Row],[Costo]]*ARTICULOS_QUENTO[[#This Row],[Pedido]]</f>
        <v>0</v>
      </c>
      <c r="AD34"/>
      <c r="AH34" s="2" t="str">
        <f>IF(AND(ARTICULOS_QUENTO[[#This Row],[FechaVenc]]=0,ARTICULOS_QUENTO[[#This Row],[DiasVenc]]=0),"",ARTICULOS_QUENTO[[#This Row],[FechaVenc]]-ARTICULOS_QUENTO[[#This Row],[DiasVenc]])</f>
        <v/>
      </c>
      <c r="AK34"/>
      <c r="AM34"/>
      <c r="AO34" t="s">
        <v>8689</v>
      </c>
    </row>
    <row r="35" spans="1:41" x14ac:dyDescent="0.25">
      <c r="A35" s="1" t="s">
        <v>10731</v>
      </c>
      <c r="C35" t="str">
        <f t="shared" si="0"/>
        <v>ALM87210369</v>
      </c>
      <c r="D35" t="s">
        <v>8689</v>
      </c>
      <c r="E35" s="1" t="s">
        <v>10732</v>
      </c>
      <c r="F35" s="61">
        <f t="shared" si="7"/>
        <v>514</v>
      </c>
      <c r="G35" s="3">
        <v>0</v>
      </c>
      <c r="H35" s="4" t="s">
        <v>8690</v>
      </c>
      <c r="I35">
        <v>6</v>
      </c>
      <c r="J35">
        <v>1</v>
      </c>
      <c r="K35" s="3">
        <v>0</v>
      </c>
      <c r="L35" s="65">
        <f>((ARTICULOS_QUENTO[[#This Row],[P. Compra]]*(1+ARTICULOS_QUENTO[[#This Row],[IVA]]%))/ARTICULOS_QUENTO[[#This Row],[UnidFact]])+ARTICULOS_QUENTO[[#This Row],[CostoFlete]]</f>
        <v>514</v>
      </c>
      <c r="M35">
        <v>30</v>
      </c>
      <c r="N35" s="63">
        <f t="shared" si="1"/>
        <v>750</v>
      </c>
      <c r="O35" s="3">
        <f>MROUND((ARTICULOS_QUENTO[[#This Row],[Precio]]/0.6),10)</f>
        <v>1250</v>
      </c>
      <c r="P35" t="s">
        <v>8693</v>
      </c>
      <c r="Q35">
        <v>2</v>
      </c>
      <c r="R35" s="3">
        <f>ARTICULOS_QUENTO[[#This Row],[Bulto]]+ARTICULOS_QUENTO[[#This Row],[Minimo]]</f>
        <v>8</v>
      </c>
      <c r="S35" t="s">
        <v>55</v>
      </c>
      <c r="T35" t="s">
        <v>4</v>
      </c>
      <c r="U35" t="s">
        <v>102</v>
      </c>
      <c r="V35" t="s">
        <v>55</v>
      </c>
      <c r="W35" t="s">
        <v>8692</v>
      </c>
      <c r="X35">
        <v>1</v>
      </c>
      <c r="Z35"/>
      <c r="AB35" s="80">
        <f>ARTICULOS_QUENTO[[#This Row],[Costo]]*ARTICULOS_QUENTO[[#This Row],[Pedido]]</f>
        <v>0</v>
      </c>
      <c r="AD35"/>
      <c r="AH35" s="2" t="str">
        <f>IF(AND(ARTICULOS_QUENTO[[#This Row],[FechaVenc]]=0,ARTICULOS_QUENTO[[#This Row],[DiasVenc]]=0),"",ARTICULOS_QUENTO[[#This Row],[FechaVenc]]-ARTICULOS_QUENTO[[#This Row],[DiasVenc]])</f>
        <v/>
      </c>
      <c r="AK35"/>
      <c r="AM35"/>
      <c r="AO35" t="s">
        <v>8689</v>
      </c>
    </row>
    <row r="36" spans="1:41" x14ac:dyDescent="0.25">
      <c r="A36" s="1" t="s">
        <v>10733</v>
      </c>
      <c r="C36" t="str">
        <f t="shared" si="0"/>
        <v>ALM87210260</v>
      </c>
      <c r="D36" t="s">
        <v>8689</v>
      </c>
      <c r="E36" s="1" t="s">
        <v>10734</v>
      </c>
      <c r="F36" s="61">
        <f t="shared" si="7"/>
        <v>514</v>
      </c>
      <c r="G36" s="3">
        <v>0</v>
      </c>
      <c r="H36" s="4" t="s">
        <v>8690</v>
      </c>
      <c r="I36">
        <v>6</v>
      </c>
      <c r="J36">
        <v>1</v>
      </c>
      <c r="K36" s="3">
        <v>0</v>
      </c>
      <c r="L36" s="65">
        <f>((ARTICULOS_QUENTO[[#This Row],[P. Compra]]*(1+ARTICULOS_QUENTO[[#This Row],[IVA]]%))/ARTICULOS_QUENTO[[#This Row],[UnidFact]])+ARTICULOS_QUENTO[[#This Row],[CostoFlete]]</f>
        <v>514</v>
      </c>
      <c r="M36">
        <v>30</v>
      </c>
      <c r="N36" s="63">
        <f t="shared" si="1"/>
        <v>750</v>
      </c>
      <c r="O36" s="3">
        <f>MROUND((ARTICULOS_QUENTO[[#This Row],[Precio]]/0.6),10)</f>
        <v>1250</v>
      </c>
      <c r="P36" t="s">
        <v>8693</v>
      </c>
      <c r="Q36">
        <v>2</v>
      </c>
      <c r="R36" s="3">
        <f>ARTICULOS_QUENTO[[#This Row],[Bulto]]+ARTICULOS_QUENTO[[#This Row],[Minimo]]</f>
        <v>8</v>
      </c>
      <c r="S36" t="s">
        <v>55</v>
      </c>
      <c r="T36" t="s">
        <v>4</v>
      </c>
      <c r="U36" t="s">
        <v>102</v>
      </c>
      <c r="V36" t="s">
        <v>55</v>
      </c>
      <c r="W36" t="s">
        <v>8692</v>
      </c>
      <c r="X36">
        <v>1</v>
      </c>
      <c r="Z36"/>
      <c r="AB36" s="80">
        <f>ARTICULOS_QUENTO[[#This Row],[Costo]]*ARTICULOS_QUENTO[[#This Row],[Pedido]]</f>
        <v>0</v>
      </c>
      <c r="AD36"/>
      <c r="AH36" s="2" t="str">
        <f>IF(AND(ARTICULOS_QUENTO[[#This Row],[FechaVenc]]=0,ARTICULOS_QUENTO[[#This Row],[DiasVenc]]=0),"",ARTICULOS_QUENTO[[#This Row],[FechaVenc]]-ARTICULOS_QUENTO[[#This Row],[DiasVenc]])</f>
        <v/>
      </c>
      <c r="AK36"/>
      <c r="AM36"/>
      <c r="AO36" t="s">
        <v>8689</v>
      </c>
    </row>
    <row r="37" spans="1:41" x14ac:dyDescent="0.25">
      <c r="A37" s="1" t="s">
        <v>10735</v>
      </c>
      <c r="C37" t="str">
        <f t="shared" si="0"/>
        <v>ALM87211649</v>
      </c>
      <c r="D37" t="s">
        <v>8689</v>
      </c>
      <c r="E37" s="1" t="s">
        <v>10736</v>
      </c>
      <c r="F37" s="61">
        <f t="shared" si="7"/>
        <v>514</v>
      </c>
      <c r="G37" s="3">
        <v>0</v>
      </c>
      <c r="H37" s="4" t="s">
        <v>8690</v>
      </c>
      <c r="I37">
        <v>6</v>
      </c>
      <c r="J37">
        <v>1</v>
      </c>
      <c r="K37" s="3">
        <v>0</v>
      </c>
      <c r="L37" s="65">
        <f>((ARTICULOS_QUENTO[[#This Row],[P. Compra]]*(1+ARTICULOS_QUENTO[[#This Row],[IVA]]%))/ARTICULOS_QUENTO[[#This Row],[UnidFact]])+ARTICULOS_QUENTO[[#This Row],[CostoFlete]]</f>
        <v>514</v>
      </c>
      <c r="M37">
        <v>30</v>
      </c>
      <c r="N37" s="63">
        <f t="shared" si="1"/>
        <v>750</v>
      </c>
      <c r="O37" s="3">
        <f>MROUND((ARTICULOS_QUENTO[[#This Row],[Precio]]/0.6),10)</f>
        <v>1250</v>
      </c>
      <c r="P37" t="s">
        <v>8693</v>
      </c>
      <c r="Q37">
        <v>2</v>
      </c>
      <c r="R37" s="3">
        <f>ARTICULOS_QUENTO[[#This Row],[Bulto]]+ARTICULOS_QUENTO[[#This Row],[Minimo]]</f>
        <v>8</v>
      </c>
      <c r="S37" t="s">
        <v>55</v>
      </c>
      <c r="T37" t="s">
        <v>4</v>
      </c>
      <c r="U37" t="s">
        <v>102</v>
      </c>
      <c r="V37" t="s">
        <v>55</v>
      </c>
      <c r="W37" t="s">
        <v>8692</v>
      </c>
      <c r="X37">
        <v>1</v>
      </c>
      <c r="Z37"/>
      <c r="AB37" s="80">
        <f>ARTICULOS_QUENTO[[#This Row],[Costo]]*ARTICULOS_QUENTO[[#This Row],[Pedido]]</f>
        <v>0</v>
      </c>
      <c r="AD37"/>
      <c r="AH37" s="2" t="str">
        <f>IF(AND(ARTICULOS_QUENTO[[#This Row],[FechaVenc]]=0,ARTICULOS_QUENTO[[#This Row],[DiasVenc]]=0),"",ARTICULOS_QUENTO[[#This Row],[FechaVenc]]-ARTICULOS_QUENTO[[#This Row],[DiasVenc]])</f>
        <v/>
      </c>
      <c r="AK37"/>
      <c r="AM37"/>
      <c r="AO37" t="s">
        <v>8689</v>
      </c>
    </row>
    <row r="38" spans="1:41" x14ac:dyDescent="0.25">
      <c r="A38" s="1" t="s">
        <v>10737</v>
      </c>
      <c r="C38" t="str">
        <f t="shared" si="0"/>
        <v>ALM87211205</v>
      </c>
      <c r="D38" t="s">
        <v>8689</v>
      </c>
      <c r="E38" s="1" t="s">
        <v>10738</v>
      </c>
      <c r="F38" s="61">
        <f t="shared" si="7"/>
        <v>514</v>
      </c>
      <c r="G38" s="3">
        <v>0</v>
      </c>
      <c r="H38" s="4" t="s">
        <v>8690</v>
      </c>
      <c r="I38">
        <v>6</v>
      </c>
      <c r="J38">
        <v>1</v>
      </c>
      <c r="K38" s="3">
        <v>0</v>
      </c>
      <c r="L38" s="65">
        <f>((ARTICULOS_QUENTO[[#This Row],[P. Compra]]*(1+ARTICULOS_QUENTO[[#This Row],[IVA]]%))/ARTICULOS_QUENTO[[#This Row],[UnidFact]])+ARTICULOS_QUENTO[[#This Row],[CostoFlete]]</f>
        <v>514</v>
      </c>
      <c r="M38">
        <v>30</v>
      </c>
      <c r="N38" s="63">
        <f t="shared" si="1"/>
        <v>750</v>
      </c>
      <c r="O38" s="3">
        <f>MROUND((ARTICULOS_QUENTO[[#This Row],[Precio]]/0.6),10)</f>
        <v>1250</v>
      </c>
      <c r="P38" t="s">
        <v>8693</v>
      </c>
      <c r="Q38">
        <v>2</v>
      </c>
      <c r="R38" s="3">
        <f>ARTICULOS_QUENTO[[#This Row],[Bulto]]+ARTICULOS_QUENTO[[#This Row],[Minimo]]</f>
        <v>8</v>
      </c>
      <c r="S38" t="s">
        <v>55</v>
      </c>
      <c r="T38" t="s">
        <v>4</v>
      </c>
      <c r="U38" t="s">
        <v>102</v>
      </c>
      <c r="V38" t="s">
        <v>55</v>
      </c>
      <c r="W38" t="s">
        <v>8692</v>
      </c>
      <c r="X38">
        <v>1</v>
      </c>
      <c r="Z38"/>
      <c r="AB38" s="80">
        <f>ARTICULOS_QUENTO[[#This Row],[Costo]]*ARTICULOS_QUENTO[[#This Row],[Pedido]]</f>
        <v>0</v>
      </c>
      <c r="AD38"/>
      <c r="AH38" s="2" t="str">
        <f>IF(AND(ARTICULOS_QUENTO[[#This Row],[FechaVenc]]=0,ARTICULOS_QUENTO[[#This Row],[DiasVenc]]=0),"",ARTICULOS_QUENTO[[#This Row],[FechaVenc]]-ARTICULOS_QUENTO[[#This Row],[DiasVenc]])</f>
        <v/>
      </c>
      <c r="AK38"/>
      <c r="AM38"/>
      <c r="AO38" t="s">
        <v>8689</v>
      </c>
    </row>
    <row r="39" spans="1:41" x14ac:dyDescent="0.25">
      <c r="A39" s="1" t="s">
        <v>10739</v>
      </c>
      <c r="C39" t="str">
        <f t="shared" si="0"/>
        <v>ALM87211694</v>
      </c>
      <c r="D39" t="s">
        <v>8689</v>
      </c>
      <c r="E39" s="1" t="s">
        <v>10740</v>
      </c>
      <c r="F39" s="61">
        <f t="shared" si="7"/>
        <v>514</v>
      </c>
      <c r="G39" s="3">
        <v>0</v>
      </c>
      <c r="H39" s="4" t="s">
        <v>8690</v>
      </c>
      <c r="I39">
        <v>6</v>
      </c>
      <c r="J39">
        <v>1</v>
      </c>
      <c r="K39" s="3">
        <v>0</v>
      </c>
      <c r="L39" s="65">
        <f>((ARTICULOS_QUENTO[[#This Row],[P. Compra]]*(1+ARTICULOS_QUENTO[[#This Row],[IVA]]%))/ARTICULOS_QUENTO[[#This Row],[UnidFact]])+ARTICULOS_QUENTO[[#This Row],[CostoFlete]]</f>
        <v>514</v>
      </c>
      <c r="M39">
        <v>30</v>
      </c>
      <c r="N39" s="63">
        <f t="shared" si="1"/>
        <v>750</v>
      </c>
      <c r="O39" s="3">
        <f>MROUND((ARTICULOS_QUENTO[[#This Row],[Precio]]/0.6),10)</f>
        <v>1250</v>
      </c>
      <c r="P39" t="s">
        <v>8693</v>
      </c>
      <c r="Q39">
        <v>2</v>
      </c>
      <c r="R39" s="3">
        <f>ARTICULOS_QUENTO[[#This Row],[Bulto]]+ARTICULOS_QUENTO[[#This Row],[Minimo]]</f>
        <v>8</v>
      </c>
      <c r="S39" t="s">
        <v>55</v>
      </c>
      <c r="T39" t="s">
        <v>4</v>
      </c>
      <c r="U39" t="s">
        <v>102</v>
      </c>
      <c r="V39" t="s">
        <v>55</v>
      </c>
      <c r="W39" t="s">
        <v>8692</v>
      </c>
      <c r="X39">
        <v>1</v>
      </c>
      <c r="Z39"/>
      <c r="AB39" s="80">
        <f>ARTICULOS_QUENTO[[#This Row],[Costo]]*ARTICULOS_QUENTO[[#This Row],[Pedido]]</f>
        <v>0</v>
      </c>
      <c r="AD39"/>
      <c r="AH39" s="2" t="str">
        <f>IF(AND(ARTICULOS_QUENTO[[#This Row],[FechaVenc]]=0,ARTICULOS_QUENTO[[#This Row],[DiasVenc]]=0),"",ARTICULOS_QUENTO[[#This Row],[FechaVenc]]-ARTICULOS_QUENTO[[#This Row],[DiasVenc]])</f>
        <v/>
      </c>
      <c r="AK39"/>
      <c r="AM39"/>
      <c r="AO39" t="s">
        <v>8689</v>
      </c>
    </row>
    <row r="40" spans="1:41" x14ac:dyDescent="0.25">
      <c r="A40" s="1" t="s">
        <v>10741</v>
      </c>
      <c r="C40" t="str">
        <f t="shared" si="0"/>
        <v>ALM87211809</v>
      </c>
      <c r="D40" t="s">
        <v>8689</v>
      </c>
      <c r="E40" s="1" t="s">
        <v>10742</v>
      </c>
      <c r="F40" s="61">
        <f t="shared" si="7"/>
        <v>514</v>
      </c>
      <c r="G40" s="3">
        <v>0</v>
      </c>
      <c r="H40" s="4" t="s">
        <v>8690</v>
      </c>
      <c r="I40">
        <v>6</v>
      </c>
      <c r="J40">
        <v>1</v>
      </c>
      <c r="K40" s="3">
        <v>0</v>
      </c>
      <c r="L40" s="65">
        <f>((ARTICULOS_QUENTO[[#This Row],[P. Compra]]*(1+ARTICULOS_QUENTO[[#This Row],[IVA]]%))/ARTICULOS_QUENTO[[#This Row],[UnidFact]])+ARTICULOS_QUENTO[[#This Row],[CostoFlete]]</f>
        <v>514</v>
      </c>
      <c r="M40">
        <v>30</v>
      </c>
      <c r="N40" s="63">
        <f t="shared" si="1"/>
        <v>750</v>
      </c>
      <c r="O40" s="3">
        <f>MROUND((ARTICULOS_QUENTO[[#This Row],[Precio]]/0.6),10)</f>
        <v>1250</v>
      </c>
      <c r="P40" t="s">
        <v>8693</v>
      </c>
      <c r="Q40">
        <v>2</v>
      </c>
      <c r="R40" s="3">
        <f>ARTICULOS_QUENTO[[#This Row],[Bulto]]+ARTICULOS_QUENTO[[#This Row],[Minimo]]</f>
        <v>8</v>
      </c>
      <c r="S40" t="s">
        <v>55</v>
      </c>
      <c r="T40" t="s">
        <v>4</v>
      </c>
      <c r="U40" t="s">
        <v>102</v>
      </c>
      <c r="V40" t="s">
        <v>55</v>
      </c>
      <c r="W40" t="s">
        <v>8692</v>
      </c>
      <c r="X40">
        <v>1</v>
      </c>
      <c r="Z40"/>
      <c r="AB40" s="80">
        <f>ARTICULOS_QUENTO[[#This Row],[Costo]]*ARTICULOS_QUENTO[[#This Row],[Pedido]]</f>
        <v>0</v>
      </c>
      <c r="AD40"/>
      <c r="AH40" s="2" t="str">
        <f>IF(AND(ARTICULOS_QUENTO[[#This Row],[FechaVenc]]=0,ARTICULOS_QUENTO[[#This Row],[DiasVenc]]=0),"",ARTICULOS_QUENTO[[#This Row],[FechaVenc]]-ARTICULOS_QUENTO[[#This Row],[DiasVenc]])</f>
        <v/>
      </c>
      <c r="AK40"/>
      <c r="AM40"/>
      <c r="AO40" t="s">
        <v>8689</v>
      </c>
    </row>
  </sheetData>
  <conditionalFormatting sqref="A1">
    <cfRule type="duplicateValues" dxfId="13" priority="3"/>
  </conditionalFormatting>
  <conditionalFormatting sqref="A2:C1048576">
    <cfRule type="duplicateValues" dxfId="12" priority="506"/>
    <cfRule type="duplicateValues" dxfId="11" priority="507"/>
  </conditionalFormatting>
  <conditionalFormatting sqref="C1">
    <cfRule type="duplicateValues" dxfId="10" priority="2"/>
  </conditionalFormatting>
  <conditionalFormatting sqref="F41:F1048576">
    <cfRule type="cellIs" dxfId="9" priority="14" operator="greaterThan">
      <formula>0</formula>
    </cfRule>
  </conditionalFormatting>
  <conditionalFormatting sqref="L1:L40">
    <cfRule type="cellIs" dxfId="8" priority="1" operator="greaterThan">
      <formula>0</formula>
    </cfRule>
  </conditionalFormatting>
  <pageMargins left="0" right="0" top="0" bottom="0" header="0.31496062992125984" footer="0.31496062992125984"/>
  <pageSetup scale="10" fitToHeight="0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81A9A5-F4C1-4FE1-BD7F-DA9C684765C4}">
          <x14:formula1>
            <xm:f>LISTAS!$E:$E</xm:f>
          </x14:formula1>
          <xm:sqref>AB41:AB1048576 U1:U40</xm:sqref>
        </x14:dataValidation>
        <x14:dataValidation type="list" allowBlank="1" showInputMessage="1" showErrorMessage="1" xr:uid="{9232A72B-23E1-4C1B-AF34-16069F38B055}">
          <x14:formula1>
            <xm:f>LISTAS!$A:$A</xm:f>
          </x14:formula1>
          <xm:sqref>S1:S40</xm:sqref>
        </x14:dataValidation>
        <x14:dataValidation type="list" allowBlank="1" showInputMessage="1" showErrorMessage="1" xr:uid="{21FA1C51-4471-450B-94A2-88828B277E64}">
          <x14:formula1>
            <xm:f>LISTAS!$C:$C</xm:f>
          </x14:formula1>
          <xm:sqref>T2:T40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0A50-340B-4D75-B280-58AADBA03617}">
  <dimension ref="A1:AR15"/>
  <sheetViews>
    <sheetView zoomScale="70" zoomScaleNormal="70" workbookViewId="0">
      <pane xSplit="5" topLeftCell="F1" activePane="topRight" state="frozen"/>
      <selection activeCell="AD34" sqref="AD34"/>
      <selection pane="topRight" activeCell="AA2" sqref="AA2"/>
    </sheetView>
  </sheetViews>
  <sheetFormatPr baseColWidth="10" defaultColWidth="11.42578125" defaultRowHeight="15.75" x14ac:dyDescent="0.25"/>
  <cols>
    <col min="1" max="1" width="9.7109375" style="1" bestFit="1" customWidth="1"/>
    <col min="2" max="2" width="7.5703125" style="1" customWidth="1"/>
    <col min="3" max="3" width="14.28515625" style="1" customWidth="1"/>
    <col min="4" max="4" width="7.42578125" customWidth="1"/>
    <col min="5" max="5" width="43.42578125" style="1" customWidth="1"/>
    <col min="6" max="6" width="9.28515625" style="15" bestFit="1" customWidth="1"/>
    <col min="7" max="8" width="7" bestFit="1" customWidth="1"/>
    <col min="9" max="9" width="6.28515625" bestFit="1" customWidth="1"/>
    <col min="10" max="10" width="9.7109375" style="14" bestFit="1" customWidth="1"/>
    <col min="11" max="11" width="10.7109375" bestFit="1" customWidth="1"/>
    <col min="12" max="12" width="9.28515625" style="5" bestFit="1" customWidth="1"/>
    <col min="13" max="13" width="11.140625" bestFit="1" customWidth="1"/>
    <col min="16" max="16" width="18.140625" customWidth="1"/>
    <col min="17" max="17" width="17.7109375" bestFit="1" customWidth="1"/>
    <col min="20" max="20" width="8.85546875" bestFit="1" customWidth="1"/>
    <col min="25" max="25" width="9.7109375" style="3" bestFit="1" customWidth="1"/>
    <col min="26" max="26" width="9.28515625" style="4" bestFit="1" customWidth="1"/>
    <col min="27" max="27" width="10.28515625" style="3" bestFit="1" customWidth="1"/>
    <col min="28" max="28" width="10.28515625" style="3" customWidth="1"/>
    <col min="29" max="29" width="10.7109375" style="3" bestFit="1" customWidth="1"/>
    <col min="30" max="30" width="12.5703125" bestFit="1" customWidth="1"/>
    <col min="31" max="31" width="8.85546875" bestFit="1" customWidth="1"/>
    <col min="32" max="32" width="12.5703125" bestFit="1" customWidth="1"/>
    <col min="33" max="33" width="11.28515625" style="3" bestFit="1" customWidth="1"/>
    <col min="37" max="37" width="9.28515625" style="3" customWidth="1"/>
    <col min="38" max="38" width="8.140625" customWidth="1"/>
    <col min="39" max="39" width="10" bestFit="1" customWidth="1"/>
    <col min="40" max="40" width="11.5703125" style="3" customWidth="1"/>
    <col min="41" max="41" width="20" customWidth="1"/>
    <col min="42" max="42" width="13.42578125" style="2" bestFit="1" customWidth="1"/>
    <col min="43" max="43" width="11.5703125" customWidth="1"/>
    <col min="44" max="44" width="16.7109375" customWidth="1"/>
    <col min="45" max="45" width="8.85546875" bestFit="1" customWidth="1"/>
    <col min="46" max="46" width="14.28515625" customWidth="1"/>
    <col min="47" max="48" width="13.7109375" customWidth="1"/>
    <col min="51" max="51" width="12.42578125" customWidth="1"/>
    <col min="52" max="52" width="19.42578125" bestFit="1" customWidth="1"/>
    <col min="53" max="53" width="21.42578125" bestFit="1" customWidth="1"/>
    <col min="54" max="54" width="10.7109375" customWidth="1"/>
    <col min="55" max="55" width="12.85546875" customWidth="1"/>
    <col min="56" max="56" width="15.42578125" bestFit="1" customWidth="1"/>
    <col min="250" max="250" width="15" bestFit="1" customWidth="1"/>
    <col min="251" max="251" width="68.28515625" bestFit="1" customWidth="1"/>
    <col min="252" max="252" width="9.140625" bestFit="1" customWidth="1"/>
    <col min="253" max="253" width="21.42578125" bestFit="1" customWidth="1"/>
    <col min="254" max="256" width="15.42578125" bestFit="1" customWidth="1"/>
    <col min="257" max="257" width="8.85546875" bestFit="1" customWidth="1"/>
    <col min="258" max="258" width="10" bestFit="1" customWidth="1"/>
    <col min="259" max="259" width="12.7109375" bestFit="1" customWidth="1"/>
    <col min="260" max="260" width="8.85546875" bestFit="1" customWidth="1"/>
    <col min="261" max="261" width="17.7109375" bestFit="1" customWidth="1"/>
    <col min="262" max="262" width="13" bestFit="1" customWidth="1"/>
    <col min="263" max="263" width="13.42578125" bestFit="1" customWidth="1"/>
    <col min="264" max="264" width="10.85546875" bestFit="1" customWidth="1"/>
    <col min="265" max="265" width="26.85546875" bestFit="1" customWidth="1"/>
    <col min="266" max="266" width="20.85546875" bestFit="1" customWidth="1"/>
    <col min="267" max="267" width="30.42578125" bestFit="1" customWidth="1"/>
    <col min="268" max="268" width="19.42578125" bestFit="1" customWidth="1"/>
    <col min="269" max="269" width="20.28515625" bestFit="1" customWidth="1"/>
    <col min="270" max="271" width="12" bestFit="1" customWidth="1"/>
    <col min="272" max="273" width="12.5703125" bestFit="1" customWidth="1"/>
    <col min="274" max="274" width="11.7109375" bestFit="1" customWidth="1"/>
    <col min="275" max="275" width="19" bestFit="1" customWidth="1"/>
    <col min="276" max="276" width="12.140625" bestFit="1" customWidth="1"/>
    <col min="506" max="506" width="15" bestFit="1" customWidth="1"/>
    <col min="507" max="507" width="68.28515625" bestFit="1" customWidth="1"/>
    <col min="508" max="508" width="9.140625" bestFit="1" customWidth="1"/>
    <col min="509" max="509" width="21.42578125" bestFit="1" customWidth="1"/>
    <col min="510" max="512" width="15.42578125" bestFit="1" customWidth="1"/>
    <col min="513" max="513" width="8.85546875" bestFit="1" customWidth="1"/>
    <col min="514" max="514" width="10" bestFit="1" customWidth="1"/>
    <col min="515" max="515" width="12.7109375" bestFit="1" customWidth="1"/>
    <col min="516" max="516" width="8.85546875" bestFit="1" customWidth="1"/>
    <col min="517" max="517" width="17.7109375" bestFit="1" customWidth="1"/>
    <col min="518" max="518" width="13" bestFit="1" customWidth="1"/>
    <col min="519" max="519" width="13.42578125" bestFit="1" customWidth="1"/>
    <col min="520" max="520" width="10.85546875" bestFit="1" customWidth="1"/>
    <col min="521" max="521" width="26.85546875" bestFit="1" customWidth="1"/>
    <col min="522" max="522" width="20.85546875" bestFit="1" customWidth="1"/>
    <col min="523" max="523" width="30.42578125" bestFit="1" customWidth="1"/>
    <col min="524" max="524" width="19.42578125" bestFit="1" customWidth="1"/>
    <col min="525" max="525" width="20.28515625" bestFit="1" customWidth="1"/>
    <col min="526" max="527" width="12" bestFit="1" customWidth="1"/>
    <col min="528" max="529" width="12.5703125" bestFit="1" customWidth="1"/>
    <col min="530" max="530" width="11.7109375" bestFit="1" customWidth="1"/>
    <col min="531" max="531" width="19" bestFit="1" customWidth="1"/>
    <col min="532" max="532" width="12.140625" bestFit="1" customWidth="1"/>
    <col min="762" max="762" width="15" bestFit="1" customWidth="1"/>
    <col min="763" max="763" width="68.28515625" bestFit="1" customWidth="1"/>
    <col min="764" max="764" width="9.140625" bestFit="1" customWidth="1"/>
    <col min="765" max="765" width="21.42578125" bestFit="1" customWidth="1"/>
    <col min="766" max="768" width="15.42578125" bestFit="1" customWidth="1"/>
    <col min="769" max="769" width="8.85546875" bestFit="1" customWidth="1"/>
    <col min="770" max="770" width="10" bestFit="1" customWidth="1"/>
    <col min="771" max="771" width="12.7109375" bestFit="1" customWidth="1"/>
    <col min="772" max="772" width="8.85546875" bestFit="1" customWidth="1"/>
    <col min="773" max="773" width="17.7109375" bestFit="1" customWidth="1"/>
    <col min="774" max="774" width="13" bestFit="1" customWidth="1"/>
    <col min="775" max="775" width="13.42578125" bestFit="1" customWidth="1"/>
    <col min="776" max="776" width="10.85546875" bestFit="1" customWidth="1"/>
    <col min="777" max="777" width="26.85546875" bestFit="1" customWidth="1"/>
    <col min="778" max="778" width="20.85546875" bestFit="1" customWidth="1"/>
    <col min="779" max="779" width="30.42578125" bestFit="1" customWidth="1"/>
    <col min="780" max="780" width="19.42578125" bestFit="1" customWidth="1"/>
    <col min="781" max="781" width="20.28515625" bestFit="1" customWidth="1"/>
    <col min="782" max="783" width="12" bestFit="1" customWidth="1"/>
    <col min="784" max="785" width="12.5703125" bestFit="1" customWidth="1"/>
    <col min="786" max="786" width="11.7109375" bestFit="1" customWidth="1"/>
    <col min="787" max="787" width="19" bestFit="1" customWidth="1"/>
    <col min="788" max="788" width="12.140625" bestFit="1" customWidth="1"/>
    <col min="1018" max="1018" width="15" bestFit="1" customWidth="1"/>
    <col min="1019" max="1019" width="68.28515625" bestFit="1" customWidth="1"/>
    <col min="1020" max="1020" width="9.140625" bestFit="1" customWidth="1"/>
    <col min="1021" max="1021" width="21.42578125" bestFit="1" customWidth="1"/>
    <col min="1022" max="1024" width="15.42578125" bestFit="1" customWidth="1"/>
    <col min="1025" max="1025" width="8.85546875" bestFit="1" customWidth="1"/>
    <col min="1026" max="1026" width="10" bestFit="1" customWidth="1"/>
    <col min="1027" max="1027" width="12.7109375" bestFit="1" customWidth="1"/>
    <col min="1028" max="1028" width="8.85546875" bestFit="1" customWidth="1"/>
    <col min="1029" max="1029" width="17.7109375" bestFit="1" customWidth="1"/>
    <col min="1030" max="1030" width="13" bestFit="1" customWidth="1"/>
    <col min="1031" max="1031" width="13.42578125" bestFit="1" customWidth="1"/>
    <col min="1032" max="1032" width="10.85546875" bestFit="1" customWidth="1"/>
    <col min="1033" max="1033" width="26.85546875" bestFit="1" customWidth="1"/>
    <col min="1034" max="1034" width="20.85546875" bestFit="1" customWidth="1"/>
    <col min="1035" max="1035" width="30.42578125" bestFit="1" customWidth="1"/>
    <col min="1036" max="1036" width="19.42578125" bestFit="1" customWidth="1"/>
    <col min="1037" max="1037" width="20.28515625" bestFit="1" customWidth="1"/>
    <col min="1038" max="1039" width="12" bestFit="1" customWidth="1"/>
    <col min="1040" max="1041" width="12.5703125" bestFit="1" customWidth="1"/>
    <col min="1042" max="1042" width="11.7109375" bestFit="1" customWidth="1"/>
    <col min="1043" max="1043" width="19" bestFit="1" customWidth="1"/>
    <col min="1044" max="1044" width="12.140625" bestFit="1" customWidth="1"/>
    <col min="1274" max="1274" width="15" bestFit="1" customWidth="1"/>
    <col min="1275" max="1275" width="68.28515625" bestFit="1" customWidth="1"/>
    <col min="1276" max="1276" width="9.140625" bestFit="1" customWidth="1"/>
    <col min="1277" max="1277" width="21.42578125" bestFit="1" customWidth="1"/>
    <col min="1278" max="1280" width="15.42578125" bestFit="1" customWidth="1"/>
    <col min="1281" max="1281" width="8.85546875" bestFit="1" customWidth="1"/>
    <col min="1282" max="1282" width="10" bestFit="1" customWidth="1"/>
    <col min="1283" max="1283" width="12.7109375" bestFit="1" customWidth="1"/>
    <col min="1284" max="1284" width="8.85546875" bestFit="1" customWidth="1"/>
    <col min="1285" max="1285" width="17.7109375" bestFit="1" customWidth="1"/>
    <col min="1286" max="1286" width="13" bestFit="1" customWidth="1"/>
    <col min="1287" max="1287" width="13.42578125" bestFit="1" customWidth="1"/>
    <col min="1288" max="1288" width="10.85546875" bestFit="1" customWidth="1"/>
    <col min="1289" max="1289" width="26.85546875" bestFit="1" customWidth="1"/>
    <col min="1290" max="1290" width="20.85546875" bestFit="1" customWidth="1"/>
    <col min="1291" max="1291" width="30.42578125" bestFit="1" customWidth="1"/>
    <col min="1292" max="1292" width="19.42578125" bestFit="1" customWidth="1"/>
    <col min="1293" max="1293" width="20.28515625" bestFit="1" customWidth="1"/>
    <col min="1294" max="1295" width="12" bestFit="1" customWidth="1"/>
    <col min="1296" max="1297" width="12.5703125" bestFit="1" customWidth="1"/>
    <col min="1298" max="1298" width="11.7109375" bestFit="1" customWidth="1"/>
    <col min="1299" max="1299" width="19" bestFit="1" customWidth="1"/>
    <col min="1300" max="1300" width="12.140625" bestFit="1" customWidth="1"/>
    <col min="1530" max="1530" width="15" bestFit="1" customWidth="1"/>
    <col min="1531" max="1531" width="68.28515625" bestFit="1" customWidth="1"/>
    <col min="1532" max="1532" width="9.140625" bestFit="1" customWidth="1"/>
    <col min="1533" max="1533" width="21.42578125" bestFit="1" customWidth="1"/>
    <col min="1534" max="1536" width="15.42578125" bestFit="1" customWidth="1"/>
    <col min="1537" max="1537" width="8.85546875" bestFit="1" customWidth="1"/>
    <col min="1538" max="1538" width="10" bestFit="1" customWidth="1"/>
    <col min="1539" max="1539" width="12.7109375" bestFit="1" customWidth="1"/>
    <col min="1540" max="1540" width="8.85546875" bestFit="1" customWidth="1"/>
    <col min="1541" max="1541" width="17.7109375" bestFit="1" customWidth="1"/>
    <col min="1542" max="1542" width="13" bestFit="1" customWidth="1"/>
    <col min="1543" max="1543" width="13.42578125" bestFit="1" customWidth="1"/>
    <col min="1544" max="1544" width="10.85546875" bestFit="1" customWidth="1"/>
    <col min="1545" max="1545" width="26.85546875" bestFit="1" customWidth="1"/>
    <col min="1546" max="1546" width="20.85546875" bestFit="1" customWidth="1"/>
    <col min="1547" max="1547" width="30.42578125" bestFit="1" customWidth="1"/>
    <col min="1548" max="1548" width="19.42578125" bestFit="1" customWidth="1"/>
    <col min="1549" max="1549" width="20.28515625" bestFit="1" customWidth="1"/>
    <col min="1550" max="1551" width="12" bestFit="1" customWidth="1"/>
    <col min="1552" max="1553" width="12.5703125" bestFit="1" customWidth="1"/>
    <col min="1554" max="1554" width="11.7109375" bestFit="1" customWidth="1"/>
    <col min="1555" max="1555" width="19" bestFit="1" customWidth="1"/>
    <col min="1556" max="1556" width="12.140625" bestFit="1" customWidth="1"/>
    <col min="1786" max="1786" width="15" bestFit="1" customWidth="1"/>
    <col min="1787" max="1787" width="68.28515625" bestFit="1" customWidth="1"/>
    <col min="1788" max="1788" width="9.140625" bestFit="1" customWidth="1"/>
    <col min="1789" max="1789" width="21.42578125" bestFit="1" customWidth="1"/>
    <col min="1790" max="1792" width="15.42578125" bestFit="1" customWidth="1"/>
    <col min="1793" max="1793" width="8.85546875" bestFit="1" customWidth="1"/>
    <col min="1794" max="1794" width="10" bestFit="1" customWidth="1"/>
    <col min="1795" max="1795" width="12.7109375" bestFit="1" customWidth="1"/>
    <col min="1796" max="1796" width="8.85546875" bestFit="1" customWidth="1"/>
    <col min="1797" max="1797" width="17.7109375" bestFit="1" customWidth="1"/>
    <col min="1798" max="1798" width="13" bestFit="1" customWidth="1"/>
    <col min="1799" max="1799" width="13.42578125" bestFit="1" customWidth="1"/>
    <col min="1800" max="1800" width="10.85546875" bestFit="1" customWidth="1"/>
    <col min="1801" max="1801" width="26.85546875" bestFit="1" customWidth="1"/>
    <col min="1802" max="1802" width="20.85546875" bestFit="1" customWidth="1"/>
    <col min="1803" max="1803" width="30.42578125" bestFit="1" customWidth="1"/>
    <col min="1804" max="1804" width="19.42578125" bestFit="1" customWidth="1"/>
    <col min="1805" max="1805" width="20.28515625" bestFit="1" customWidth="1"/>
    <col min="1806" max="1807" width="12" bestFit="1" customWidth="1"/>
    <col min="1808" max="1809" width="12.5703125" bestFit="1" customWidth="1"/>
    <col min="1810" max="1810" width="11.7109375" bestFit="1" customWidth="1"/>
    <col min="1811" max="1811" width="19" bestFit="1" customWidth="1"/>
    <col min="1812" max="1812" width="12.140625" bestFit="1" customWidth="1"/>
    <col min="2042" max="2042" width="15" bestFit="1" customWidth="1"/>
    <col min="2043" max="2043" width="68.28515625" bestFit="1" customWidth="1"/>
    <col min="2044" max="2044" width="9.140625" bestFit="1" customWidth="1"/>
    <col min="2045" max="2045" width="21.42578125" bestFit="1" customWidth="1"/>
    <col min="2046" max="2048" width="15.42578125" bestFit="1" customWidth="1"/>
    <col min="2049" max="2049" width="8.85546875" bestFit="1" customWidth="1"/>
    <col min="2050" max="2050" width="10" bestFit="1" customWidth="1"/>
    <col min="2051" max="2051" width="12.7109375" bestFit="1" customWidth="1"/>
    <col min="2052" max="2052" width="8.85546875" bestFit="1" customWidth="1"/>
    <col min="2053" max="2053" width="17.7109375" bestFit="1" customWidth="1"/>
    <col min="2054" max="2054" width="13" bestFit="1" customWidth="1"/>
    <col min="2055" max="2055" width="13.42578125" bestFit="1" customWidth="1"/>
    <col min="2056" max="2056" width="10.85546875" bestFit="1" customWidth="1"/>
    <col min="2057" max="2057" width="26.85546875" bestFit="1" customWidth="1"/>
    <col min="2058" max="2058" width="20.85546875" bestFit="1" customWidth="1"/>
    <col min="2059" max="2059" width="30.42578125" bestFit="1" customWidth="1"/>
    <col min="2060" max="2060" width="19.42578125" bestFit="1" customWidth="1"/>
    <col min="2061" max="2061" width="20.28515625" bestFit="1" customWidth="1"/>
    <col min="2062" max="2063" width="12" bestFit="1" customWidth="1"/>
    <col min="2064" max="2065" width="12.5703125" bestFit="1" customWidth="1"/>
    <col min="2066" max="2066" width="11.7109375" bestFit="1" customWidth="1"/>
    <col min="2067" max="2067" width="19" bestFit="1" customWidth="1"/>
    <col min="2068" max="2068" width="12.140625" bestFit="1" customWidth="1"/>
    <col min="2298" max="2298" width="15" bestFit="1" customWidth="1"/>
    <col min="2299" max="2299" width="68.28515625" bestFit="1" customWidth="1"/>
    <col min="2300" max="2300" width="9.140625" bestFit="1" customWidth="1"/>
    <col min="2301" max="2301" width="21.42578125" bestFit="1" customWidth="1"/>
    <col min="2302" max="2304" width="15.42578125" bestFit="1" customWidth="1"/>
    <col min="2305" max="2305" width="8.85546875" bestFit="1" customWidth="1"/>
    <col min="2306" max="2306" width="10" bestFit="1" customWidth="1"/>
    <col min="2307" max="2307" width="12.7109375" bestFit="1" customWidth="1"/>
    <col min="2308" max="2308" width="8.85546875" bestFit="1" customWidth="1"/>
    <col min="2309" max="2309" width="17.7109375" bestFit="1" customWidth="1"/>
    <col min="2310" max="2310" width="13" bestFit="1" customWidth="1"/>
    <col min="2311" max="2311" width="13.42578125" bestFit="1" customWidth="1"/>
    <col min="2312" max="2312" width="10.85546875" bestFit="1" customWidth="1"/>
    <col min="2313" max="2313" width="26.85546875" bestFit="1" customWidth="1"/>
    <col min="2314" max="2314" width="20.85546875" bestFit="1" customWidth="1"/>
    <col min="2315" max="2315" width="30.42578125" bestFit="1" customWidth="1"/>
    <col min="2316" max="2316" width="19.42578125" bestFit="1" customWidth="1"/>
    <col min="2317" max="2317" width="20.28515625" bestFit="1" customWidth="1"/>
    <col min="2318" max="2319" width="12" bestFit="1" customWidth="1"/>
    <col min="2320" max="2321" width="12.5703125" bestFit="1" customWidth="1"/>
    <col min="2322" max="2322" width="11.7109375" bestFit="1" customWidth="1"/>
    <col min="2323" max="2323" width="19" bestFit="1" customWidth="1"/>
    <col min="2324" max="2324" width="12.140625" bestFit="1" customWidth="1"/>
    <col min="2554" max="2554" width="15" bestFit="1" customWidth="1"/>
    <col min="2555" max="2555" width="68.28515625" bestFit="1" customWidth="1"/>
    <col min="2556" max="2556" width="9.140625" bestFit="1" customWidth="1"/>
    <col min="2557" max="2557" width="21.42578125" bestFit="1" customWidth="1"/>
    <col min="2558" max="2560" width="15.42578125" bestFit="1" customWidth="1"/>
    <col min="2561" max="2561" width="8.85546875" bestFit="1" customWidth="1"/>
    <col min="2562" max="2562" width="10" bestFit="1" customWidth="1"/>
    <col min="2563" max="2563" width="12.7109375" bestFit="1" customWidth="1"/>
    <col min="2564" max="2564" width="8.85546875" bestFit="1" customWidth="1"/>
    <col min="2565" max="2565" width="17.7109375" bestFit="1" customWidth="1"/>
    <col min="2566" max="2566" width="13" bestFit="1" customWidth="1"/>
    <col min="2567" max="2567" width="13.42578125" bestFit="1" customWidth="1"/>
    <col min="2568" max="2568" width="10.85546875" bestFit="1" customWidth="1"/>
    <col min="2569" max="2569" width="26.85546875" bestFit="1" customWidth="1"/>
    <col min="2570" max="2570" width="20.85546875" bestFit="1" customWidth="1"/>
    <col min="2571" max="2571" width="30.42578125" bestFit="1" customWidth="1"/>
    <col min="2572" max="2572" width="19.42578125" bestFit="1" customWidth="1"/>
    <col min="2573" max="2573" width="20.28515625" bestFit="1" customWidth="1"/>
    <col min="2574" max="2575" width="12" bestFit="1" customWidth="1"/>
    <col min="2576" max="2577" width="12.5703125" bestFit="1" customWidth="1"/>
    <col min="2578" max="2578" width="11.7109375" bestFit="1" customWidth="1"/>
    <col min="2579" max="2579" width="19" bestFit="1" customWidth="1"/>
    <col min="2580" max="2580" width="12.140625" bestFit="1" customWidth="1"/>
    <col min="2810" max="2810" width="15" bestFit="1" customWidth="1"/>
    <col min="2811" max="2811" width="68.28515625" bestFit="1" customWidth="1"/>
    <col min="2812" max="2812" width="9.140625" bestFit="1" customWidth="1"/>
    <col min="2813" max="2813" width="21.42578125" bestFit="1" customWidth="1"/>
    <col min="2814" max="2816" width="15.42578125" bestFit="1" customWidth="1"/>
    <col min="2817" max="2817" width="8.85546875" bestFit="1" customWidth="1"/>
    <col min="2818" max="2818" width="10" bestFit="1" customWidth="1"/>
    <col min="2819" max="2819" width="12.7109375" bestFit="1" customWidth="1"/>
    <col min="2820" max="2820" width="8.85546875" bestFit="1" customWidth="1"/>
    <col min="2821" max="2821" width="17.7109375" bestFit="1" customWidth="1"/>
    <col min="2822" max="2822" width="13" bestFit="1" customWidth="1"/>
    <col min="2823" max="2823" width="13.42578125" bestFit="1" customWidth="1"/>
    <col min="2824" max="2824" width="10.85546875" bestFit="1" customWidth="1"/>
    <col min="2825" max="2825" width="26.85546875" bestFit="1" customWidth="1"/>
    <col min="2826" max="2826" width="20.85546875" bestFit="1" customWidth="1"/>
    <col min="2827" max="2827" width="30.42578125" bestFit="1" customWidth="1"/>
    <col min="2828" max="2828" width="19.42578125" bestFit="1" customWidth="1"/>
    <col min="2829" max="2829" width="20.28515625" bestFit="1" customWidth="1"/>
    <col min="2830" max="2831" width="12" bestFit="1" customWidth="1"/>
    <col min="2832" max="2833" width="12.5703125" bestFit="1" customWidth="1"/>
    <col min="2834" max="2834" width="11.7109375" bestFit="1" customWidth="1"/>
    <col min="2835" max="2835" width="19" bestFit="1" customWidth="1"/>
    <col min="2836" max="2836" width="12.140625" bestFit="1" customWidth="1"/>
    <col min="3066" max="3066" width="15" bestFit="1" customWidth="1"/>
    <col min="3067" max="3067" width="68.28515625" bestFit="1" customWidth="1"/>
    <col min="3068" max="3068" width="9.140625" bestFit="1" customWidth="1"/>
    <col min="3069" max="3069" width="21.42578125" bestFit="1" customWidth="1"/>
    <col min="3070" max="3072" width="15.42578125" bestFit="1" customWidth="1"/>
    <col min="3073" max="3073" width="8.85546875" bestFit="1" customWidth="1"/>
    <col min="3074" max="3074" width="10" bestFit="1" customWidth="1"/>
    <col min="3075" max="3075" width="12.7109375" bestFit="1" customWidth="1"/>
    <col min="3076" max="3076" width="8.85546875" bestFit="1" customWidth="1"/>
    <col min="3077" max="3077" width="17.7109375" bestFit="1" customWidth="1"/>
    <col min="3078" max="3078" width="13" bestFit="1" customWidth="1"/>
    <col min="3079" max="3079" width="13.42578125" bestFit="1" customWidth="1"/>
    <col min="3080" max="3080" width="10.85546875" bestFit="1" customWidth="1"/>
    <col min="3081" max="3081" width="26.85546875" bestFit="1" customWidth="1"/>
    <col min="3082" max="3082" width="20.85546875" bestFit="1" customWidth="1"/>
    <col min="3083" max="3083" width="30.42578125" bestFit="1" customWidth="1"/>
    <col min="3084" max="3084" width="19.42578125" bestFit="1" customWidth="1"/>
    <col min="3085" max="3085" width="20.28515625" bestFit="1" customWidth="1"/>
    <col min="3086" max="3087" width="12" bestFit="1" customWidth="1"/>
    <col min="3088" max="3089" width="12.5703125" bestFit="1" customWidth="1"/>
    <col min="3090" max="3090" width="11.7109375" bestFit="1" customWidth="1"/>
    <col min="3091" max="3091" width="19" bestFit="1" customWidth="1"/>
    <col min="3092" max="3092" width="12.140625" bestFit="1" customWidth="1"/>
    <col min="3322" max="3322" width="15" bestFit="1" customWidth="1"/>
    <col min="3323" max="3323" width="68.28515625" bestFit="1" customWidth="1"/>
    <col min="3324" max="3324" width="9.140625" bestFit="1" customWidth="1"/>
    <col min="3325" max="3325" width="21.42578125" bestFit="1" customWidth="1"/>
    <col min="3326" max="3328" width="15.42578125" bestFit="1" customWidth="1"/>
    <col min="3329" max="3329" width="8.85546875" bestFit="1" customWidth="1"/>
    <col min="3330" max="3330" width="10" bestFit="1" customWidth="1"/>
    <col min="3331" max="3331" width="12.7109375" bestFit="1" customWidth="1"/>
    <col min="3332" max="3332" width="8.85546875" bestFit="1" customWidth="1"/>
    <col min="3333" max="3333" width="17.7109375" bestFit="1" customWidth="1"/>
    <col min="3334" max="3334" width="13" bestFit="1" customWidth="1"/>
    <col min="3335" max="3335" width="13.42578125" bestFit="1" customWidth="1"/>
    <col min="3336" max="3336" width="10.85546875" bestFit="1" customWidth="1"/>
    <col min="3337" max="3337" width="26.85546875" bestFit="1" customWidth="1"/>
    <col min="3338" max="3338" width="20.85546875" bestFit="1" customWidth="1"/>
    <col min="3339" max="3339" width="30.42578125" bestFit="1" customWidth="1"/>
    <col min="3340" max="3340" width="19.42578125" bestFit="1" customWidth="1"/>
    <col min="3341" max="3341" width="20.28515625" bestFit="1" customWidth="1"/>
    <col min="3342" max="3343" width="12" bestFit="1" customWidth="1"/>
    <col min="3344" max="3345" width="12.5703125" bestFit="1" customWidth="1"/>
    <col min="3346" max="3346" width="11.7109375" bestFit="1" customWidth="1"/>
    <col min="3347" max="3347" width="19" bestFit="1" customWidth="1"/>
    <col min="3348" max="3348" width="12.140625" bestFit="1" customWidth="1"/>
    <col min="3578" max="3578" width="15" bestFit="1" customWidth="1"/>
    <col min="3579" max="3579" width="68.28515625" bestFit="1" customWidth="1"/>
    <col min="3580" max="3580" width="9.140625" bestFit="1" customWidth="1"/>
    <col min="3581" max="3581" width="21.42578125" bestFit="1" customWidth="1"/>
    <col min="3582" max="3584" width="15.42578125" bestFit="1" customWidth="1"/>
    <col min="3585" max="3585" width="8.85546875" bestFit="1" customWidth="1"/>
    <col min="3586" max="3586" width="10" bestFit="1" customWidth="1"/>
    <col min="3587" max="3587" width="12.7109375" bestFit="1" customWidth="1"/>
    <col min="3588" max="3588" width="8.85546875" bestFit="1" customWidth="1"/>
    <col min="3589" max="3589" width="17.7109375" bestFit="1" customWidth="1"/>
    <col min="3590" max="3590" width="13" bestFit="1" customWidth="1"/>
    <col min="3591" max="3591" width="13.42578125" bestFit="1" customWidth="1"/>
    <col min="3592" max="3592" width="10.85546875" bestFit="1" customWidth="1"/>
    <col min="3593" max="3593" width="26.85546875" bestFit="1" customWidth="1"/>
    <col min="3594" max="3594" width="20.85546875" bestFit="1" customWidth="1"/>
    <col min="3595" max="3595" width="30.42578125" bestFit="1" customWidth="1"/>
    <col min="3596" max="3596" width="19.42578125" bestFit="1" customWidth="1"/>
    <col min="3597" max="3597" width="20.28515625" bestFit="1" customWidth="1"/>
    <col min="3598" max="3599" width="12" bestFit="1" customWidth="1"/>
    <col min="3600" max="3601" width="12.5703125" bestFit="1" customWidth="1"/>
    <col min="3602" max="3602" width="11.7109375" bestFit="1" customWidth="1"/>
    <col min="3603" max="3603" width="19" bestFit="1" customWidth="1"/>
    <col min="3604" max="3604" width="12.140625" bestFit="1" customWidth="1"/>
    <col min="3834" max="3834" width="15" bestFit="1" customWidth="1"/>
    <col min="3835" max="3835" width="68.28515625" bestFit="1" customWidth="1"/>
    <col min="3836" max="3836" width="9.140625" bestFit="1" customWidth="1"/>
    <col min="3837" max="3837" width="21.42578125" bestFit="1" customWidth="1"/>
    <col min="3838" max="3840" width="15.42578125" bestFit="1" customWidth="1"/>
    <col min="3841" max="3841" width="8.85546875" bestFit="1" customWidth="1"/>
    <col min="3842" max="3842" width="10" bestFit="1" customWidth="1"/>
    <col min="3843" max="3843" width="12.7109375" bestFit="1" customWidth="1"/>
    <col min="3844" max="3844" width="8.85546875" bestFit="1" customWidth="1"/>
    <col min="3845" max="3845" width="17.7109375" bestFit="1" customWidth="1"/>
    <col min="3846" max="3846" width="13" bestFit="1" customWidth="1"/>
    <col min="3847" max="3847" width="13.42578125" bestFit="1" customWidth="1"/>
    <col min="3848" max="3848" width="10.85546875" bestFit="1" customWidth="1"/>
    <col min="3849" max="3849" width="26.85546875" bestFit="1" customWidth="1"/>
    <col min="3850" max="3850" width="20.85546875" bestFit="1" customWidth="1"/>
    <col min="3851" max="3851" width="30.42578125" bestFit="1" customWidth="1"/>
    <col min="3852" max="3852" width="19.42578125" bestFit="1" customWidth="1"/>
    <col min="3853" max="3853" width="20.28515625" bestFit="1" customWidth="1"/>
    <col min="3854" max="3855" width="12" bestFit="1" customWidth="1"/>
    <col min="3856" max="3857" width="12.5703125" bestFit="1" customWidth="1"/>
    <col min="3858" max="3858" width="11.7109375" bestFit="1" customWidth="1"/>
    <col min="3859" max="3859" width="19" bestFit="1" customWidth="1"/>
    <col min="3860" max="3860" width="12.140625" bestFit="1" customWidth="1"/>
    <col min="4090" max="4090" width="15" bestFit="1" customWidth="1"/>
    <col min="4091" max="4091" width="68.28515625" bestFit="1" customWidth="1"/>
    <col min="4092" max="4092" width="9.140625" bestFit="1" customWidth="1"/>
    <col min="4093" max="4093" width="21.42578125" bestFit="1" customWidth="1"/>
    <col min="4094" max="4096" width="15.42578125" bestFit="1" customWidth="1"/>
    <col min="4097" max="4097" width="8.85546875" bestFit="1" customWidth="1"/>
    <col min="4098" max="4098" width="10" bestFit="1" customWidth="1"/>
    <col min="4099" max="4099" width="12.7109375" bestFit="1" customWidth="1"/>
    <col min="4100" max="4100" width="8.85546875" bestFit="1" customWidth="1"/>
    <col min="4101" max="4101" width="17.7109375" bestFit="1" customWidth="1"/>
    <col min="4102" max="4102" width="13" bestFit="1" customWidth="1"/>
    <col min="4103" max="4103" width="13.42578125" bestFit="1" customWidth="1"/>
    <col min="4104" max="4104" width="10.85546875" bestFit="1" customWidth="1"/>
    <col min="4105" max="4105" width="26.85546875" bestFit="1" customWidth="1"/>
    <col min="4106" max="4106" width="20.85546875" bestFit="1" customWidth="1"/>
    <col min="4107" max="4107" width="30.42578125" bestFit="1" customWidth="1"/>
    <col min="4108" max="4108" width="19.42578125" bestFit="1" customWidth="1"/>
    <col min="4109" max="4109" width="20.28515625" bestFit="1" customWidth="1"/>
    <col min="4110" max="4111" width="12" bestFit="1" customWidth="1"/>
    <col min="4112" max="4113" width="12.5703125" bestFit="1" customWidth="1"/>
    <col min="4114" max="4114" width="11.7109375" bestFit="1" customWidth="1"/>
    <col min="4115" max="4115" width="19" bestFit="1" customWidth="1"/>
    <col min="4116" max="4116" width="12.140625" bestFit="1" customWidth="1"/>
    <col min="4346" max="4346" width="15" bestFit="1" customWidth="1"/>
    <col min="4347" max="4347" width="68.28515625" bestFit="1" customWidth="1"/>
    <col min="4348" max="4348" width="9.140625" bestFit="1" customWidth="1"/>
    <col min="4349" max="4349" width="21.42578125" bestFit="1" customWidth="1"/>
    <col min="4350" max="4352" width="15.42578125" bestFit="1" customWidth="1"/>
    <col min="4353" max="4353" width="8.85546875" bestFit="1" customWidth="1"/>
    <col min="4354" max="4354" width="10" bestFit="1" customWidth="1"/>
    <col min="4355" max="4355" width="12.7109375" bestFit="1" customWidth="1"/>
    <col min="4356" max="4356" width="8.85546875" bestFit="1" customWidth="1"/>
    <col min="4357" max="4357" width="17.7109375" bestFit="1" customWidth="1"/>
    <col min="4358" max="4358" width="13" bestFit="1" customWidth="1"/>
    <col min="4359" max="4359" width="13.42578125" bestFit="1" customWidth="1"/>
    <col min="4360" max="4360" width="10.85546875" bestFit="1" customWidth="1"/>
    <col min="4361" max="4361" width="26.85546875" bestFit="1" customWidth="1"/>
    <col min="4362" max="4362" width="20.85546875" bestFit="1" customWidth="1"/>
    <col min="4363" max="4363" width="30.42578125" bestFit="1" customWidth="1"/>
    <col min="4364" max="4364" width="19.42578125" bestFit="1" customWidth="1"/>
    <col min="4365" max="4365" width="20.28515625" bestFit="1" customWidth="1"/>
    <col min="4366" max="4367" width="12" bestFit="1" customWidth="1"/>
    <col min="4368" max="4369" width="12.5703125" bestFit="1" customWidth="1"/>
    <col min="4370" max="4370" width="11.7109375" bestFit="1" customWidth="1"/>
    <col min="4371" max="4371" width="19" bestFit="1" customWidth="1"/>
    <col min="4372" max="4372" width="12.140625" bestFit="1" customWidth="1"/>
    <col min="4602" max="4602" width="15" bestFit="1" customWidth="1"/>
    <col min="4603" max="4603" width="68.28515625" bestFit="1" customWidth="1"/>
    <col min="4604" max="4604" width="9.140625" bestFit="1" customWidth="1"/>
    <col min="4605" max="4605" width="21.42578125" bestFit="1" customWidth="1"/>
    <col min="4606" max="4608" width="15.42578125" bestFit="1" customWidth="1"/>
    <col min="4609" max="4609" width="8.85546875" bestFit="1" customWidth="1"/>
    <col min="4610" max="4610" width="10" bestFit="1" customWidth="1"/>
    <col min="4611" max="4611" width="12.7109375" bestFit="1" customWidth="1"/>
    <col min="4612" max="4612" width="8.85546875" bestFit="1" customWidth="1"/>
    <col min="4613" max="4613" width="17.7109375" bestFit="1" customWidth="1"/>
    <col min="4614" max="4614" width="13" bestFit="1" customWidth="1"/>
    <col min="4615" max="4615" width="13.42578125" bestFit="1" customWidth="1"/>
    <col min="4616" max="4616" width="10.85546875" bestFit="1" customWidth="1"/>
    <col min="4617" max="4617" width="26.85546875" bestFit="1" customWidth="1"/>
    <col min="4618" max="4618" width="20.85546875" bestFit="1" customWidth="1"/>
    <col min="4619" max="4619" width="30.42578125" bestFit="1" customWidth="1"/>
    <col min="4620" max="4620" width="19.42578125" bestFit="1" customWidth="1"/>
    <col min="4621" max="4621" width="20.28515625" bestFit="1" customWidth="1"/>
    <col min="4622" max="4623" width="12" bestFit="1" customWidth="1"/>
    <col min="4624" max="4625" width="12.5703125" bestFit="1" customWidth="1"/>
    <col min="4626" max="4626" width="11.7109375" bestFit="1" customWidth="1"/>
    <col min="4627" max="4627" width="19" bestFit="1" customWidth="1"/>
    <col min="4628" max="4628" width="12.140625" bestFit="1" customWidth="1"/>
    <col min="4858" max="4858" width="15" bestFit="1" customWidth="1"/>
    <col min="4859" max="4859" width="68.28515625" bestFit="1" customWidth="1"/>
    <col min="4860" max="4860" width="9.140625" bestFit="1" customWidth="1"/>
    <col min="4861" max="4861" width="21.42578125" bestFit="1" customWidth="1"/>
    <col min="4862" max="4864" width="15.42578125" bestFit="1" customWidth="1"/>
    <col min="4865" max="4865" width="8.85546875" bestFit="1" customWidth="1"/>
    <col min="4866" max="4866" width="10" bestFit="1" customWidth="1"/>
    <col min="4867" max="4867" width="12.7109375" bestFit="1" customWidth="1"/>
    <col min="4868" max="4868" width="8.85546875" bestFit="1" customWidth="1"/>
    <col min="4869" max="4869" width="17.7109375" bestFit="1" customWidth="1"/>
    <col min="4870" max="4870" width="13" bestFit="1" customWidth="1"/>
    <col min="4871" max="4871" width="13.42578125" bestFit="1" customWidth="1"/>
    <col min="4872" max="4872" width="10.85546875" bestFit="1" customWidth="1"/>
    <col min="4873" max="4873" width="26.85546875" bestFit="1" customWidth="1"/>
    <col min="4874" max="4874" width="20.85546875" bestFit="1" customWidth="1"/>
    <col min="4875" max="4875" width="30.42578125" bestFit="1" customWidth="1"/>
    <col min="4876" max="4876" width="19.42578125" bestFit="1" customWidth="1"/>
    <col min="4877" max="4877" width="20.28515625" bestFit="1" customWidth="1"/>
    <col min="4878" max="4879" width="12" bestFit="1" customWidth="1"/>
    <col min="4880" max="4881" width="12.5703125" bestFit="1" customWidth="1"/>
    <col min="4882" max="4882" width="11.7109375" bestFit="1" customWidth="1"/>
    <col min="4883" max="4883" width="19" bestFit="1" customWidth="1"/>
    <col min="4884" max="4884" width="12.140625" bestFit="1" customWidth="1"/>
    <col min="5114" max="5114" width="15" bestFit="1" customWidth="1"/>
    <col min="5115" max="5115" width="68.28515625" bestFit="1" customWidth="1"/>
    <col min="5116" max="5116" width="9.140625" bestFit="1" customWidth="1"/>
    <col min="5117" max="5117" width="21.42578125" bestFit="1" customWidth="1"/>
    <col min="5118" max="5120" width="15.42578125" bestFit="1" customWidth="1"/>
    <col min="5121" max="5121" width="8.85546875" bestFit="1" customWidth="1"/>
    <col min="5122" max="5122" width="10" bestFit="1" customWidth="1"/>
    <col min="5123" max="5123" width="12.7109375" bestFit="1" customWidth="1"/>
    <col min="5124" max="5124" width="8.85546875" bestFit="1" customWidth="1"/>
    <col min="5125" max="5125" width="17.7109375" bestFit="1" customWidth="1"/>
    <col min="5126" max="5126" width="13" bestFit="1" customWidth="1"/>
    <col min="5127" max="5127" width="13.42578125" bestFit="1" customWidth="1"/>
    <col min="5128" max="5128" width="10.85546875" bestFit="1" customWidth="1"/>
    <col min="5129" max="5129" width="26.85546875" bestFit="1" customWidth="1"/>
    <col min="5130" max="5130" width="20.85546875" bestFit="1" customWidth="1"/>
    <col min="5131" max="5131" width="30.42578125" bestFit="1" customWidth="1"/>
    <col min="5132" max="5132" width="19.42578125" bestFit="1" customWidth="1"/>
    <col min="5133" max="5133" width="20.28515625" bestFit="1" customWidth="1"/>
    <col min="5134" max="5135" width="12" bestFit="1" customWidth="1"/>
    <col min="5136" max="5137" width="12.5703125" bestFit="1" customWidth="1"/>
    <col min="5138" max="5138" width="11.7109375" bestFit="1" customWidth="1"/>
    <col min="5139" max="5139" width="19" bestFit="1" customWidth="1"/>
    <col min="5140" max="5140" width="12.140625" bestFit="1" customWidth="1"/>
    <col min="5370" max="5370" width="15" bestFit="1" customWidth="1"/>
    <col min="5371" max="5371" width="68.28515625" bestFit="1" customWidth="1"/>
    <col min="5372" max="5372" width="9.140625" bestFit="1" customWidth="1"/>
    <col min="5373" max="5373" width="21.42578125" bestFit="1" customWidth="1"/>
    <col min="5374" max="5376" width="15.42578125" bestFit="1" customWidth="1"/>
    <col min="5377" max="5377" width="8.85546875" bestFit="1" customWidth="1"/>
    <col min="5378" max="5378" width="10" bestFit="1" customWidth="1"/>
    <col min="5379" max="5379" width="12.7109375" bestFit="1" customWidth="1"/>
    <col min="5380" max="5380" width="8.85546875" bestFit="1" customWidth="1"/>
    <col min="5381" max="5381" width="17.7109375" bestFit="1" customWidth="1"/>
    <col min="5382" max="5382" width="13" bestFit="1" customWidth="1"/>
    <col min="5383" max="5383" width="13.42578125" bestFit="1" customWidth="1"/>
    <col min="5384" max="5384" width="10.85546875" bestFit="1" customWidth="1"/>
    <col min="5385" max="5385" width="26.85546875" bestFit="1" customWidth="1"/>
    <col min="5386" max="5386" width="20.85546875" bestFit="1" customWidth="1"/>
    <col min="5387" max="5387" width="30.42578125" bestFit="1" customWidth="1"/>
    <col min="5388" max="5388" width="19.42578125" bestFit="1" customWidth="1"/>
    <col min="5389" max="5389" width="20.28515625" bestFit="1" customWidth="1"/>
    <col min="5390" max="5391" width="12" bestFit="1" customWidth="1"/>
    <col min="5392" max="5393" width="12.5703125" bestFit="1" customWidth="1"/>
    <col min="5394" max="5394" width="11.7109375" bestFit="1" customWidth="1"/>
    <col min="5395" max="5395" width="19" bestFit="1" customWidth="1"/>
    <col min="5396" max="5396" width="12.140625" bestFit="1" customWidth="1"/>
    <col min="5626" max="5626" width="15" bestFit="1" customWidth="1"/>
    <col min="5627" max="5627" width="68.28515625" bestFit="1" customWidth="1"/>
    <col min="5628" max="5628" width="9.140625" bestFit="1" customWidth="1"/>
    <col min="5629" max="5629" width="21.42578125" bestFit="1" customWidth="1"/>
    <col min="5630" max="5632" width="15.42578125" bestFit="1" customWidth="1"/>
    <col min="5633" max="5633" width="8.85546875" bestFit="1" customWidth="1"/>
    <col min="5634" max="5634" width="10" bestFit="1" customWidth="1"/>
    <col min="5635" max="5635" width="12.7109375" bestFit="1" customWidth="1"/>
    <col min="5636" max="5636" width="8.85546875" bestFit="1" customWidth="1"/>
    <col min="5637" max="5637" width="17.7109375" bestFit="1" customWidth="1"/>
    <col min="5638" max="5638" width="13" bestFit="1" customWidth="1"/>
    <col min="5639" max="5639" width="13.42578125" bestFit="1" customWidth="1"/>
    <col min="5640" max="5640" width="10.85546875" bestFit="1" customWidth="1"/>
    <col min="5641" max="5641" width="26.85546875" bestFit="1" customWidth="1"/>
    <col min="5642" max="5642" width="20.85546875" bestFit="1" customWidth="1"/>
    <col min="5643" max="5643" width="30.42578125" bestFit="1" customWidth="1"/>
    <col min="5644" max="5644" width="19.42578125" bestFit="1" customWidth="1"/>
    <col min="5645" max="5645" width="20.28515625" bestFit="1" customWidth="1"/>
    <col min="5646" max="5647" width="12" bestFit="1" customWidth="1"/>
    <col min="5648" max="5649" width="12.5703125" bestFit="1" customWidth="1"/>
    <col min="5650" max="5650" width="11.7109375" bestFit="1" customWidth="1"/>
    <col min="5651" max="5651" width="19" bestFit="1" customWidth="1"/>
    <col min="5652" max="5652" width="12.140625" bestFit="1" customWidth="1"/>
    <col min="5882" max="5882" width="15" bestFit="1" customWidth="1"/>
    <col min="5883" max="5883" width="68.28515625" bestFit="1" customWidth="1"/>
    <col min="5884" max="5884" width="9.140625" bestFit="1" customWidth="1"/>
    <col min="5885" max="5885" width="21.42578125" bestFit="1" customWidth="1"/>
    <col min="5886" max="5888" width="15.42578125" bestFit="1" customWidth="1"/>
    <col min="5889" max="5889" width="8.85546875" bestFit="1" customWidth="1"/>
    <col min="5890" max="5890" width="10" bestFit="1" customWidth="1"/>
    <col min="5891" max="5891" width="12.7109375" bestFit="1" customWidth="1"/>
    <col min="5892" max="5892" width="8.85546875" bestFit="1" customWidth="1"/>
    <col min="5893" max="5893" width="17.7109375" bestFit="1" customWidth="1"/>
    <col min="5894" max="5894" width="13" bestFit="1" customWidth="1"/>
    <col min="5895" max="5895" width="13.42578125" bestFit="1" customWidth="1"/>
    <col min="5896" max="5896" width="10.85546875" bestFit="1" customWidth="1"/>
    <col min="5897" max="5897" width="26.85546875" bestFit="1" customWidth="1"/>
    <col min="5898" max="5898" width="20.85546875" bestFit="1" customWidth="1"/>
    <col min="5899" max="5899" width="30.42578125" bestFit="1" customWidth="1"/>
    <col min="5900" max="5900" width="19.42578125" bestFit="1" customWidth="1"/>
    <col min="5901" max="5901" width="20.28515625" bestFit="1" customWidth="1"/>
    <col min="5902" max="5903" width="12" bestFit="1" customWidth="1"/>
    <col min="5904" max="5905" width="12.5703125" bestFit="1" customWidth="1"/>
    <col min="5906" max="5906" width="11.7109375" bestFit="1" customWidth="1"/>
    <col min="5907" max="5907" width="19" bestFit="1" customWidth="1"/>
    <col min="5908" max="5908" width="12.140625" bestFit="1" customWidth="1"/>
    <col min="6138" max="6138" width="15" bestFit="1" customWidth="1"/>
    <col min="6139" max="6139" width="68.28515625" bestFit="1" customWidth="1"/>
    <col min="6140" max="6140" width="9.140625" bestFit="1" customWidth="1"/>
    <col min="6141" max="6141" width="21.42578125" bestFit="1" customWidth="1"/>
    <col min="6142" max="6144" width="15.42578125" bestFit="1" customWidth="1"/>
    <col min="6145" max="6145" width="8.85546875" bestFit="1" customWidth="1"/>
    <col min="6146" max="6146" width="10" bestFit="1" customWidth="1"/>
    <col min="6147" max="6147" width="12.7109375" bestFit="1" customWidth="1"/>
    <col min="6148" max="6148" width="8.85546875" bestFit="1" customWidth="1"/>
    <col min="6149" max="6149" width="17.7109375" bestFit="1" customWidth="1"/>
    <col min="6150" max="6150" width="13" bestFit="1" customWidth="1"/>
    <col min="6151" max="6151" width="13.42578125" bestFit="1" customWidth="1"/>
    <col min="6152" max="6152" width="10.85546875" bestFit="1" customWidth="1"/>
    <col min="6153" max="6153" width="26.85546875" bestFit="1" customWidth="1"/>
    <col min="6154" max="6154" width="20.85546875" bestFit="1" customWidth="1"/>
    <col min="6155" max="6155" width="30.42578125" bestFit="1" customWidth="1"/>
    <col min="6156" max="6156" width="19.42578125" bestFit="1" customWidth="1"/>
    <col min="6157" max="6157" width="20.28515625" bestFit="1" customWidth="1"/>
    <col min="6158" max="6159" width="12" bestFit="1" customWidth="1"/>
    <col min="6160" max="6161" width="12.5703125" bestFit="1" customWidth="1"/>
    <col min="6162" max="6162" width="11.7109375" bestFit="1" customWidth="1"/>
    <col min="6163" max="6163" width="19" bestFit="1" customWidth="1"/>
    <col min="6164" max="6164" width="12.140625" bestFit="1" customWidth="1"/>
    <col min="6394" max="6394" width="15" bestFit="1" customWidth="1"/>
    <col min="6395" max="6395" width="68.28515625" bestFit="1" customWidth="1"/>
    <col min="6396" max="6396" width="9.140625" bestFit="1" customWidth="1"/>
    <col min="6397" max="6397" width="21.42578125" bestFit="1" customWidth="1"/>
    <col min="6398" max="6400" width="15.42578125" bestFit="1" customWidth="1"/>
    <col min="6401" max="6401" width="8.85546875" bestFit="1" customWidth="1"/>
    <col min="6402" max="6402" width="10" bestFit="1" customWidth="1"/>
    <col min="6403" max="6403" width="12.7109375" bestFit="1" customWidth="1"/>
    <col min="6404" max="6404" width="8.85546875" bestFit="1" customWidth="1"/>
    <col min="6405" max="6405" width="17.7109375" bestFit="1" customWidth="1"/>
    <col min="6406" max="6406" width="13" bestFit="1" customWidth="1"/>
    <col min="6407" max="6407" width="13.42578125" bestFit="1" customWidth="1"/>
    <col min="6408" max="6408" width="10.85546875" bestFit="1" customWidth="1"/>
    <col min="6409" max="6409" width="26.85546875" bestFit="1" customWidth="1"/>
    <col min="6410" max="6410" width="20.85546875" bestFit="1" customWidth="1"/>
    <col min="6411" max="6411" width="30.42578125" bestFit="1" customWidth="1"/>
    <col min="6412" max="6412" width="19.42578125" bestFit="1" customWidth="1"/>
    <col min="6413" max="6413" width="20.28515625" bestFit="1" customWidth="1"/>
    <col min="6414" max="6415" width="12" bestFit="1" customWidth="1"/>
    <col min="6416" max="6417" width="12.5703125" bestFit="1" customWidth="1"/>
    <col min="6418" max="6418" width="11.7109375" bestFit="1" customWidth="1"/>
    <col min="6419" max="6419" width="19" bestFit="1" customWidth="1"/>
    <col min="6420" max="6420" width="12.140625" bestFit="1" customWidth="1"/>
    <col min="6650" max="6650" width="15" bestFit="1" customWidth="1"/>
    <col min="6651" max="6651" width="68.28515625" bestFit="1" customWidth="1"/>
    <col min="6652" max="6652" width="9.140625" bestFit="1" customWidth="1"/>
    <col min="6653" max="6653" width="21.42578125" bestFit="1" customWidth="1"/>
    <col min="6654" max="6656" width="15.42578125" bestFit="1" customWidth="1"/>
    <col min="6657" max="6657" width="8.85546875" bestFit="1" customWidth="1"/>
    <col min="6658" max="6658" width="10" bestFit="1" customWidth="1"/>
    <col min="6659" max="6659" width="12.7109375" bestFit="1" customWidth="1"/>
    <col min="6660" max="6660" width="8.85546875" bestFit="1" customWidth="1"/>
    <col min="6661" max="6661" width="17.7109375" bestFit="1" customWidth="1"/>
    <col min="6662" max="6662" width="13" bestFit="1" customWidth="1"/>
    <col min="6663" max="6663" width="13.42578125" bestFit="1" customWidth="1"/>
    <col min="6664" max="6664" width="10.85546875" bestFit="1" customWidth="1"/>
    <col min="6665" max="6665" width="26.85546875" bestFit="1" customWidth="1"/>
    <col min="6666" max="6666" width="20.85546875" bestFit="1" customWidth="1"/>
    <col min="6667" max="6667" width="30.42578125" bestFit="1" customWidth="1"/>
    <col min="6668" max="6668" width="19.42578125" bestFit="1" customWidth="1"/>
    <col min="6669" max="6669" width="20.28515625" bestFit="1" customWidth="1"/>
    <col min="6670" max="6671" width="12" bestFit="1" customWidth="1"/>
    <col min="6672" max="6673" width="12.5703125" bestFit="1" customWidth="1"/>
    <col min="6674" max="6674" width="11.7109375" bestFit="1" customWidth="1"/>
    <col min="6675" max="6675" width="19" bestFit="1" customWidth="1"/>
    <col min="6676" max="6676" width="12.140625" bestFit="1" customWidth="1"/>
    <col min="6906" max="6906" width="15" bestFit="1" customWidth="1"/>
    <col min="6907" max="6907" width="68.28515625" bestFit="1" customWidth="1"/>
    <col min="6908" max="6908" width="9.140625" bestFit="1" customWidth="1"/>
    <col min="6909" max="6909" width="21.42578125" bestFit="1" customWidth="1"/>
    <col min="6910" max="6912" width="15.42578125" bestFit="1" customWidth="1"/>
    <col min="6913" max="6913" width="8.85546875" bestFit="1" customWidth="1"/>
    <col min="6914" max="6914" width="10" bestFit="1" customWidth="1"/>
    <col min="6915" max="6915" width="12.7109375" bestFit="1" customWidth="1"/>
    <col min="6916" max="6916" width="8.85546875" bestFit="1" customWidth="1"/>
    <col min="6917" max="6917" width="17.7109375" bestFit="1" customWidth="1"/>
    <col min="6918" max="6918" width="13" bestFit="1" customWidth="1"/>
    <col min="6919" max="6919" width="13.42578125" bestFit="1" customWidth="1"/>
    <col min="6920" max="6920" width="10.85546875" bestFit="1" customWidth="1"/>
    <col min="6921" max="6921" width="26.85546875" bestFit="1" customWidth="1"/>
    <col min="6922" max="6922" width="20.85546875" bestFit="1" customWidth="1"/>
    <col min="6923" max="6923" width="30.42578125" bestFit="1" customWidth="1"/>
    <col min="6924" max="6924" width="19.42578125" bestFit="1" customWidth="1"/>
    <col min="6925" max="6925" width="20.28515625" bestFit="1" customWidth="1"/>
    <col min="6926" max="6927" width="12" bestFit="1" customWidth="1"/>
    <col min="6928" max="6929" width="12.5703125" bestFit="1" customWidth="1"/>
    <col min="6930" max="6930" width="11.7109375" bestFit="1" customWidth="1"/>
    <col min="6931" max="6931" width="19" bestFit="1" customWidth="1"/>
    <col min="6932" max="6932" width="12.140625" bestFit="1" customWidth="1"/>
    <col min="7162" max="7162" width="15" bestFit="1" customWidth="1"/>
    <col min="7163" max="7163" width="68.28515625" bestFit="1" customWidth="1"/>
    <col min="7164" max="7164" width="9.140625" bestFit="1" customWidth="1"/>
    <col min="7165" max="7165" width="21.42578125" bestFit="1" customWidth="1"/>
    <col min="7166" max="7168" width="15.42578125" bestFit="1" customWidth="1"/>
    <col min="7169" max="7169" width="8.85546875" bestFit="1" customWidth="1"/>
    <col min="7170" max="7170" width="10" bestFit="1" customWidth="1"/>
    <col min="7171" max="7171" width="12.7109375" bestFit="1" customWidth="1"/>
    <col min="7172" max="7172" width="8.85546875" bestFit="1" customWidth="1"/>
    <col min="7173" max="7173" width="17.7109375" bestFit="1" customWidth="1"/>
    <col min="7174" max="7174" width="13" bestFit="1" customWidth="1"/>
    <col min="7175" max="7175" width="13.42578125" bestFit="1" customWidth="1"/>
    <col min="7176" max="7176" width="10.85546875" bestFit="1" customWidth="1"/>
    <col min="7177" max="7177" width="26.85546875" bestFit="1" customWidth="1"/>
    <col min="7178" max="7178" width="20.85546875" bestFit="1" customWidth="1"/>
    <col min="7179" max="7179" width="30.42578125" bestFit="1" customWidth="1"/>
    <col min="7180" max="7180" width="19.42578125" bestFit="1" customWidth="1"/>
    <col min="7181" max="7181" width="20.28515625" bestFit="1" customWidth="1"/>
    <col min="7182" max="7183" width="12" bestFit="1" customWidth="1"/>
    <col min="7184" max="7185" width="12.5703125" bestFit="1" customWidth="1"/>
    <col min="7186" max="7186" width="11.7109375" bestFit="1" customWidth="1"/>
    <col min="7187" max="7187" width="19" bestFit="1" customWidth="1"/>
    <col min="7188" max="7188" width="12.140625" bestFit="1" customWidth="1"/>
    <col min="7418" max="7418" width="15" bestFit="1" customWidth="1"/>
    <col min="7419" max="7419" width="68.28515625" bestFit="1" customWidth="1"/>
    <col min="7420" max="7420" width="9.140625" bestFit="1" customWidth="1"/>
    <col min="7421" max="7421" width="21.42578125" bestFit="1" customWidth="1"/>
    <col min="7422" max="7424" width="15.42578125" bestFit="1" customWidth="1"/>
    <col min="7425" max="7425" width="8.85546875" bestFit="1" customWidth="1"/>
    <col min="7426" max="7426" width="10" bestFit="1" customWidth="1"/>
    <col min="7427" max="7427" width="12.7109375" bestFit="1" customWidth="1"/>
    <col min="7428" max="7428" width="8.85546875" bestFit="1" customWidth="1"/>
    <col min="7429" max="7429" width="17.7109375" bestFit="1" customWidth="1"/>
    <col min="7430" max="7430" width="13" bestFit="1" customWidth="1"/>
    <col min="7431" max="7431" width="13.42578125" bestFit="1" customWidth="1"/>
    <col min="7432" max="7432" width="10.85546875" bestFit="1" customWidth="1"/>
    <col min="7433" max="7433" width="26.85546875" bestFit="1" customWidth="1"/>
    <col min="7434" max="7434" width="20.85546875" bestFit="1" customWidth="1"/>
    <col min="7435" max="7435" width="30.42578125" bestFit="1" customWidth="1"/>
    <col min="7436" max="7436" width="19.42578125" bestFit="1" customWidth="1"/>
    <col min="7437" max="7437" width="20.28515625" bestFit="1" customWidth="1"/>
    <col min="7438" max="7439" width="12" bestFit="1" customWidth="1"/>
    <col min="7440" max="7441" width="12.5703125" bestFit="1" customWidth="1"/>
    <col min="7442" max="7442" width="11.7109375" bestFit="1" customWidth="1"/>
    <col min="7443" max="7443" width="19" bestFit="1" customWidth="1"/>
    <col min="7444" max="7444" width="12.140625" bestFit="1" customWidth="1"/>
    <col min="7674" max="7674" width="15" bestFit="1" customWidth="1"/>
    <col min="7675" max="7675" width="68.28515625" bestFit="1" customWidth="1"/>
    <col min="7676" max="7676" width="9.140625" bestFit="1" customWidth="1"/>
    <col min="7677" max="7677" width="21.42578125" bestFit="1" customWidth="1"/>
    <col min="7678" max="7680" width="15.42578125" bestFit="1" customWidth="1"/>
    <col min="7681" max="7681" width="8.85546875" bestFit="1" customWidth="1"/>
    <col min="7682" max="7682" width="10" bestFit="1" customWidth="1"/>
    <col min="7683" max="7683" width="12.7109375" bestFit="1" customWidth="1"/>
    <col min="7684" max="7684" width="8.85546875" bestFit="1" customWidth="1"/>
    <col min="7685" max="7685" width="17.7109375" bestFit="1" customWidth="1"/>
    <col min="7686" max="7686" width="13" bestFit="1" customWidth="1"/>
    <col min="7687" max="7687" width="13.42578125" bestFit="1" customWidth="1"/>
    <col min="7688" max="7688" width="10.85546875" bestFit="1" customWidth="1"/>
    <col min="7689" max="7689" width="26.85546875" bestFit="1" customWidth="1"/>
    <col min="7690" max="7690" width="20.85546875" bestFit="1" customWidth="1"/>
    <col min="7691" max="7691" width="30.42578125" bestFit="1" customWidth="1"/>
    <col min="7692" max="7692" width="19.42578125" bestFit="1" customWidth="1"/>
    <col min="7693" max="7693" width="20.28515625" bestFit="1" customWidth="1"/>
    <col min="7694" max="7695" width="12" bestFit="1" customWidth="1"/>
    <col min="7696" max="7697" width="12.5703125" bestFit="1" customWidth="1"/>
    <col min="7698" max="7698" width="11.7109375" bestFit="1" customWidth="1"/>
    <col min="7699" max="7699" width="19" bestFit="1" customWidth="1"/>
    <col min="7700" max="7700" width="12.140625" bestFit="1" customWidth="1"/>
    <col min="7930" max="7930" width="15" bestFit="1" customWidth="1"/>
    <col min="7931" max="7931" width="68.28515625" bestFit="1" customWidth="1"/>
    <col min="7932" max="7932" width="9.140625" bestFit="1" customWidth="1"/>
    <col min="7933" max="7933" width="21.42578125" bestFit="1" customWidth="1"/>
    <col min="7934" max="7936" width="15.42578125" bestFit="1" customWidth="1"/>
    <col min="7937" max="7937" width="8.85546875" bestFit="1" customWidth="1"/>
    <col min="7938" max="7938" width="10" bestFit="1" customWidth="1"/>
    <col min="7939" max="7939" width="12.7109375" bestFit="1" customWidth="1"/>
    <col min="7940" max="7940" width="8.85546875" bestFit="1" customWidth="1"/>
    <col min="7941" max="7941" width="17.7109375" bestFit="1" customWidth="1"/>
    <col min="7942" max="7942" width="13" bestFit="1" customWidth="1"/>
    <col min="7943" max="7943" width="13.42578125" bestFit="1" customWidth="1"/>
    <col min="7944" max="7944" width="10.85546875" bestFit="1" customWidth="1"/>
    <col min="7945" max="7945" width="26.85546875" bestFit="1" customWidth="1"/>
    <col min="7946" max="7946" width="20.85546875" bestFit="1" customWidth="1"/>
    <col min="7947" max="7947" width="30.42578125" bestFit="1" customWidth="1"/>
    <col min="7948" max="7948" width="19.42578125" bestFit="1" customWidth="1"/>
    <col min="7949" max="7949" width="20.28515625" bestFit="1" customWidth="1"/>
    <col min="7950" max="7951" width="12" bestFit="1" customWidth="1"/>
    <col min="7952" max="7953" width="12.5703125" bestFit="1" customWidth="1"/>
    <col min="7954" max="7954" width="11.7109375" bestFit="1" customWidth="1"/>
    <col min="7955" max="7955" width="19" bestFit="1" customWidth="1"/>
    <col min="7956" max="7956" width="12.140625" bestFit="1" customWidth="1"/>
    <col min="8186" max="8186" width="15" bestFit="1" customWidth="1"/>
    <col min="8187" max="8187" width="68.28515625" bestFit="1" customWidth="1"/>
    <col min="8188" max="8188" width="9.140625" bestFit="1" customWidth="1"/>
    <col min="8189" max="8189" width="21.42578125" bestFit="1" customWidth="1"/>
    <col min="8190" max="8192" width="15.42578125" bestFit="1" customWidth="1"/>
    <col min="8193" max="8193" width="8.85546875" bestFit="1" customWidth="1"/>
    <col min="8194" max="8194" width="10" bestFit="1" customWidth="1"/>
    <col min="8195" max="8195" width="12.7109375" bestFit="1" customWidth="1"/>
    <col min="8196" max="8196" width="8.85546875" bestFit="1" customWidth="1"/>
    <col min="8197" max="8197" width="17.7109375" bestFit="1" customWidth="1"/>
    <col min="8198" max="8198" width="13" bestFit="1" customWidth="1"/>
    <col min="8199" max="8199" width="13.42578125" bestFit="1" customWidth="1"/>
    <col min="8200" max="8200" width="10.85546875" bestFit="1" customWidth="1"/>
    <col min="8201" max="8201" width="26.85546875" bestFit="1" customWidth="1"/>
    <col min="8202" max="8202" width="20.85546875" bestFit="1" customWidth="1"/>
    <col min="8203" max="8203" width="30.42578125" bestFit="1" customWidth="1"/>
    <col min="8204" max="8204" width="19.42578125" bestFit="1" customWidth="1"/>
    <col min="8205" max="8205" width="20.28515625" bestFit="1" customWidth="1"/>
    <col min="8206" max="8207" width="12" bestFit="1" customWidth="1"/>
    <col min="8208" max="8209" width="12.5703125" bestFit="1" customWidth="1"/>
    <col min="8210" max="8210" width="11.7109375" bestFit="1" customWidth="1"/>
    <col min="8211" max="8211" width="19" bestFit="1" customWidth="1"/>
    <col min="8212" max="8212" width="12.140625" bestFit="1" customWidth="1"/>
    <col min="8442" max="8442" width="15" bestFit="1" customWidth="1"/>
    <col min="8443" max="8443" width="68.28515625" bestFit="1" customWidth="1"/>
    <col min="8444" max="8444" width="9.140625" bestFit="1" customWidth="1"/>
    <col min="8445" max="8445" width="21.42578125" bestFit="1" customWidth="1"/>
    <col min="8446" max="8448" width="15.42578125" bestFit="1" customWidth="1"/>
    <col min="8449" max="8449" width="8.85546875" bestFit="1" customWidth="1"/>
    <col min="8450" max="8450" width="10" bestFit="1" customWidth="1"/>
    <col min="8451" max="8451" width="12.7109375" bestFit="1" customWidth="1"/>
    <col min="8452" max="8452" width="8.85546875" bestFit="1" customWidth="1"/>
    <col min="8453" max="8453" width="17.7109375" bestFit="1" customWidth="1"/>
    <col min="8454" max="8454" width="13" bestFit="1" customWidth="1"/>
    <col min="8455" max="8455" width="13.42578125" bestFit="1" customWidth="1"/>
    <col min="8456" max="8456" width="10.85546875" bestFit="1" customWidth="1"/>
    <col min="8457" max="8457" width="26.85546875" bestFit="1" customWidth="1"/>
    <col min="8458" max="8458" width="20.85546875" bestFit="1" customWidth="1"/>
    <col min="8459" max="8459" width="30.42578125" bestFit="1" customWidth="1"/>
    <col min="8460" max="8460" width="19.42578125" bestFit="1" customWidth="1"/>
    <col min="8461" max="8461" width="20.28515625" bestFit="1" customWidth="1"/>
    <col min="8462" max="8463" width="12" bestFit="1" customWidth="1"/>
    <col min="8464" max="8465" width="12.5703125" bestFit="1" customWidth="1"/>
    <col min="8466" max="8466" width="11.7109375" bestFit="1" customWidth="1"/>
    <col min="8467" max="8467" width="19" bestFit="1" customWidth="1"/>
    <col min="8468" max="8468" width="12.140625" bestFit="1" customWidth="1"/>
    <col min="8698" max="8698" width="15" bestFit="1" customWidth="1"/>
    <col min="8699" max="8699" width="68.28515625" bestFit="1" customWidth="1"/>
    <col min="8700" max="8700" width="9.140625" bestFit="1" customWidth="1"/>
    <col min="8701" max="8701" width="21.42578125" bestFit="1" customWidth="1"/>
    <col min="8702" max="8704" width="15.42578125" bestFit="1" customWidth="1"/>
    <col min="8705" max="8705" width="8.85546875" bestFit="1" customWidth="1"/>
    <col min="8706" max="8706" width="10" bestFit="1" customWidth="1"/>
    <col min="8707" max="8707" width="12.7109375" bestFit="1" customWidth="1"/>
    <col min="8708" max="8708" width="8.85546875" bestFit="1" customWidth="1"/>
    <col min="8709" max="8709" width="17.7109375" bestFit="1" customWidth="1"/>
    <col min="8710" max="8710" width="13" bestFit="1" customWidth="1"/>
    <col min="8711" max="8711" width="13.42578125" bestFit="1" customWidth="1"/>
    <col min="8712" max="8712" width="10.85546875" bestFit="1" customWidth="1"/>
    <col min="8713" max="8713" width="26.85546875" bestFit="1" customWidth="1"/>
    <col min="8714" max="8714" width="20.85546875" bestFit="1" customWidth="1"/>
    <col min="8715" max="8715" width="30.42578125" bestFit="1" customWidth="1"/>
    <col min="8716" max="8716" width="19.42578125" bestFit="1" customWidth="1"/>
    <col min="8717" max="8717" width="20.28515625" bestFit="1" customWidth="1"/>
    <col min="8718" max="8719" width="12" bestFit="1" customWidth="1"/>
    <col min="8720" max="8721" width="12.5703125" bestFit="1" customWidth="1"/>
    <col min="8722" max="8722" width="11.7109375" bestFit="1" customWidth="1"/>
    <col min="8723" max="8723" width="19" bestFit="1" customWidth="1"/>
    <col min="8724" max="8724" width="12.140625" bestFit="1" customWidth="1"/>
    <col min="8954" max="8954" width="15" bestFit="1" customWidth="1"/>
    <col min="8955" max="8955" width="68.28515625" bestFit="1" customWidth="1"/>
    <col min="8956" max="8956" width="9.140625" bestFit="1" customWidth="1"/>
    <col min="8957" max="8957" width="21.42578125" bestFit="1" customWidth="1"/>
    <col min="8958" max="8960" width="15.42578125" bestFit="1" customWidth="1"/>
    <col min="8961" max="8961" width="8.85546875" bestFit="1" customWidth="1"/>
    <col min="8962" max="8962" width="10" bestFit="1" customWidth="1"/>
    <col min="8963" max="8963" width="12.7109375" bestFit="1" customWidth="1"/>
    <col min="8964" max="8964" width="8.85546875" bestFit="1" customWidth="1"/>
    <col min="8965" max="8965" width="17.7109375" bestFit="1" customWidth="1"/>
    <col min="8966" max="8966" width="13" bestFit="1" customWidth="1"/>
    <col min="8967" max="8967" width="13.42578125" bestFit="1" customWidth="1"/>
    <col min="8968" max="8968" width="10.85546875" bestFit="1" customWidth="1"/>
    <col min="8969" max="8969" width="26.85546875" bestFit="1" customWidth="1"/>
    <col min="8970" max="8970" width="20.85546875" bestFit="1" customWidth="1"/>
    <col min="8971" max="8971" width="30.42578125" bestFit="1" customWidth="1"/>
    <col min="8972" max="8972" width="19.42578125" bestFit="1" customWidth="1"/>
    <col min="8973" max="8973" width="20.28515625" bestFit="1" customWidth="1"/>
    <col min="8974" max="8975" width="12" bestFit="1" customWidth="1"/>
    <col min="8976" max="8977" width="12.5703125" bestFit="1" customWidth="1"/>
    <col min="8978" max="8978" width="11.7109375" bestFit="1" customWidth="1"/>
    <col min="8979" max="8979" width="19" bestFit="1" customWidth="1"/>
    <col min="8980" max="8980" width="12.140625" bestFit="1" customWidth="1"/>
    <col min="9210" max="9210" width="15" bestFit="1" customWidth="1"/>
    <col min="9211" max="9211" width="68.28515625" bestFit="1" customWidth="1"/>
    <col min="9212" max="9212" width="9.140625" bestFit="1" customWidth="1"/>
    <col min="9213" max="9213" width="21.42578125" bestFit="1" customWidth="1"/>
    <col min="9214" max="9216" width="15.42578125" bestFit="1" customWidth="1"/>
    <col min="9217" max="9217" width="8.85546875" bestFit="1" customWidth="1"/>
    <col min="9218" max="9218" width="10" bestFit="1" customWidth="1"/>
    <col min="9219" max="9219" width="12.7109375" bestFit="1" customWidth="1"/>
    <col min="9220" max="9220" width="8.85546875" bestFit="1" customWidth="1"/>
    <col min="9221" max="9221" width="17.7109375" bestFit="1" customWidth="1"/>
    <col min="9222" max="9222" width="13" bestFit="1" customWidth="1"/>
    <col min="9223" max="9223" width="13.42578125" bestFit="1" customWidth="1"/>
    <col min="9224" max="9224" width="10.85546875" bestFit="1" customWidth="1"/>
    <col min="9225" max="9225" width="26.85546875" bestFit="1" customWidth="1"/>
    <col min="9226" max="9226" width="20.85546875" bestFit="1" customWidth="1"/>
    <col min="9227" max="9227" width="30.42578125" bestFit="1" customWidth="1"/>
    <col min="9228" max="9228" width="19.42578125" bestFit="1" customWidth="1"/>
    <col min="9229" max="9229" width="20.28515625" bestFit="1" customWidth="1"/>
    <col min="9230" max="9231" width="12" bestFit="1" customWidth="1"/>
    <col min="9232" max="9233" width="12.5703125" bestFit="1" customWidth="1"/>
    <col min="9234" max="9234" width="11.7109375" bestFit="1" customWidth="1"/>
    <col min="9235" max="9235" width="19" bestFit="1" customWidth="1"/>
    <col min="9236" max="9236" width="12.140625" bestFit="1" customWidth="1"/>
    <col min="9466" max="9466" width="15" bestFit="1" customWidth="1"/>
    <col min="9467" max="9467" width="68.28515625" bestFit="1" customWidth="1"/>
    <col min="9468" max="9468" width="9.140625" bestFit="1" customWidth="1"/>
    <col min="9469" max="9469" width="21.42578125" bestFit="1" customWidth="1"/>
    <col min="9470" max="9472" width="15.42578125" bestFit="1" customWidth="1"/>
    <col min="9473" max="9473" width="8.85546875" bestFit="1" customWidth="1"/>
    <col min="9474" max="9474" width="10" bestFit="1" customWidth="1"/>
    <col min="9475" max="9475" width="12.7109375" bestFit="1" customWidth="1"/>
    <col min="9476" max="9476" width="8.85546875" bestFit="1" customWidth="1"/>
    <col min="9477" max="9477" width="17.7109375" bestFit="1" customWidth="1"/>
    <col min="9478" max="9478" width="13" bestFit="1" customWidth="1"/>
    <col min="9479" max="9479" width="13.42578125" bestFit="1" customWidth="1"/>
    <col min="9480" max="9480" width="10.85546875" bestFit="1" customWidth="1"/>
    <col min="9481" max="9481" width="26.85546875" bestFit="1" customWidth="1"/>
    <col min="9482" max="9482" width="20.85546875" bestFit="1" customWidth="1"/>
    <col min="9483" max="9483" width="30.42578125" bestFit="1" customWidth="1"/>
    <col min="9484" max="9484" width="19.42578125" bestFit="1" customWidth="1"/>
    <col min="9485" max="9485" width="20.28515625" bestFit="1" customWidth="1"/>
    <col min="9486" max="9487" width="12" bestFit="1" customWidth="1"/>
    <col min="9488" max="9489" width="12.5703125" bestFit="1" customWidth="1"/>
    <col min="9490" max="9490" width="11.7109375" bestFit="1" customWidth="1"/>
    <col min="9491" max="9491" width="19" bestFit="1" customWidth="1"/>
    <col min="9492" max="9492" width="12.140625" bestFit="1" customWidth="1"/>
    <col min="9722" max="9722" width="15" bestFit="1" customWidth="1"/>
    <col min="9723" max="9723" width="68.28515625" bestFit="1" customWidth="1"/>
    <col min="9724" max="9724" width="9.140625" bestFit="1" customWidth="1"/>
    <col min="9725" max="9725" width="21.42578125" bestFit="1" customWidth="1"/>
    <col min="9726" max="9728" width="15.42578125" bestFit="1" customWidth="1"/>
    <col min="9729" max="9729" width="8.85546875" bestFit="1" customWidth="1"/>
    <col min="9730" max="9730" width="10" bestFit="1" customWidth="1"/>
    <col min="9731" max="9731" width="12.7109375" bestFit="1" customWidth="1"/>
    <col min="9732" max="9732" width="8.85546875" bestFit="1" customWidth="1"/>
    <col min="9733" max="9733" width="17.7109375" bestFit="1" customWidth="1"/>
    <col min="9734" max="9734" width="13" bestFit="1" customWidth="1"/>
    <col min="9735" max="9735" width="13.42578125" bestFit="1" customWidth="1"/>
    <col min="9736" max="9736" width="10.85546875" bestFit="1" customWidth="1"/>
    <col min="9737" max="9737" width="26.85546875" bestFit="1" customWidth="1"/>
    <col min="9738" max="9738" width="20.85546875" bestFit="1" customWidth="1"/>
    <col min="9739" max="9739" width="30.42578125" bestFit="1" customWidth="1"/>
    <col min="9740" max="9740" width="19.42578125" bestFit="1" customWidth="1"/>
    <col min="9741" max="9741" width="20.28515625" bestFit="1" customWidth="1"/>
    <col min="9742" max="9743" width="12" bestFit="1" customWidth="1"/>
    <col min="9744" max="9745" width="12.5703125" bestFit="1" customWidth="1"/>
    <col min="9746" max="9746" width="11.7109375" bestFit="1" customWidth="1"/>
    <col min="9747" max="9747" width="19" bestFit="1" customWidth="1"/>
    <col min="9748" max="9748" width="12.140625" bestFit="1" customWidth="1"/>
    <col min="9978" max="9978" width="15" bestFit="1" customWidth="1"/>
    <col min="9979" max="9979" width="68.28515625" bestFit="1" customWidth="1"/>
    <col min="9980" max="9980" width="9.140625" bestFit="1" customWidth="1"/>
    <col min="9981" max="9981" width="21.42578125" bestFit="1" customWidth="1"/>
    <col min="9982" max="9984" width="15.42578125" bestFit="1" customWidth="1"/>
    <col min="9985" max="9985" width="8.85546875" bestFit="1" customWidth="1"/>
    <col min="9986" max="9986" width="10" bestFit="1" customWidth="1"/>
    <col min="9987" max="9987" width="12.7109375" bestFit="1" customWidth="1"/>
    <col min="9988" max="9988" width="8.85546875" bestFit="1" customWidth="1"/>
    <col min="9989" max="9989" width="17.7109375" bestFit="1" customWidth="1"/>
    <col min="9990" max="9990" width="13" bestFit="1" customWidth="1"/>
    <col min="9991" max="9991" width="13.42578125" bestFit="1" customWidth="1"/>
    <col min="9992" max="9992" width="10.85546875" bestFit="1" customWidth="1"/>
    <col min="9993" max="9993" width="26.85546875" bestFit="1" customWidth="1"/>
    <col min="9994" max="9994" width="20.85546875" bestFit="1" customWidth="1"/>
    <col min="9995" max="9995" width="30.42578125" bestFit="1" customWidth="1"/>
    <col min="9996" max="9996" width="19.42578125" bestFit="1" customWidth="1"/>
    <col min="9997" max="9997" width="20.28515625" bestFit="1" customWidth="1"/>
    <col min="9998" max="9999" width="12" bestFit="1" customWidth="1"/>
    <col min="10000" max="10001" width="12.5703125" bestFit="1" customWidth="1"/>
    <col min="10002" max="10002" width="11.7109375" bestFit="1" customWidth="1"/>
    <col min="10003" max="10003" width="19" bestFit="1" customWidth="1"/>
    <col min="10004" max="10004" width="12.140625" bestFit="1" customWidth="1"/>
    <col min="10234" max="10234" width="15" bestFit="1" customWidth="1"/>
    <col min="10235" max="10235" width="68.28515625" bestFit="1" customWidth="1"/>
    <col min="10236" max="10236" width="9.140625" bestFit="1" customWidth="1"/>
    <col min="10237" max="10237" width="21.42578125" bestFit="1" customWidth="1"/>
    <col min="10238" max="10240" width="15.42578125" bestFit="1" customWidth="1"/>
    <col min="10241" max="10241" width="8.85546875" bestFit="1" customWidth="1"/>
    <col min="10242" max="10242" width="10" bestFit="1" customWidth="1"/>
    <col min="10243" max="10243" width="12.7109375" bestFit="1" customWidth="1"/>
    <col min="10244" max="10244" width="8.85546875" bestFit="1" customWidth="1"/>
    <col min="10245" max="10245" width="17.7109375" bestFit="1" customWidth="1"/>
    <col min="10246" max="10246" width="13" bestFit="1" customWidth="1"/>
    <col min="10247" max="10247" width="13.42578125" bestFit="1" customWidth="1"/>
    <col min="10248" max="10248" width="10.85546875" bestFit="1" customWidth="1"/>
    <col min="10249" max="10249" width="26.85546875" bestFit="1" customWidth="1"/>
    <col min="10250" max="10250" width="20.85546875" bestFit="1" customWidth="1"/>
    <col min="10251" max="10251" width="30.42578125" bestFit="1" customWidth="1"/>
    <col min="10252" max="10252" width="19.42578125" bestFit="1" customWidth="1"/>
    <col min="10253" max="10253" width="20.28515625" bestFit="1" customWidth="1"/>
    <col min="10254" max="10255" width="12" bestFit="1" customWidth="1"/>
    <col min="10256" max="10257" width="12.5703125" bestFit="1" customWidth="1"/>
    <col min="10258" max="10258" width="11.7109375" bestFit="1" customWidth="1"/>
    <col min="10259" max="10259" width="19" bestFit="1" customWidth="1"/>
    <col min="10260" max="10260" width="12.140625" bestFit="1" customWidth="1"/>
    <col min="10490" max="10490" width="15" bestFit="1" customWidth="1"/>
    <col min="10491" max="10491" width="68.28515625" bestFit="1" customWidth="1"/>
    <col min="10492" max="10492" width="9.140625" bestFit="1" customWidth="1"/>
    <col min="10493" max="10493" width="21.42578125" bestFit="1" customWidth="1"/>
    <col min="10494" max="10496" width="15.42578125" bestFit="1" customWidth="1"/>
    <col min="10497" max="10497" width="8.85546875" bestFit="1" customWidth="1"/>
    <col min="10498" max="10498" width="10" bestFit="1" customWidth="1"/>
    <col min="10499" max="10499" width="12.7109375" bestFit="1" customWidth="1"/>
    <col min="10500" max="10500" width="8.85546875" bestFit="1" customWidth="1"/>
    <col min="10501" max="10501" width="17.7109375" bestFit="1" customWidth="1"/>
    <col min="10502" max="10502" width="13" bestFit="1" customWidth="1"/>
    <col min="10503" max="10503" width="13.42578125" bestFit="1" customWidth="1"/>
    <col min="10504" max="10504" width="10.85546875" bestFit="1" customWidth="1"/>
    <col min="10505" max="10505" width="26.85546875" bestFit="1" customWidth="1"/>
    <col min="10506" max="10506" width="20.85546875" bestFit="1" customWidth="1"/>
    <col min="10507" max="10507" width="30.42578125" bestFit="1" customWidth="1"/>
    <col min="10508" max="10508" width="19.42578125" bestFit="1" customWidth="1"/>
    <col min="10509" max="10509" width="20.28515625" bestFit="1" customWidth="1"/>
    <col min="10510" max="10511" width="12" bestFit="1" customWidth="1"/>
    <col min="10512" max="10513" width="12.5703125" bestFit="1" customWidth="1"/>
    <col min="10514" max="10514" width="11.7109375" bestFit="1" customWidth="1"/>
    <col min="10515" max="10515" width="19" bestFit="1" customWidth="1"/>
    <col min="10516" max="10516" width="12.140625" bestFit="1" customWidth="1"/>
    <col min="10746" max="10746" width="15" bestFit="1" customWidth="1"/>
    <col min="10747" max="10747" width="68.28515625" bestFit="1" customWidth="1"/>
    <col min="10748" max="10748" width="9.140625" bestFit="1" customWidth="1"/>
    <col min="10749" max="10749" width="21.42578125" bestFit="1" customWidth="1"/>
    <col min="10750" max="10752" width="15.42578125" bestFit="1" customWidth="1"/>
    <col min="10753" max="10753" width="8.85546875" bestFit="1" customWidth="1"/>
    <col min="10754" max="10754" width="10" bestFit="1" customWidth="1"/>
    <col min="10755" max="10755" width="12.7109375" bestFit="1" customWidth="1"/>
    <col min="10756" max="10756" width="8.85546875" bestFit="1" customWidth="1"/>
    <col min="10757" max="10757" width="17.7109375" bestFit="1" customWidth="1"/>
    <col min="10758" max="10758" width="13" bestFit="1" customWidth="1"/>
    <col min="10759" max="10759" width="13.42578125" bestFit="1" customWidth="1"/>
    <col min="10760" max="10760" width="10.85546875" bestFit="1" customWidth="1"/>
    <col min="10761" max="10761" width="26.85546875" bestFit="1" customWidth="1"/>
    <col min="10762" max="10762" width="20.85546875" bestFit="1" customWidth="1"/>
    <col min="10763" max="10763" width="30.42578125" bestFit="1" customWidth="1"/>
    <col min="10764" max="10764" width="19.42578125" bestFit="1" customWidth="1"/>
    <col min="10765" max="10765" width="20.28515625" bestFit="1" customWidth="1"/>
    <col min="10766" max="10767" width="12" bestFit="1" customWidth="1"/>
    <col min="10768" max="10769" width="12.5703125" bestFit="1" customWidth="1"/>
    <col min="10770" max="10770" width="11.7109375" bestFit="1" customWidth="1"/>
    <col min="10771" max="10771" width="19" bestFit="1" customWidth="1"/>
    <col min="10772" max="10772" width="12.140625" bestFit="1" customWidth="1"/>
    <col min="11002" max="11002" width="15" bestFit="1" customWidth="1"/>
    <col min="11003" max="11003" width="68.28515625" bestFit="1" customWidth="1"/>
    <col min="11004" max="11004" width="9.140625" bestFit="1" customWidth="1"/>
    <col min="11005" max="11005" width="21.42578125" bestFit="1" customWidth="1"/>
    <col min="11006" max="11008" width="15.42578125" bestFit="1" customWidth="1"/>
    <col min="11009" max="11009" width="8.85546875" bestFit="1" customWidth="1"/>
    <col min="11010" max="11010" width="10" bestFit="1" customWidth="1"/>
    <col min="11011" max="11011" width="12.7109375" bestFit="1" customWidth="1"/>
    <col min="11012" max="11012" width="8.85546875" bestFit="1" customWidth="1"/>
    <col min="11013" max="11013" width="17.7109375" bestFit="1" customWidth="1"/>
    <col min="11014" max="11014" width="13" bestFit="1" customWidth="1"/>
    <col min="11015" max="11015" width="13.42578125" bestFit="1" customWidth="1"/>
    <col min="11016" max="11016" width="10.85546875" bestFit="1" customWidth="1"/>
    <col min="11017" max="11017" width="26.85546875" bestFit="1" customWidth="1"/>
    <col min="11018" max="11018" width="20.85546875" bestFit="1" customWidth="1"/>
    <col min="11019" max="11019" width="30.42578125" bestFit="1" customWidth="1"/>
    <col min="11020" max="11020" width="19.42578125" bestFit="1" customWidth="1"/>
    <col min="11021" max="11021" width="20.28515625" bestFit="1" customWidth="1"/>
    <col min="11022" max="11023" width="12" bestFit="1" customWidth="1"/>
    <col min="11024" max="11025" width="12.5703125" bestFit="1" customWidth="1"/>
    <col min="11026" max="11026" width="11.7109375" bestFit="1" customWidth="1"/>
    <col min="11027" max="11027" width="19" bestFit="1" customWidth="1"/>
    <col min="11028" max="11028" width="12.140625" bestFit="1" customWidth="1"/>
    <col min="11258" max="11258" width="15" bestFit="1" customWidth="1"/>
    <col min="11259" max="11259" width="68.28515625" bestFit="1" customWidth="1"/>
    <col min="11260" max="11260" width="9.140625" bestFit="1" customWidth="1"/>
    <col min="11261" max="11261" width="21.42578125" bestFit="1" customWidth="1"/>
    <col min="11262" max="11264" width="15.42578125" bestFit="1" customWidth="1"/>
    <col min="11265" max="11265" width="8.85546875" bestFit="1" customWidth="1"/>
    <col min="11266" max="11266" width="10" bestFit="1" customWidth="1"/>
    <col min="11267" max="11267" width="12.7109375" bestFit="1" customWidth="1"/>
    <col min="11268" max="11268" width="8.85546875" bestFit="1" customWidth="1"/>
    <col min="11269" max="11269" width="17.7109375" bestFit="1" customWidth="1"/>
    <col min="11270" max="11270" width="13" bestFit="1" customWidth="1"/>
    <col min="11271" max="11271" width="13.42578125" bestFit="1" customWidth="1"/>
    <col min="11272" max="11272" width="10.85546875" bestFit="1" customWidth="1"/>
    <col min="11273" max="11273" width="26.85546875" bestFit="1" customWidth="1"/>
    <col min="11274" max="11274" width="20.85546875" bestFit="1" customWidth="1"/>
    <col min="11275" max="11275" width="30.42578125" bestFit="1" customWidth="1"/>
    <col min="11276" max="11276" width="19.42578125" bestFit="1" customWidth="1"/>
    <col min="11277" max="11277" width="20.28515625" bestFit="1" customWidth="1"/>
    <col min="11278" max="11279" width="12" bestFit="1" customWidth="1"/>
    <col min="11280" max="11281" width="12.5703125" bestFit="1" customWidth="1"/>
    <col min="11282" max="11282" width="11.7109375" bestFit="1" customWidth="1"/>
    <col min="11283" max="11283" width="19" bestFit="1" customWidth="1"/>
    <col min="11284" max="11284" width="12.140625" bestFit="1" customWidth="1"/>
    <col min="11514" max="11514" width="15" bestFit="1" customWidth="1"/>
    <col min="11515" max="11515" width="68.28515625" bestFit="1" customWidth="1"/>
    <col min="11516" max="11516" width="9.140625" bestFit="1" customWidth="1"/>
    <col min="11517" max="11517" width="21.42578125" bestFit="1" customWidth="1"/>
    <col min="11518" max="11520" width="15.42578125" bestFit="1" customWidth="1"/>
    <col min="11521" max="11521" width="8.85546875" bestFit="1" customWidth="1"/>
    <col min="11522" max="11522" width="10" bestFit="1" customWidth="1"/>
    <col min="11523" max="11523" width="12.7109375" bestFit="1" customWidth="1"/>
    <col min="11524" max="11524" width="8.85546875" bestFit="1" customWidth="1"/>
    <col min="11525" max="11525" width="17.7109375" bestFit="1" customWidth="1"/>
    <col min="11526" max="11526" width="13" bestFit="1" customWidth="1"/>
    <col min="11527" max="11527" width="13.42578125" bestFit="1" customWidth="1"/>
    <col min="11528" max="11528" width="10.85546875" bestFit="1" customWidth="1"/>
    <col min="11529" max="11529" width="26.85546875" bestFit="1" customWidth="1"/>
    <col min="11530" max="11530" width="20.85546875" bestFit="1" customWidth="1"/>
    <col min="11531" max="11531" width="30.42578125" bestFit="1" customWidth="1"/>
    <col min="11532" max="11532" width="19.42578125" bestFit="1" customWidth="1"/>
    <col min="11533" max="11533" width="20.28515625" bestFit="1" customWidth="1"/>
    <col min="11534" max="11535" width="12" bestFit="1" customWidth="1"/>
    <col min="11536" max="11537" width="12.5703125" bestFit="1" customWidth="1"/>
    <col min="11538" max="11538" width="11.7109375" bestFit="1" customWidth="1"/>
    <col min="11539" max="11539" width="19" bestFit="1" customWidth="1"/>
    <col min="11540" max="11540" width="12.140625" bestFit="1" customWidth="1"/>
    <col min="11770" max="11770" width="15" bestFit="1" customWidth="1"/>
    <col min="11771" max="11771" width="68.28515625" bestFit="1" customWidth="1"/>
    <col min="11772" max="11772" width="9.140625" bestFit="1" customWidth="1"/>
    <col min="11773" max="11773" width="21.42578125" bestFit="1" customWidth="1"/>
    <col min="11774" max="11776" width="15.42578125" bestFit="1" customWidth="1"/>
    <col min="11777" max="11777" width="8.85546875" bestFit="1" customWidth="1"/>
    <col min="11778" max="11778" width="10" bestFit="1" customWidth="1"/>
    <col min="11779" max="11779" width="12.7109375" bestFit="1" customWidth="1"/>
    <col min="11780" max="11780" width="8.85546875" bestFit="1" customWidth="1"/>
    <col min="11781" max="11781" width="17.7109375" bestFit="1" customWidth="1"/>
    <col min="11782" max="11782" width="13" bestFit="1" customWidth="1"/>
    <col min="11783" max="11783" width="13.42578125" bestFit="1" customWidth="1"/>
    <col min="11784" max="11784" width="10.85546875" bestFit="1" customWidth="1"/>
    <col min="11785" max="11785" width="26.85546875" bestFit="1" customWidth="1"/>
    <col min="11786" max="11786" width="20.85546875" bestFit="1" customWidth="1"/>
    <col min="11787" max="11787" width="30.42578125" bestFit="1" customWidth="1"/>
    <col min="11788" max="11788" width="19.42578125" bestFit="1" customWidth="1"/>
    <col min="11789" max="11789" width="20.28515625" bestFit="1" customWidth="1"/>
    <col min="11790" max="11791" width="12" bestFit="1" customWidth="1"/>
    <col min="11792" max="11793" width="12.5703125" bestFit="1" customWidth="1"/>
    <col min="11794" max="11794" width="11.7109375" bestFit="1" customWidth="1"/>
    <col min="11795" max="11795" width="19" bestFit="1" customWidth="1"/>
    <col min="11796" max="11796" width="12.140625" bestFit="1" customWidth="1"/>
    <col min="12026" max="12026" width="15" bestFit="1" customWidth="1"/>
    <col min="12027" max="12027" width="68.28515625" bestFit="1" customWidth="1"/>
    <col min="12028" max="12028" width="9.140625" bestFit="1" customWidth="1"/>
    <col min="12029" max="12029" width="21.42578125" bestFit="1" customWidth="1"/>
    <col min="12030" max="12032" width="15.42578125" bestFit="1" customWidth="1"/>
    <col min="12033" max="12033" width="8.85546875" bestFit="1" customWidth="1"/>
    <col min="12034" max="12034" width="10" bestFit="1" customWidth="1"/>
    <col min="12035" max="12035" width="12.7109375" bestFit="1" customWidth="1"/>
    <col min="12036" max="12036" width="8.85546875" bestFit="1" customWidth="1"/>
    <col min="12037" max="12037" width="17.7109375" bestFit="1" customWidth="1"/>
    <col min="12038" max="12038" width="13" bestFit="1" customWidth="1"/>
    <col min="12039" max="12039" width="13.42578125" bestFit="1" customWidth="1"/>
    <col min="12040" max="12040" width="10.85546875" bestFit="1" customWidth="1"/>
    <col min="12041" max="12041" width="26.85546875" bestFit="1" customWidth="1"/>
    <col min="12042" max="12042" width="20.85546875" bestFit="1" customWidth="1"/>
    <col min="12043" max="12043" width="30.42578125" bestFit="1" customWidth="1"/>
    <col min="12044" max="12044" width="19.42578125" bestFit="1" customWidth="1"/>
    <col min="12045" max="12045" width="20.28515625" bestFit="1" customWidth="1"/>
    <col min="12046" max="12047" width="12" bestFit="1" customWidth="1"/>
    <col min="12048" max="12049" width="12.5703125" bestFit="1" customWidth="1"/>
    <col min="12050" max="12050" width="11.7109375" bestFit="1" customWidth="1"/>
    <col min="12051" max="12051" width="19" bestFit="1" customWidth="1"/>
    <col min="12052" max="12052" width="12.140625" bestFit="1" customWidth="1"/>
    <col min="12282" max="12282" width="15" bestFit="1" customWidth="1"/>
    <col min="12283" max="12283" width="68.28515625" bestFit="1" customWidth="1"/>
    <col min="12284" max="12284" width="9.140625" bestFit="1" customWidth="1"/>
    <col min="12285" max="12285" width="21.42578125" bestFit="1" customWidth="1"/>
    <col min="12286" max="12288" width="15.42578125" bestFit="1" customWidth="1"/>
    <col min="12289" max="12289" width="8.85546875" bestFit="1" customWidth="1"/>
    <col min="12290" max="12290" width="10" bestFit="1" customWidth="1"/>
    <col min="12291" max="12291" width="12.7109375" bestFit="1" customWidth="1"/>
    <col min="12292" max="12292" width="8.85546875" bestFit="1" customWidth="1"/>
    <col min="12293" max="12293" width="17.7109375" bestFit="1" customWidth="1"/>
    <col min="12294" max="12294" width="13" bestFit="1" customWidth="1"/>
    <col min="12295" max="12295" width="13.42578125" bestFit="1" customWidth="1"/>
    <col min="12296" max="12296" width="10.85546875" bestFit="1" customWidth="1"/>
    <col min="12297" max="12297" width="26.85546875" bestFit="1" customWidth="1"/>
    <col min="12298" max="12298" width="20.85546875" bestFit="1" customWidth="1"/>
    <col min="12299" max="12299" width="30.42578125" bestFit="1" customWidth="1"/>
    <col min="12300" max="12300" width="19.42578125" bestFit="1" customWidth="1"/>
    <col min="12301" max="12301" width="20.28515625" bestFit="1" customWidth="1"/>
    <col min="12302" max="12303" width="12" bestFit="1" customWidth="1"/>
    <col min="12304" max="12305" width="12.5703125" bestFit="1" customWidth="1"/>
    <col min="12306" max="12306" width="11.7109375" bestFit="1" customWidth="1"/>
    <col min="12307" max="12307" width="19" bestFit="1" customWidth="1"/>
    <col min="12308" max="12308" width="12.140625" bestFit="1" customWidth="1"/>
    <col min="12538" max="12538" width="15" bestFit="1" customWidth="1"/>
    <col min="12539" max="12539" width="68.28515625" bestFit="1" customWidth="1"/>
    <col min="12540" max="12540" width="9.140625" bestFit="1" customWidth="1"/>
    <col min="12541" max="12541" width="21.42578125" bestFit="1" customWidth="1"/>
    <col min="12542" max="12544" width="15.42578125" bestFit="1" customWidth="1"/>
    <col min="12545" max="12545" width="8.85546875" bestFit="1" customWidth="1"/>
    <col min="12546" max="12546" width="10" bestFit="1" customWidth="1"/>
    <col min="12547" max="12547" width="12.7109375" bestFit="1" customWidth="1"/>
    <col min="12548" max="12548" width="8.85546875" bestFit="1" customWidth="1"/>
    <col min="12549" max="12549" width="17.7109375" bestFit="1" customWidth="1"/>
    <col min="12550" max="12550" width="13" bestFit="1" customWidth="1"/>
    <col min="12551" max="12551" width="13.42578125" bestFit="1" customWidth="1"/>
    <col min="12552" max="12552" width="10.85546875" bestFit="1" customWidth="1"/>
    <col min="12553" max="12553" width="26.85546875" bestFit="1" customWidth="1"/>
    <col min="12554" max="12554" width="20.85546875" bestFit="1" customWidth="1"/>
    <col min="12555" max="12555" width="30.42578125" bestFit="1" customWidth="1"/>
    <col min="12556" max="12556" width="19.42578125" bestFit="1" customWidth="1"/>
    <col min="12557" max="12557" width="20.28515625" bestFit="1" customWidth="1"/>
    <col min="12558" max="12559" width="12" bestFit="1" customWidth="1"/>
    <col min="12560" max="12561" width="12.5703125" bestFit="1" customWidth="1"/>
    <col min="12562" max="12562" width="11.7109375" bestFit="1" customWidth="1"/>
    <col min="12563" max="12563" width="19" bestFit="1" customWidth="1"/>
    <col min="12564" max="12564" width="12.140625" bestFit="1" customWidth="1"/>
    <col min="12794" max="12794" width="15" bestFit="1" customWidth="1"/>
    <col min="12795" max="12795" width="68.28515625" bestFit="1" customWidth="1"/>
    <col min="12796" max="12796" width="9.140625" bestFit="1" customWidth="1"/>
    <col min="12797" max="12797" width="21.42578125" bestFit="1" customWidth="1"/>
    <col min="12798" max="12800" width="15.42578125" bestFit="1" customWidth="1"/>
    <col min="12801" max="12801" width="8.85546875" bestFit="1" customWidth="1"/>
    <col min="12802" max="12802" width="10" bestFit="1" customWidth="1"/>
    <col min="12803" max="12803" width="12.7109375" bestFit="1" customWidth="1"/>
    <col min="12804" max="12804" width="8.85546875" bestFit="1" customWidth="1"/>
    <col min="12805" max="12805" width="17.7109375" bestFit="1" customWidth="1"/>
    <col min="12806" max="12806" width="13" bestFit="1" customWidth="1"/>
    <col min="12807" max="12807" width="13.42578125" bestFit="1" customWidth="1"/>
    <col min="12808" max="12808" width="10.85546875" bestFit="1" customWidth="1"/>
    <col min="12809" max="12809" width="26.85546875" bestFit="1" customWidth="1"/>
    <col min="12810" max="12810" width="20.85546875" bestFit="1" customWidth="1"/>
    <col min="12811" max="12811" width="30.42578125" bestFit="1" customWidth="1"/>
    <col min="12812" max="12812" width="19.42578125" bestFit="1" customWidth="1"/>
    <col min="12813" max="12813" width="20.28515625" bestFit="1" customWidth="1"/>
    <col min="12814" max="12815" width="12" bestFit="1" customWidth="1"/>
    <col min="12816" max="12817" width="12.5703125" bestFit="1" customWidth="1"/>
    <col min="12818" max="12818" width="11.7109375" bestFit="1" customWidth="1"/>
    <col min="12819" max="12819" width="19" bestFit="1" customWidth="1"/>
    <col min="12820" max="12820" width="12.140625" bestFit="1" customWidth="1"/>
    <col min="13050" max="13050" width="15" bestFit="1" customWidth="1"/>
    <col min="13051" max="13051" width="68.28515625" bestFit="1" customWidth="1"/>
    <col min="13052" max="13052" width="9.140625" bestFit="1" customWidth="1"/>
    <col min="13053" max="13053" width="21.42578125" bestFit="1" customWidth="1"/>
    <col min="13054" max="13056" width="15.42578125" bestFit="1" customWidth="1"/>
    <col min="13057" max="13057" width="8.85546875" bestFit="1" customWidth="1"/>
    <col min="13058" max="13058" width="10" bestFit="1" customWidth="1"/>
    <col min="13059" max="13059" width="12.7109375" bestFit="1" customWidth="1"/>
    <col min="13060" max="13060" width="8.85546875" bestFit="1" customWidth="1"/>
    <col min="13061" max="13061" width="17.7109375" bestFit="1" customWidth="1"/>
    <col min="13062" max="13062" width="13" bestFit="1" customWidth="1"/>
    <col min="13063" max="13063" width="13.42578125" bestFit="1" customWidth="1"/>
    <col min="13064" max="13064" width="10.85546875" bestFit="1" customWidth="1"/>
    <col min="13065" max="13065" width="26.85546875" bestFit="1" customWidth="1"/>
    <col min="13066" max="13066" width="20.85546875" bestFit="1" customWidth="1"/>
    <col min="13067" max="13067" width="30.42578125" bestFit="1" customWidth="1"/>
    <col min="13068" max="13068" width="19.42578125" bestFit="1" customWidth="1"/>
    <col min="13069" max="13069" width="20.28515625" bestFit="1" customWidth="1"/>
    <col min="13070" max="13071" width="12" bestFit="1" customWidth="1"/>
    <col min="13072" max="13073" width="12.5703125" bestFit="1" customWidth="1"/>
    <col min="13074" max="13074" width="11.7109375" bestFit="1" customWidth="1"/>
    <col min="13075" max="13075" width="19" bestFit="1" customWidth="1"/>
    <col min="13076" max="13076" width="12.140625" bestFit="1" customWidth="1"/>
    <col min="13306" max="13306" width="15" bestFit="1" customWidth="1"/>
    <col min="13307" max="13307" width="68.28515625" bestFit="1" customWidth="1"/>
    <col min="13308" max="13308" width="9.140625" bestFit="1" customWidth="1"/>
    <col min="13309" max="13309" width="21.42578125" bestFit="1" customWidth="1"/>
    <col min="13310" max="13312" width="15.42578125" bestFit="1" customWidth="1"/>
    <col min="13313" max="13313" width="8.85546875" bestFit="1" customWidth="1"/>
    <col min="13314" max="13314" width="10" bestFit="1" customWidth="1"/>
    <col min="13315" max="13315" width="12.7109375" bestFit="1" customWidth="1"/>
    <col min="13316" max="13316" width="8.85546875" bestFit="1" customWidth="1"/>
    <col min="13317" max="13317" width="17.7109375" bestFit="1" customWidth="1"/>
    <col min="13318" max="13318" width="13" bestFit="1" customWidth="1"/>
    <col min="13319" max="13319" width="13.42578125" bestFit="1" customWidth="1"/>
    <col min="13320" max="13320" width="10.85546875" bestFit="1" customWidth="1"/>
    <col min="13321" max="13321" width="26.85546875" bestFit="1" customWidth="1"/>
    <col min="13322" max="13322" width="20.85546875" bestFit="1" customWidth="1"/>
    <col min="13323" max="13323" width="30.42578125" bestFit="1" customWidth="1"/>
    <col min="13324" max="13324" width="19.42578125" bestFit="1" customWidth="1"/>
    <col min="13325" max="13325" width="20.28515625" bestFit="1" customWidth="1"/>
    <col min="13326" max="13327" width="12" bestFit="1" customWidth="1"/>
    <col min="13328" max="13329" width="12.5703125" bestFit="1" customWidth="1"/>
    <col min="13330" max="13330" width="11.7109375" bestFit="1" customWidth="1"/>
    <col min="13331" max="13331" width="19" bestFit="1" customWidth="1"/>
    <col min="13332" max="13332" width="12.140625" bestFit="1" customWidth="1"/>
    <col min="13562" max="13562" width="15" bestFit="1" customWidth="1"/>
    <col min="13563" max="13563" width="68.28515625" bestFit="1" customWidth="1"/>
    <col min="13564" max="13564" width="9.140625" bestFit="1" customWidth="1"/>
    <col min="13565" max="13565" width="21.42578125" bestFit="1" customWidth="1"/>
    <col min="13566" max="13568" width="15.42578125" bestFit="1" customWidth="1"/>
    <col min="13569" max="13569" width="8.85546875" bestFit="1" customWidth="1"/>
    <col min="13570" max="13570" width="10" bestFit="1" customWidth="1"/>
    <col min="13571" max="13571" width="12.7109375" bestFit="1" customWidth="1"/>
    <col min="13572" max="13572" width="8.85546875" bestFit="1" customWidth="1"/>
    <col min="13573" max="13573" width="17.7109375" bestFit="1" customWidth="1"/>
    <col min="13574" max="13574" width="13" bestFit="1" customWidth="1"/>
    <col min="13575" max="13575" width="13.42578125" bestFit="1" customWidth="1"/>
    <col min="13576" max="13576" width="10.85546875" bestFit="1" customWidth="1"/>
    <col min="13577" max="13577" width="26.85546875" bestFit="1" customWidth="1"/>
    <col min="13578" max="13578" width="20.85546875" bestFit="1" customWidth="1"/>
    <col min="13579" max="13579" width="30.42578125" bestFit="1" customWidth="1"/>
    <col min="13580" max="13580" width="19.42578125" bestFit="1" customWidth="1"/>
    <col min="13581" max="13581" width="20.28515625" bestFit="1" customWidth="1"/>
    <col min="13582" max="13583" width="12" bestFit="1" customWidth="1"/>
    <col min="13584" max="13585" width="12.5703125" bestFit="1" customWidth="1"/>
    <col min="13586" max="13586" width="11.7109375" bestFit="1" customWidth="1"/>
    <col min="13587" max="13587" width="19" bestFit="1" customWidth="1"/>
    <col min="13588" max="13588" width="12.140625" bestFit="1" customWidth="1"/>
    <col min="13818" max="13818" width="15" bestFit="1" customWidth="1"/>
    <col min="13819" max="13819" width="68.28515625" bestFit="1" customWidth="1"/>
    <col min="13820" max="13820" width="9.140625" bestFit="1" customWidth="1"/>
    <col min="13821" max="13821" width="21.42578125" bestFit="1" customWidth="1"/>
    <col min="13822" max="13824" width="15.42578125" bestFit="1" customWidth="1"/>
    <col min="13825" max="13825" width="8.85546875" bestFit="1" customWidth="1"/>
    <col min="13826" max="13826" width="10" bestFit="1" customWidth="1"/>
    <col min="13827" max="13827" width="12.7109375" bestFit="1" customWidth="1"/>
    <col min="13828" max="13828" width="8.85546875" bestFit="1" customWidth="1"/>
    <col min="13829" max="13829" width="17.7109375" bestFit="1" customWidth="1"/>
    <col min="13830" max="13830" width="13" bestFit="1" customWidth="1"/>
    <col min="13831" max="13831" width="13.42578125" bestFit="1" customWidth="1"/>
    <col min="13832" max="13832" width="10.85546875" bestFit="1" customWidth="1"/>
    <col min="13833" max="13833" width="26.85546875" bestFit="1" customWidth="1"/>
    <col min="13834" max="13834" width="20.85546875" bestFit="1" customWidth="1"/>
    <col min="13835" max="13835" width="30.42578125" bestFit="1" customWidth="1"/>
    <col min="13836" max="13836" width="19.42578125" bestFit="1" customWidth="1"/>
    <col min="13837" max="13837" width="20.28515625" bestFit="1" customWidth="1"/>
    <col min="13838" max="13839" width="12" bestFit="1" customWidth="1"/>
    <col min="13840" max="13841" width="12.5703125" bestFit="1" customWidth="1"/>
    <col min="13842" max="13842" width="11.7109375" bestFit="1" customWidth="1"/>
    <col min="13843" max="13843" width="19" bestFit="1" customWidth="1"/>
    <col min="13844" max="13844" width="12.140625" bestFit="1" customWidth="1"/>
    <col min="14074" max="14074" width="15" bestFit="1" customWidth="1"/>
    <col min="14075" max="14075" width="68.28515625" bestFit="1" customWidth="1"/>
    <col min="14076" max="14076" width="9.140625" bestFit="1" customWidth="1"/>
    <col min="14077" max="14077" width="21.42578125" bestFit="1" customWidth="1"/>
    <col min="14078" max="14080" width="15.42578125" bestFit="1" customWidth="1"/>
    <col min="14081" max="14081" width="8.85546875" bestFit="1" customWidth="1"/>
    <col min="14082" max="14082" width="10" bestFit="1" customWidth="1"/>
    <col min="14083" max="14083" width="12.7109375" bestFit="1" customWidth="1"/>
    <col min="14084" max="14084" width="8.85546875" bestFit="1" customWidth="1"/>
    <col min="14085" max="14085" width="17.7109375" bestFit="1" customWidth="1"/>
    <col min="14086" max="14086" width="13" bestFit="1" customWidth="1"/>
    <col min="14087" max="14087" width="13.42578125" bestFit="1" customWidth="1"/>
    <col min="14088" max="14088" width="10.85546875" bestFit="1" customWidth="1"/>
    <col min="14089" max="14089" width="26.85546875" bestFit="1" customWidth="1"/>
    <col min="14090" max="14090" width="20.85546875" bestFit="1" customWidth="1"/>
    <col min="14091" max="14091" width="30.42578125" bestFit="1" customWidth="1"/>
    <col min="14092" max="14092" width="19.42578125" bestFit="1" customWidth="1"/>
    <col min="14093" max="14093" width="20.28515625" bestFit="1" customWidth="1"/>
    <col min="14094" max="14095" width="12" bestFit="1" customWidth="1"/>
    <col min="14096" max="14097" width="12.5703125" bestFit="1" customWidth="1"/>
    <col min="14098" max="14098" width="11.7109375" bestFit="1" customWidth="1"/>
    <col min="14099" max="14099" width="19" bestFit="1" customWidth="1"/>
    <col min="14100" max="14100" width="12.140625" bestFit="1" customWidth="1"/>
    <col min="14330" max="14330" width="15" bestFit="1" customWidth="1"/>
    <col min="14331" max="14331" width="68.28515625" bestFit="1" customWidth="1"/>
    <col min="14332" max="14332" width="9.140625" bestFit="1" customWidth="1"/>
    <col min="14333" max="14333" width="21.42578125" bestFit="1" customWidth="1"/>
    <col min="14334" max="14336" width="15.42578125" bestFit="1" customWidth="1"/>
    <col min="14337" max="14337" width="8.85546875" bestFit="1" customWidth="1"/>
    <col min="14338" max="14338" width="10" bestFit="1" customWidth="1"/>
    <col min="14339" max="14339" width="12.7109375" bestFit="1" customWidth="1"/>
    <col min="14340" max="14340" width="8.85546875" bestFit="1" customWidth="1"/>
    <col min="14341" max="14341" width="17.7109375" bestFit="1" customWidth="1"/>
    <col min="14342" max="14342" width="13" bestFit="1" customWidth="1"/>
    <col min="14343" max="14343" width="13.42578125" bestFit="1" customWidth="1"/>
    <col min="14344" max="14344" width="10.85546875" bestFit="1" customWidth="1"/>
    <col min="14345" max="14345" width="26.85546875" bestFit="1" customWidth="1"/>
    <col min="14346" max="14346" width="20.85546875" bestFit="1" customWidth="1"/>
    <col min="14347" max="14347" width="30.42578125" bestFit="1" customWidth="1"/>
    <col min="14348" max="14348" width="19.42578125" bestFit="1" customWidth="1"/>
    <col min="14349" max="14349" width="20.28515625" bestFit="1" customWidth="1"/>
    <col min="14350" max="14351" width="12" bestFit="1" customWidth="1"/>
    <col min="14352" max="14353" width="12.5703125" bestFit="1" customWidth="1"/>
    <col min="14354" max="14354" width="11.7109375" bestFit="1" customWidth="1"/>
    <col min="14355" max="14355" width="19" bestFit="1" customWidth="1"/>
    <col min="14356" max="14356" width="12.140625" bestFit="1" customWidth="1"/>
    <col min="14586" max="14586" width="15" bestFit="1" customWidth="1"/>
    <col min="14587" max="14587" width="68.28515625" bestFit="1" customWidth="1"/>
    <col min="14588" max="14588" width="9.140625" bestFit="1" customWidth="1"/>
    <col min="14589" max="14589" width="21.42578125" bestFit="1" customWidth="1"/>
    <col min="14590" max="14592" width="15.42578125" bestFit="1" customWidth="1"/>
    <col min="14593" max="14593" width="8.85546875" bestFit="1" customWidth="1"/>
    <col min="14594" max="14594" width="10" bestFit="1" customWidth="1"/>
    <col min="14595" max="14595" width="12.7109375" bestFit="1" customWidth="1"/>
    <col min="14596" max="14596" width="8.85546875" bestFit="1" customWidth="1"/>
    <col min="14597" max="14597" width="17.7109375" bestFit="1" customWidth="1"/>
    <col min="14598" max="14598" width="13" bestFit="1" customWidth="1"/>
    <col min="14599" max="14599" width="13.42578125" bestFit="1" customWidth="1"/>
    <col min="14600" max="14600" width="10.85546875" bestFit="1" customWidth="1"/>
    <col min="14601" max="14601" width="26.85546875" bestFit="1" customWidth="1"/>
    <col min="14602" max="14602" width="20.85546875" bestFit="1" customWidth="1"/>
    <col min="14603" max="14603" width="30.42578125" bestFit="1" customWidth="1"/>
    <col min="14604" max="14604" width="19.42578125" bestFit="1" customWidth="1"/>
    <col min="14605" max="14605" width="20.28515625" bestFit="1" customWidth="1"/>
    <col min="14606" max="14607" width="12" bestFit="1" customWidth="1"/>
    <col min="14608" max="14609" width="12.5703125" bestFit="1" customWidth="1"/>
    <col min="14610" max="14610" width="11.7109375" bestFit="1" customWidth="1"/>
    <col min="14611" max="14611" width="19" bestFit="1" customWidth="1"/>
    <col min="14612" max="14612" width="12.140625" bestFit="1" customWidth="1"/>
    <col min="14842" max="14842" width="15" bestFit="1" customWidth="1"/>
    <col min="14843" max="14843" width="68.28515625" bestFit="1" customWidth="1"/>
    <col min="14844" max="14844" width="9.140625" bestFit="1" customWidth="1"/>
    <col min="14845" max="14845" width="21.42578125" bestFit="1" customWidth="1"/>
    <col min="14846" max="14848" width="15.42578125" bestFit="1" customWidth="1"/>
    <col min="14849" max="14849" width="8.85546875" bestFit="1" customWidth="1"/>
    <col min="14850" max="14850" width="10" bestFit="1" customWidth="1"/>
    <col min="14851" max="14851" width="12.7109375" bestFit="1" customWidth="1"/>
    <col min="14852" max="14852" width="8.85546875" bestFit="1" customWidth="1"/>
    <col min="14853" max="14853" width="17.7109375" bestFit="1" customWidth="1"/>
    <col min="14854" max="14854" width="13" bestFit="1" customWidth="1"/>
    <col min="14855" max="14855" width="13.42578125" bestFit="1" customWidth="1"/>
    <col min="14856" max="14856" width="10.85546875" bestFit="1" customWidth="1"/>
    <col min="14857" max="14857" width="26.85546875" bestFit="1" customWidth="1"/>
    <col min="14858" max="14858" width="20.85546875" bestFit="1" customWidth="1"/>
    <col min="14859" max="14859" width="30.42578125" bestFit="1" customWidth="1"/>
    <col min="14860" max="14860" width="19.42578125" bestFit="1" customWidth="1"/>
    <col min="14861" max="14861" width="20.28515625" bestFit="1" customWidth="1"/>
    <col min="14862" max="14863" width="12" bestFit="1" customWidth="1"/>
    <col min="14864" max="14865" width="12.5703125" bestFit="1" customWidth="1"/>
    <col min="14866" max="14866" width="11.7109375" bestFit="1" customWidth="1"/>
    <col min="14867" max="14867" width="19" bestFit="1" customWidth="1"/>
    <col min="14868" max="14868" width="12.140625" bestFit="1" customWidth="1"/>
    <col min="15098" max="15098" width="15" bestFit="1" customWidth="1"/>
    <col min="15099" max="15099" width="68.28515625" bestFit="1" customWidth="1"/>
    <col min="15100" max="15100" width="9.140625" bestFit="1" customWidth="1"/>
    <col min="15101" max="15101" width="21.42578125" bestFit="1" customWidth="1"/>
    <col min="15102" max="15104" width="15.42578125" bestFit="1" customWidth="1"/>
    <col min="15105" max="15105" width="8.85546875" bestFit="1" customWidth="1"/>
    <col min="15106" max="15106" width="10" bestFit="1" customWidth="1"/>
    <col min="15107" max="15107" width="12.7109375" bestFit="1" customWidth="1"/>
    <col min="15108" max="15108" width="8.85546875" bestFit="1" customWidth="1"/>
    <col min="15109" max="15109" width="17.7109375" bestFit="1" customWidth="1"/>
    <col min="15110" max="15110" width="13" bestFit="1" customWidth="1"/>
    <col min="15111" max="15111" width="13.42578125" bestFit="1" customWidth="1"/>
    <col min="15112" max="15112" width="10.85546875" bestFit="1" customWidth="1"/>
    <col min="15113" max="15113" width="26.85546875" bestFit="1" customWidth="1"/>
    <col min="15114" max="15114" width="20.85546875" bestFit="1" customWidth="1"/>
    <col min="15115" max="15115" width="30.42578125" bestFit="1" customWidth="1"/>
    <col min="15116" max="15116" width="19.42578125" bestFit="1" customWidth="1"/>
    <col min="15117" max="15117" width="20.28515625" bestFit="1" customWidth="1"/>
    <col min="15118" max="15119" width="12" bestFit="1" customWidth="1"/>
    <col min="15120" max="15121" width="12.5703125" bestFit="1" customWidth="1"/>
    <col min="15122" max="15122" width="11.7109375" bestFit="1" customWidth="1"/>
    <col min="15123" max="15123" width="19" bestFit="1" customWidth="1"/>
    <col min="15124" max="15124" width="12.140625" bestFit="1" customWidth="1"/>
    <col min="15354" max="15354" width="15" bestFit="1" customWidth="1"/>
    <col min="15355" max="15355" width="68.28515625" bestFit="1" customWidth="1"/>
    <col min="15356" max="15356" width="9.140625" bestFit="1" customWidth="1"/>
    <col min="15357" max="15357" width="21.42578125" bestFit="1" customWidth="1"/>
    <col min="15358" max="15360" width="15.42578125" bestFit="1" customWidth="1"/>
    <col min="15361" max="15361" width="8.85546875" bestFit="1" customWidth="1"/>
    <col min="15362" max="15362" width="10" bestFit="1" customWidth="1"/>
    <col min="15363" max="15363" width="12.7109375" bestFit="1" customWidth="1"/>
    <col min="15364" max="15364" width="8.85546875" bestFit="1" customWidth="1"/>
    <col min="15365" max="15365" width="17.7109375" bestFit="1" customWidth="1"/>
    <col min="15366" max="15366" width="13" bestFit="1" customWidth="1"/>
    <col min="15367" max="15367" width="13.42578125" bestFit="1" customWidth="1"/>
    <col min="15368" max="15368" width="10.85546875" bestFit="1" customWidth="1"/>
    <col min="15369" max="15369" width="26.85546875" bestFit="1" customWidth="1"/>
    <col min="15370" max="15370" width="20.85546875" bestFit="1" customWidth="1"/>
    <col min="15371" max="15371" width="30.42578125" bestFit="1" customWidth="1"/>
    <col min="15372" max="15372" width="19.42578125" bestFit="1" customWidth="1"/>
    <col min="15373" max="15373" width="20.28515625" bestFit="1" customWidth="1"/>
    <col min="15374" max="15375" width="12" bestFit="1" customWidth="1"/>
    <col min="15376" max="15377" width="12.5703125" bestFit="1" customWidth="1"/>
    <col min="15378" max="15378" width="11.7109375" bestFit="1" customWidth="1"/>
    <col min="15379" max="15379" width="19" bestFit="1" customWidth="1"/>
    <col min="15380" max="15380" width="12.140625" bestFit="1" customWidth="1"/>
    <col min="15610" max="15610" width="15" bestFit="1" customWidth="1"/>
    <col min="15611" max="15611" width="68.28515625" bestFit="1" customWidth="1"/>
    <col min="15612" max="15612" width="9.140625" bestFit="1" customWidth="1"/>
    <col min="15613" max="15613" width="21.42578125" bestFit="1" customWidth="1"/>
    <col min="15614" max="15616" width="15.42578125" bestFit="1" customWidth="1"/>
    <col min="15617" max="15617" width="8.85546875" bestFit="1" customWidth="1"/>
    <col min="15618" max="15618" width="10" bestFit="1" customWidth="1"/>
    <col min="15619" max="15619" width="12.7109375" bestFit="1" customWidth="1"/>
    <col min="15620" max="15620" width="8.85546875" bestFit="1" customWidth="1"/>
    <col min="15621" max="15621" width="17.7109375" bestFit="1" customWidth="1"/>
    <col min="15622" max="15622" width="13" bestFit="1" customWidth="1"/>
    <col min="15623" max="15623" width="13.42578125" bestFit="1" customWidth="1"/>
    <col min="15624" max="15624" width="10.85546875" bestFit="1" customWidth="1"/>
    <col min="15625" max="15625" width="26.85546875" bestFit="1" customWidth="1"/>
    <col min="15626" max="15626" width="20.85546875" bestFit="1" customWidth="1"/>
    <col min="15627" max="15627" width="30.42578125" bestFit="1" customWidth="1"/>
    <col min="15628" max="15628" width="19.42578125" bestFit="1" customWidth="1"/>
    <col min="15629" max="15629" width="20.28515625" bestFit="1" customWidth="1"/>
    <col min="15630" max="15631" width="12" bestFit="1" customWidth="1"/>
    <col min="15632" max="15633" width="12.5703125" bestFit="1" customWidth="1"/>
    <col min="15634" max="15634" width="11.7109375" bestFit="1" customWidth="1"/>
    <col min="15635" max="15635" width="19" bestFit="1" customWidth="1"/>
    <col min="15636" max="15636" width="12.140625" bestFit="1" customWidth="1"/>
    <col min="15866" max="15866" width="15" bestFit="1" customWidth="1"/>
    <col min="15867" max="15867" width="68.28515625" bestFit="1" customWidth="1"/>
    <col min="15868" max="15868" width="9.140625" bestFit="1" customWidth="1"/>
    <col min="15869" max="15869" width="21.42578125" bestFit="1" customWidth="1"/>
    <col min="15870" max="15872" width="15.42578125" bestFit="1" customWidth="1"/>
    <col min="15873" max="15873" width="8.85546875" bestFit="1" customWidth="1"/>
    <col min="15874" max="15874" width="10" bestFit="1" customWidth="1"/>
    <col min="15875" max="15875" width="12.7109375" bestFit="1" customWidth="1"/>
    <col min="15876" max="15876" width="8.85546875" bestFit="1" customWidth="1"/>
    <col min="15877" max="15877" width="17.7109375" bestFit="1" customWidth="1"/>
    <col min="15878" max="15878" width="13" bestFit="1" customWidth="1"/>
    <col min="15879" max="15879" width="13.42578125" bestFit="1" customWidth="1"/>
    <col min="15880" max="15880" width="10.85546875" bestFit="1" customWidth="1"/>
    <col min="15881" max="15881" width="26.85546875" bestFit="1" customWidth="1"/>
    <col min="15882" max="15882" width="20.85546875" bestFit="1" customWidth="1"/>
    <col min="15883" max="15883" width="30.42578125" bestFit="1" customWidth="1"/>
    <col min="15884" max="15884" width="19.42578125" bestFit="1" customWidth="1"/>
    <col min="15885" max="15885" width="20.28515625" bestFit="1" customWidth="1"/>
    <col min="15886" max="15887" width="12" bestFit="1" customWidth="1"/>
    <col min="15888" max="15889" width="12.5703125" bestFit="1" customWidth="1"/>
    <col min="15890" max="15890" width="11.7109375" bestFit="1" customWidth="1"/>
    <col min="15891" max="15891" width="19" bestFit="1" customWidth="1"/>
    <col min="15892" max="15892" width="12.140625" bestFit="1" customWidth="1"/>
    <col min="16122" max="16122" width="15" bestFit="1" customWidth="1"/>
    <col min="16123" max="16123" width="68.28515625" bestFit="1" customWidth="1"/>
    <col min="16124" max="16124" width="9.140625" bestFit="1" customWidth="1"/>
    <col min="16125" max="16125" width="21.42578125" bestFit="1" customWidth="1"/>
    <col min="16126" max="16128" width="15.42578125" bestFit="1" customWidth="1"/>
    <col min="16129" max="16129" width="8.85546875" bestFit="1" customWidth="1"/>
    <col min="16130" max="16130" width="10" bestFit="1" customWidth="1"/>
    <col min="16131" max="16131" width="12.7109375" bestFit="1" customWidth="1"/>
    <col min="16132" max="16132" width="8.85546875" bestFit="1" customWidth="1"/>
    <col min="16133" max="16133" width="17.7109375" bestFit="1" customWidth="1"/>
    <col min="16134" max="16134" width="13" bestFit="1" customWidth="1"/>
    <col min="16135" max="16135" width="13.42578125" bestFit="1" customWidth="1"/>
    <col min="16136" max="16136" width="10.85546875" bestFit="1" customWidth="1"/>
    <col min="16137" max="16137" width="26.85546875" bestFit="1" customWidth="1"/>
    <col min="16138" max="16138" width="20.85546875" bestFit="1" customWidth="1"/>
    <col min="16139" max="16139" width="30.42578125" bestFit="1" customWidth="1"/>
    <col min="16140" max="16140" width="19.42578125" bestFit="1" customWidth="1"/>
    <col min="16141" max="16141" width="20.28515625" bestFit="1" customWidth="1"/>
    <col min="16142" max="16143" width="12" bestFit="1" customWidth="1"/>
    <col min="16144" max="16145" width="12.5703125" bestFit="1" customWidth="1"/>
    <col min="16146" max="16146" width="11.7109375" bestFit="1" customWidth="1"/>
    <col min="16147" max="16147" width="19" bestFit="1" customWidth="1"/>
    <col min="16148" max="16148" width="12.140625" bestFit="1" customWidth="1"/>
  </cols>
  <sheetData>
    <row r="1" spans="1:44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12119</v>
      </c>
      <c r="AB1" s="12" t="s">
        <v>12118</v>
      </c>
      <c r="AC1" s="12" t="s">
        <v>11776</v>
      </c>
      <c r="AD1" s="12" t="s">
        <v>11808</v>
      </c>
      <c r="AE1" s="12" t="s">
        <v>11809</v>
      </c>
      <c r="AF1" s="12" t="s">
        <v>11814</v>
      </c>
      <c r="AG1" s="83" t="s">
        <v>11812</v>
      </c>
      <c r="AH1" s="12" t="s">
        <v>11815</v>
      </c>
      <c r="AI1" s="83" t="s">
        <v>11816</v>
      </c>
      <c r="AJ1" s="12" t="s">
        <v>11810</v>
      </c>
      <c r="AK1" s="12" t="s">
        <v>11823</v>
      </c>
      <c r="AL1" s="12" t="s">
        <v>11818</v>
      </c>
      <c r="AM1" s="12" t="s">
        <v>11819</v>
      </c>
      <c r="AN1" s="12" t="s">
        <v>11817</v>
      </c>
      <c r="AO1" s="12" t="s">
        <v>11811</v>
      </c>
      <c r="AP1" s="12" t="s">
        <v>11813</v>
      </c>
      <c r="AQ1" s="12" t="s">
        <v>11820</v>
      </c>
      <c r="AR1" s="12" t="s">
        <v>11821</v>
      </c>
    </row>
    <row r="2" spans="1:44" x14ac:dyDescent="0.25">
      <c r="A2" s="24" t="s">
        <v>11447</v>
      </c>
      <c r="C2" t="str">
        <f t="shared" ref="C2:C15" si="0">CONCATENATE(LEFT(T2,3),RIGHT(A2,8))</f>
        <v>ALM2001</v>
      </c>
      <c r="D2" t="s">
        <v>8693</v>
      </c>
      <c r="E2" s="1" t="s">
        <v>11377</v>
      </c>
      <c r="F2" s="61"/>
      <c r="G2" s="3">
        <v>21</v>
      </c>
      <c r="H2" s="4" t="s">
        <v>8690</v>
      </c>
      <c r="I2">
        <v>1</v>
      </c>
      <c r="J2"/>
      <c r="K2" s="4"/>
      <c r="L2" s="65">
        <f>((ARTICULOS_GOLOMAX[[#This Row],[P. Compra]]*(1+ARTICULOS_GOLOMAX[[#This Row],[IVA]]%))/ARTICULOS_GOLOMAX[[#This Row],[UnidFact]])+ARTICULOS_GOLOMAX[[#This Row],[CostoFlete]]</f>
        <v>603.28</v>
      </c>
      <c r="M2">
        <v>30</v>
      </c>
      <c r="N2" s="3">
        <f t="shared" ref="N2:N15" si="1">IF(L2&gt;=5,MROUND(L2/(1-M2/100),10),10)</f>
        <v>860</v>
      </c>
      <c r="O2" s="3">
        <f>MROUND((ARTICULOS_LADIAR[[#This Row],[Precio]]/0.6),10)</f>
        <v>4250</v>
      </c>
      <c r="P2" t="s">
        <v>8693</v>
      </c>
      <c r="Q2">
        <v>0.2</v>
      </c>
      <c r="R2" s="3">
        <f>ARTICULOS_GRANEL[[#This Row],[Bulto]]+ARTICULOS_GRANEL[[#This Row],[Minimo]]</f>
        <v>1.2</v>
      </c>
      <c r="S2" t="s">
        <v>63</v>
      </c>
      <c r="T2" t="s">
        <v>4</v>
      </c>
      <c r="U2" t="s">
        <v>102</v>
      </c>
      <c r="V2" t="s">
        <v>11378</v>
      </c>
      <c r="W2" t="s">
        <v>8710</v>
      </c>
      <c r="X2">
        <v>0.1</v>
      </c>
      <c r="Y2">
        <v>0</v>
      </c>
      <c r="Z2" s="3">
        <v>0</v>
      </c>
      <c r="AA2">
        <f>IF(ARTICULOS_GRANEL[[#This Row],[Stock]]&lt;ARTICULOS_GRANEL[[#This Row],[Minimo]],ARTICULOS_GRANEL[[#This Row],[Maximo]]-ARTICULOS_GRANEL[[#This Row],[Stock]],0)</f>
        <v>1.2</v>
      </c>
      <c r="AB2">
        <f>MROUND(ARTICULOS_GRANEL[[#This Row],[Pedido Unidad]]/ARTICULOS_GRANEL[[#This Row],[Bulto]],1)</f>
        <v>1</v>
      </c>
      <c r="AC2" s="80">
        <f>ARTICULOS_GRANEL[[#This Row],[Costo]]*ARTICULOS_GRANEL[[#This Row],[Bulto]]*ARTICULOS_GRANEL[[#This Row],[Pedido Bultos]]</f>
        <v>603.28</v>
      </c>
      <c r="AG2" s="2"/>
      <c r="AI2" s="2" t="str">
        <f>IF(AND(ARTICULOS_OSLE[[#This Row],[FechaVenc]]=0,ARTICULOS_OSLE[[#This Row],[DiasVenc]]=0),"",ARTICULOS_OSLE[[#This Row],[FechaVenc]]-ARTICULOS_OSLE[[#This Row],[DiasVenc]])</f>
        <v/>
      </c>
      <c r="AK2"/>
      <c r="AN2"/>
      <c r="AP2"/>
    </row>
    <row r="3" spans="1:44" x14ac:dyDescent="0.25">
      <c r="A3" s="24" t="s">
        <v>11448</v>
      </c>
      <c r="C3" t="str">
        <f t="shared" si="0"/>
        <v>ALM2002</v>
      </c>
      <c r="D3" t="s">
        <v>8693</v>
      </c>
      <c r="E3" s="1" t="s">
        <v>11379</v>
      </c>
      <c r="F3" s="61"/>
      <c r="G3" s="3">
        <v>21</v>
      </c>
      <c r="H3" s="4" t="s">
        <v>8690</v>
      </c>
      <c r="I3">
        <v>1</v>
      </c>
      <c r="J3"/>
      <c r="K3" s="4"/>
      <c r="L3" s="16">
        <f>((ARTICULOS_GOLOMAX[[#This Row],[P. Compra]]*(1+ARTICULOS_GOLOMAX[[#This Row],[IVA]]%))/ARTICULOS_GOLOMAX[[#This Row],[UnidFact]])+ARTICULOS_GOLOMAX[[#This Row],[CostoFlete]]</f>
        <v>603.28</v>
      </c>
      <c r="M3">
        <v>30</v>
      </c>
      <c r="N3" s="3">
        <f t="shared" si="1"/>
        <v>860</v>
      </c>
      <c r="O3" s="3">
        <f>MROUND((ARTICULOS_LADIAR[[#This Row],[Precio]]/0.6),10)</f>
        <v>4250</v>
      </c>
      <c r="P3" t="s">
        <v>8693</v>
      </c>
      <c r="Q3">
        <v>0.2</v>
      </c>
      <c r="R3" s="3">
        <f>ARTICULOS_GRANEL[[#This Row],[Bulto]]+ARTICULOS_GRANEL[[#This Row],[Minimo]]</f>
        <v>1.2</v>
      </c>
      <c r="S3" t="s">
        <v>63</v>
      </c>
      <c r="T3" t="s">
        <v>4</v>
      </c>
      <c r="U3" t="s">
        <v>102</v>
      </c>
      <c r="V3" t="s">
        <v>11378</v>
      </c>
      <c r="W3" t="s">
        <v>8710</v>
      </c>
      <c r="X3">
        <v>0.1</v>
      </c>
      <c r="Y3">
        <v>0</v>
      </c>
      <c r="Z3" s="3">
        <v>0</v>
      </c>
      <c r="AA3">
        <f>IF(ARTICULOS_GRANEL[[#This Row],[Stock]]&lt;ARTICULOS_GRANEL[[#This Row],[Minimo]],ARTICULOS_GRANEL[[#This Row],[Maximo]]-ARTICULOS_GRANEL[[#This Row],[Stock]],0)</f>
        <v>1.2</v>
      </c>
      <c r="AB3">
        <f>MROUND(ARTICULOS_GRANEL[[#This Row],[Pedido Unidad]]/ARTICULOS_GRANEL[[#This Row],[Bulto]],1)</f>
        <v>1</v>
      </c>
      <c r="AC3" s="80">
        <f>ARTICULOS_GRANEL[[#This Row],[Costo]]*ARTICULOS_GRANEL[[#This Row],[Bulto]]*ARTICULOS_GRANEL[[#This Row],[Pedido Bultos]]</f>
        <v>603.28</v>
      </c>
      <c r="AG3"/>
      <c r="AI3" s="2" t="str">
        <f>IF(AND(ARTICULOS_OSLE[[#This Row],[FechaVenc]]=0,ARTICULOS_OSLE[[#This Row],[DiasVenc]]=0),"",ARTICULOS_OSLE[[#This Row],[FechaVenc]]-ARTICULOS_OSLE[[#This Row],[DiasVenc]])</f>
        <v/>
      </c>
      <c r="AK3"/>
      <c r="AN3"/>
      <c r="AP3"/>
    </row>
    <row r="4" spans="1:44" x14ac:dyDescent="0.25">
      <c r="A4" s="24" t="s">
        <v>11449</v>
      </c>
      <c r="C4" t="str">
        <f t="shared" si="0"/>
        <v>ALM2003</v>
      </c>
      <c r="D4" t="s">
        <v>8693</v>
      </c>
      <c r="E4" s="1" t="s">
        <v>11380</v>
      </c>
      <c r="F4" s="61"/>
      <c r="G4" s="3">
        <v>21</v>
      </c>
      <c r="H4" s="4" t="s">
        <v>8690</v>
      </c>
      <c r="I4">
        <v>1</v>
      </c>
      <c r="J4"/>
      <c r="K4" s="4"/>
      <c r="L4" s="16">
        <f>((ARTICULOS_GOLOMAX[[#This Row],[P. Compra]]*(1+ARTICULOS_GOLOMAX[[#This Row],[IVA]]%))/ARTICULOS_GOLOMAX[[#This Row],[UnidFact]])+ARTICULOS_GOLOMAX[[#This Row],[CostoFlete]]</f>
        <v>603.28</v>
      </c>
      <c r="M4">
        <v>30</v>
      </c>
      <c r="N4" s="3">
        <f t="shared" si="1"/>
        <v>860</v>
      </c>
      <c r="O4" s="3">
        <f>MROUND((ARTICULOS_LADIAR[[#This Row],[Precio]]/0.6),10)</f>
        <v>1250</v>
      </c>
      <c r="P4" t="s">
        <v>8693</v>
      </c>
      <c r="Q4">
        <v>0.2</v>
      </c>
      <c r="R4" s="3">
        <f>ARTICULOS_GRANEL[[#This Row],[Bulto]]+ARTICULOS_GRANEL[[#This Row],[Minimo]]</f>
        <v>1.2</v>
      </c>
      <c r="S4" t="s">
        <v>63</v>
      </c>
      <c r="T4" t="s">
        <v>4</v>
      </c>
      <c r="U4" t="s">
        <v>102</v>
      </c>
      <c r="V4" t="s">
        <v>11378</v>
      </c>
      <c r="W4" t="s">
        <v>8710</v>
      </c>
      <c r="X4">
        <v>0.1</v>
      </c>
      <c r="Y4">
        <v>0</v>
      </c>
      <c r="Z4" s="3">
        <v>0</v>
      </c>
      <c r="AA4">
        <f>IF(ARTICULOS_GRANEL[[#This Row],[Stock]]&lt;ARTICULOS_GRANEL[[#This Row],[Minimo]],ARTICULOS_GRANEL[[#This Row],[Maximo]]-ARTICULOS_GRANEL[[#This Row],[Stock]],0)</f>
        <v>1.2</v>
      </c>
      <c r="AB4">
        <f>MROUND(ARTICULOS_GRANEL[[#This Row],[Pedido Unidad]]/ARTICULOS_GRANEL[[#This Row],[Bulto]],1)</f>
        <v>1</v>
      </c>
      <c r="AC4" s="80">
        <f>ARTICULOS_GRANEL[[#This Row],[Costo]]*ARTICULOS_GRANEL[[#This Row],[Bulto]]*ARTICULOS_GRANEL[[#This Row],[Pedido Bultos]]</f>
        <v>603.28</v>
      </c>
      <c r="AG4"/>
      <c r="AI4" s="2" t="str">
        <f>IF(AND(ARTICULOS_OSLE[[#This Row],[FechaVenc]]=0,ARTICULOS_OSLE[[#This Row],[DiasVenc]]=0),"",ARTICULOS_OSLE[[#This Row],[FechaVenc]]-ARTICULOS_OSLE[[#This Row],[DiasVenc]])</f>
        <v/>
      </c>
      <c r="AK4"/>
      <c r="AN4"/>
      <c r="AP4"/>
    </row>
    <row r="5" spans="1:44" x14ac:dyDescent="0.25">
      <c r="A5" s="24" t="s">
        <v>11450</v>
      </c>
      <c r="C5" t="str">
        <f t="shared" si="0"/>
        <v>ALM2004</v>
      </c>
      <c r="D5" t="s">
        <v>8693</v>
      </c>
      <c r="E5" s="1" t="s">
        <v>11381</v>
      </c>
      <c r="F5" s="61"/>
      <c r="G5" s="3">
        <v>21</v>
      </c>
      <c r="H5" s="4" t="s">
        <v>8690</v>
      </c>
      <c r="I5">
        <v>1</v>
      </c>
      <c r="J5"/>
      <c r="K5" s="4"/>
      <c r="L5" s="16">
        <f>((ARTICULOS_GOLOMAX[[#This Row],[P. Compra]]*(1+ARTICULOS_GOLOMAX[[#This Row],[IVA]]%))/ARTICULOS_GOLOMAX[[#This Row],[UnidFact]])+ARTICULOS_GOLOMAX[[#This Row],[CostoFlete]]</f>
        <v>564.32000000000005</v>
      </c>
      <c r="M5">
        <v>30</v>
      </c>
      <c r="N5" s="3">
        <f t="shared" si="1"/>
        <v>810</v>
      </c>
      <c r="O5" s="3">
        <f>MROUND((ARTICULOS_LADIAR[[#This Row],[Precio]]/0.6),10)</f>
        <v>1250</v>
      </c>
      <c r="P5" t="s">
        <v>8693</v>
      </c>
      <c r="Q5">
        <v>0.2</v>
      </c>
      <c r="R5" s="3">
        <f>ARTICULOS_GRANEL[[#This Row],[Bulto]]+ARTICULOS_GRANEL[[#This Row],[Minimo]]</f>
        <v>1.2</v>
      </c>
      <c r="S5" t="s">
        <v>63</v>
      </c>
      <c r="T5" t="s">
        <v>4</v>
      </c>
      <c r="U5" t="s">
        <v>102</v>
      </c>
      <c r="V5" t="s">
        <v>11378</v>
      </c>
      <c r="W5" t="s">
        <v>8710</v>
      </c>
      <c r="X5">
        <v>0.1</v>
      </c>
      <c r="Y5">
        <v>0</v>
      </c>
      <c r="Z5" s="3">
        <v>0</v>
      </c>
      <c r="AA5">
        <f>IF(ARTICULOS_GRANEL[[#This Row],[Stock]]&lt;ARTICULOS_GRANEL[[#This Row],[Minimo]],ARTICULOS_GRANEL[[#This Row],[Maximo]]-ARTICULOS_GRANEL[[#This Row],[Stock]],0)</f>
        <v>1.2</v>
      </c>
      <c r="AB5">
        <f>MROUND(ARTICULOS_GRANEL[[#This Row],[Pedido Unidad]]/ARTICULOS_GRANEL[[#This Row],[Bulto]],1)</f>
        <v>1</v>
      </c>
      <c r="AC5" s="80">
        <f>ARTICULOS_GRANEL[[#This Row],[Costo]]*ARTICULOS_GRANEL[[#This Row],[Bulto]]*ARTICULOS_GRANEL[[#This Row],[Pedido Bultos]]</f>
        <v>564.32000000000005</v>
      </c>
      <c r="AG5"/>
      <c r="AI5" s="2" t="str">
        <f>IF(AND(ARTICULOS_OSLE[[#This Row],[FechaVenc]]=0,ARTICULOS_OSLE[[#This Row],[DiasVenc]]=0),"",ARTICULOS_OSLE[[#This Row],[FechaVenc]]-ARTICULOS_OSLE[[#This Row],[DiasVenc]])</f>
        <v/>
      </c>
      <c r="AK5"/>
      <c r="AN5"/>
      <c r="AP5"/>
    </row>
    <row r="6" spans="1:44" x14ac:dyDescent="0.25">
      <c r="A6" s="24" t="s">
        <v>11451</v>
      </c>
      <c r="C6" t="str">
        <f t="shared" si="0"/>
        <v>ALM2005</v>
      </c>
      <c r="D6" t="s">
        <v>8693</v>
      </c>
      <c r="E6" s="1" t="s">
        <v>11382</v>
      </c>
      <c r="F6" s="61"/>
      <c r="G6" s="3">
        <v>21</v>
      </c>
      <c r="H6" s="4" t="s">
        <v>8690</v>
      </c>
      <c r="I6">
        <v>1</v>
      </c>
      <c r="J6"/>
      <c r="K6" s="4"/>
      <c r="L6" s="16">
        <f>((ARTICULOS_GOLOMAX[[#This Row],[P. Compra]]*(1+ARTICULOS_GOLOMAX[[#This Row],[IVA]]%))/ARTICULOS_GOLOMAX[[#This Row],[UnidFact]])+ARTICULOS_GOLOMAX[[#This Row],[CostoFlete]]</f>
        <v>564.32000000000005</v>
      </c>
      <c r="M6">
        <v>30</v>
      </c>
      <c r="N6" s="3">
        <f t="shared" si="1"/>
        <v>810</v>
      </c>
      <c r="O6" s="3">
        <f>MROUND((ARTICULOS_LADIAR[[#This Row],[Precio]]/0.6),10)</f>
        <v>1250</v>
      </c>
      <c r="P6" t="s">
        <v>8693</v>
      </c>
      <c r="Q6">
        <v>0.2</v>
      </c>
      <c r="R6" s="3">
        <f>ARTICULOS_GRANEL[[#This Row],[Bulto]]+ARTICULOS_GRANEL[[#This Row],[Minimo]]</f>
        <v>1.2</v>
      </c>
      <c r="S6" t="s">
        <v>63</v>
      </c>
      <c r="T6" t="s">
        <v>4</v>
      </c>
      <c r="U6" t="s">
        <v>102</v>
      </c>
      <c r="V6" t="s">
        <v>11378</v>
      </c>
      <c r="W6" t="s">
        <v>8710</v>
      </c>
      <c r="X6">
        <v>0.1</v>
      </c>
      <c r="Y6">
        <v>0</v>
      </c>
      <c r="Z6" s="3">
        <v>0</v>
      </c>
      <c r="AA6">
        <f>IF(ARTICULOS_GRANEL[[#This Row],[Stock]]&lt;ARTICULOS_GRANEL[[#This Row],[Minimo]],ARTICULOS_GRANEL[[#This Row],[Maximo]]-ARTICULOS_GRANEL[[#This Row],[Stock]],0)</f>
        <v>1.2</v>
      </c>
      <c r="AB6">
        <f>MROUND(ARTICULOS_GRANEL[[#This Row],[Pedido Unidad]]/ARTICULOS_GRANEL[[#This Row],[Bulto]],1)</f>
        <v>1</v>
      </c>
      <c r="AC6" s="80">
        <f>ARTICULOS_GRANEL[[#This Row],[Costo]]*ARTICULOS_GRANEL[[#This Row],[Bulto]]*ARTICULOS_GRANEL[[#This Row],[Pedido Bultos]]</f>
        <v>564.32000000000005</v>
      </c>
      <c r="AG6"/>
      <c r="AI6" s="2" t="str">
        <f>IF(AND(ARTICULOS_OSLE[[#This Row],[FechaVenc]]=0,ARTICULOS_OSLE[[#This Row],[DiasVenc]]=0),"",ARTICULOS_OSLE[[#This Row],[FechaVenc]]-ARTICULOS_OSLE[[#This Row],[DiasVenc]])</f>
        <v/>
      </c>
      <c r="AK6"/>
      <c r="AN6"/>
      <c r="AP6"/>
    </row>
    <row r="7" spans="1:44" x14ac:dyDescent="0.25">
      <c r="A7" s="24" t="s">
        <v>11452</v>
      </c>
      <c r="C7" t="str">
        <f t="shared" si="0"/>
        <v>ALM2006</v>
      </c>
      <c r="D7" t="s">
        <v>8693</v>
      </c>
      <c r="E7" s="1" t="s">
        <v>11383</v>
      </c>
      <c r="F7" s="61"/>
      <c r="G7" s="3">
        <v>21</v>
      </c>
      <c r="H7" s="4" t="s">
        <v>8690</v>
      </c>
      <c r="I7">
        <v>1</v>
      </c>
      <c r="J7"/>
      <c r="K7" s="4"/>
      <c r="L7" s="16">
        <f>((ARTICULOS_GOLOMAX[[#This Row],[P. Compra]]*(1+ARTICULOS_GOLOMAX[[#This Row],[IVA]]%))/ARTICULOS_GOLOMAX[[#This Row],[UnidFact]])+ARTICULOS_GOLOMAX[[#This Row],[CostoFlete]]</f>
        <v>521.26</v>
      </c>
      <c r="M7">
        <v>30</v>
      </c>
      <c r="N7" s="3">
        <f t="shared" si="1"/>
        <v>740</v>
      </c>
      <c r="O7" s="3">
        <f>MROUND((ARTICULOS_LADIAR[[#This Row],[Precio]]/0.6),10)</f>
        <v>1250</v>
      </c>
      <c r="P7" t="s">
        <v>8693</v>
      </c>
      <c r="Q7">
        <v>0.2</v>
      </c>
      <c r="R7" s="3">
        <f>ARTICULOS_GRANEL[[#This Row],[Bulto]]+ARTICULOS_GRANEL[[#This Row],[Minimo]]</f>
        <v>1.2</v>
      </c>
      <c r="S7" t="s">
        <v>63</v>
      </c>
      <c r="T7" t="s">
        <v>4</v>
      </c>
      <c r="U7" t="s">
        <v>102</v>
      </c>
      <c r="V7" t="s">
        <v>11378</v>
      </c>
      <c r="W7" t="s">
        <v>8710</v>
      </c>
      <c r="X7">
        <v>0.1</v>
      </c>
      <c r="Y7">
        <v>0</v>
      </c>
      <c r="Z7" s="3">
        <v>0</v>
      </c>
      <c r="AA7">
        <f>IF(ARTICULOS_GRANEL[[#This Row],[Stock]]&lt;ARTICULOS_GRANEL[[#This Row],[Minimo]],ARTICULOS_GRANEL[[#This Row],[Maximo]]-ARTICULOS_GRANEL[[#This Row],[Stock]],0)</f>
        <v>1.2</v>
      </c>
      <c r="AB7">
        <f>MROUND(ARTICULOS_GRANEL[[#This Row],[Pedido Unidad]]/ARTICULOS_GRANEL[[#This Row],[Bulto]],1)</f>
        <v>1</v>
      </c>
      <c r="AC7" s="80">
        <f>ARTICULOS_GRANEL[[#This Row],[Costo]]*ARTICULOS_GRANEL[[#This Row],[Bulto]]*ARTICULOS_GRANEL[[#This Row],[Pedido Bultos]]</f>
        <v>521.26</v>
      </c>
      <c r="AG7"/>
      <c r="AI7" s="2" t="str">
        <f>IF(AND(ARTICULOS_OSLE[[#This Row],[FechaVenc]]=0,ARTICULOS_OSLE[[#This Row],[DiasVenc]]=0),"",ARTICULOS_OSLE[[#This Row],[FechaVenc]]-ARTICULOS_OSLE[[#This Row],[DiasVenc]])</f>
        <v/>
      </c>
      <c r="AK7"/>
      <c r="AN7"/>
      <c r="AP7"/>
    </row>
    <row r="8" spans="1:44" x14ac:dyDescent="0.25">
      <c r="A8" s="24" t="s">
        <v>11453</v>
      </c>
      <c r="C8" t="str">
        <f t="shared" si="0"/>
        <v>ALM2007</v>
      </c>
      <c r="D8" t="s">
        <v>8693</v>
      </c>
      <c r="E8" s="1" t="s">
        <v>11384</v>
      </c>
      <c r="F8" s="61"/>
      <c r="G8" s="3">
        <v>21</v>
      </c>
      <c r="H8" s="4" t="s">
        <v>8690</v>
      </c>
      <c r="I8">
        <v>1</v>
      </c>
      <c r="J8"/>
      <c r="K8" s="4"/>
      <c r="L8" s="16">
        <f>((ARTICULOS_GOLOMAX[[#This Row],[P. Compra]]*(1+ARTICULOS_GOLOMAX[[#This Row],[IVA]]%))/ARTICULOS_GOLOMAX[[#This Row],[UnidFact]])+ARTICULOS_GOLOMAX[[#This Row],[CostoFlete]]</f>
        <v>403.8</v>
      </c>
      <c r="M8">
        <v>30</v>
      </c>
      <c r="N8" s="3">
        <f t="shared" si="1"/>
        <v>580</v>
      </c>
      <c r="O8" s="3">
        <f>MROUND((ARTICULOS_LADIAR[[#This Row],[Precio]]/0.6),10)</f>
        <v>1250</v>
      </c>
      <c r="P8" t="s">
        <v>8693</v>
      </c>
      <c r="Q8">
        <v>0.2</v>
      </c>
      <c r="R8" s="3">
        <f>ARTICULOS_GRANEL[[#This Row],[Bulto]]+ARTICULOS_GRANEL[[#This Row],[Minimo]]</f>
        <v>1.2</v>
      </c>
      <c r="S8" t="s">
        <v>63</v>
      </c>
      <c r="T8" t="s">
        <v>4</v>
      </c>
      <c r="U8" t="s">
        <v>102</v>
      </c>
      <c r="V8" t="s">
        <v>11378</v>
      </c>
      <c r="W8" t="s">
        <v>8710</v>
      </c>
      <c r="X8">
        <v>0.1</v>
      </c>
      <c r="Y8">
        <v>0</v>
      </c>
      <c r="Z8" s="3">
        <v>0</v>
      </c>
      <c r="AA8">
        <f>IF(ARTICULOS_GRANEL[[#This Row],[Stock]]&lt;ARTICULOS_GRANEL[[#This Row],[Minimo]],ARTICULOS_GRANEL[[#This Row],[Maximo]]-ARTICULOS_GRANEL[[#This Row],[Stock]],0)</f>
        <v>1.2</v>
      </c>
      <c r="AB8">
        <f>MROUND(ARTICULOS_GRANEL[[#This Row],[Pedido Unidad]]/ARTICULOS_GRANEL[[#This Row],[Bulto]],1)</f>
        <v>1</v>
      </c>
      <c r="AC8" s="80">
        <f>ARTICULOS_GRANEL[[#This Row],[Costo]]*ARTICULOS_GRANEL[[#This Row],[Bulto]]*ARTICULOS_GRANEL[[#This Row],[Pedido Bultos]]</f>
        <v>403.8</v>
      </c>
      <c r="AG8"/>
      <c r="AI8" s="2" t="str">
        <f>IF(AND(ARTICULOS_OSLE[[#This Row],[FechaVenc]]=0,ARTICULOS_OSLE[[#This Row],[DiasVenc]]=0),"",ARTICULOS_OSLE[[#This Row],[FechaVenc]]-ARTICULOS_OSLE[[#This Row],[DiasVenc]])</f>
        <v/>
      </c>
      <c r="AK8"/>
      <c r="AN8"/>
      <c r="AP8"/>
    </row>
    <row r="9" spans="1:44" x14ac:dyDescent="0.25">
      <c r="A9" s="24" t="s">
        <v>11454</v>
      </c>
      <c r="C9" t="str">
        <f t="shared" si="0"/>
        <v>ALM2008</v>
      </c>
      <c r="D9" t="s">
        <v>8693</v>
      </c>
      <c r="E9" s="1" t="s">
        <v>11385</v>
      </c>
      <c r="F9" s="61"/>
      <c r="G9" s="3">
        <v>21</v>
      </c>
      <c r="H9" s="4" t="s">
        <v>8690</v>
      </c>
      <c r="I9">
        <v>1</v>
      </c>
      <c r="J9"/>
      <c r="K9" s="4"/>
      <c r="L9" s="16">
        <f>((ARTICULOS_GOLOMAX[[#This Row],[P. Compra]]*(1+ARTICULOS_GOLOMAX[[#This Row],[IVA]]%))/ARTICULOS_GOLOMAX[[#This Row],[UnidFact]])+ARTICULOS_GOLOMAX[[#This Row],[CostoFlete]]</f>
        <v>391.69</v>
      </c>
      <c r="M9">
        <v>30</v>
      </c>
      <c r="N9" s="3">
        <f t="shared" si="1"/>
        <v>560</v>
      </c>
      <c r="O9" s="3">
        <f>MROUND((ARTICULOS_LADIAR[[#This Row],[Precio]]/0.6),10)</f>
        <v>1250</v>
      </c>
      <c r="P9" t="s">
        <v>8693</v>
      </c>
      <c r="Q9">
        <v>0.2</v>
      </c>
      <c r="R9" s="3">
        <f>ARTICULOS_GRANEL[[#This Row],[Bulto]]+ARTICULOS_GRANEL[[#This Row],[Minimo]]</f>
        <v>1.2</v>
      </c>
      <c r="S9" t="s">
        <v>63</v>
      </c>
      <c r="T9" t="s">
        <v>4</v>
      </c>
      <c r="U9" t="s">
        <v>102</v>
      </c>
      <c r="V9" t="s">
        <v>11378</v>
      </c>
      <c r="W9" t="s">
        <v>8710</v>
      </c>
      <c r="X9">
        <v>0.1</v>
      </c>
      <c r="Y9">
        <v>0</v>
      </c>
      <c r="Z9" s="3">
        <v>0</v>
      </c>
      <c r="AA9">
        <f>IF(ARTICULOS_GRANEL[[#This Row],[Stock]]&lt;ARTICULOS_GRANEL[[#This Row],[Minimo]],ARTICULOS_GRANEL[[#This Row],[Maximo]]-ARTICULOS_GRANEL[[#This Row],[Stock]],0)</f>
        <v>1.2</v>
      </c>
      <c r="AB9">
        <f>MROUND(ARTICULOS_GRANEL[[#This Row],[Pedido Unidad]]/ARTICULOS_GRANEL[[#This Row],[Bulto]],1)</f>
        <v>1</v>
      </c>
      <c r="AC9" s="80">
        <f>ARTICULOS_GRANEL[[#This Row],[Costo]]*ARTICULOS_GRANEL[[#This Row],[Bulto]]*ARTICULOS_GRANEL[[#This Row],[Pedido Bultos]]</f>
        <v>391.69</v>
      </c>
      <c r="AG9"/>
      <c r="AI9" s="2" t="str">
        <f>IF(AND(ARTICULOS_OSLE[[#This Row],[FechaVenc]]=0,ARTICULOS_OSLE[[#This Row],[DiasVenc]]=0),"",ARTICULOS_OSLE[[#This Row],[FechaVenc]]-ARTICULOS_OSLE[[#This Row],[DiasVenc]])</f>
        <v/>
      </c>
      <c r="AK9"/>
      <c r="AN9"/>
      <c r="AP9"/>
    </row>
    <row r="10" spans="1:44" x14ac:dyDescent="0.25">
      <c r="A10" s="24" t="s">
        <v>11455</v>
      </c>
      <c r="C10" t="str">
        <f t="shared" si="0"/>
        <v>ALM2009</v>
      </c>
      <c r="D10" t="s">
        <v>8693</v>
      </c>
      <c r="E10" s="1" t="s">
        <v>11386</v>
      </c>
      <c r="F10" s="61"/>
      <c r="G10" s="3">
        <v>21</v>
      </c>
      <c r="H10" s="4" t="s">
        <v>8690</v>
      </c>
      <c r="I10">
        <v>1</v>
      </c>
      <c r="J10"/>
      <c r="K10" s="4"/>
      <c r="L10" s="16">
        <f>((ARTICULOS_GOLOMAX[[#This Row],[P. Compra]]*(1+ARTICULOS_GOLOMAX[[#This Row],[IVA]]%))/ARTICULOS_GOLOMAX[[#This Row],[UnidFact]])+ARTICULOS_GOLOMAX[[#This Row],[CostoFlete]]</f>
        <v>694.09</v>
      </c>
      <c r="M10">
        <v>30</v>
      </c>
      <c r="N10" s="3">
        <f t="shared" si="1"/>
        <v>990</v>
      </c>
      <c r="O10" s="3">
        <f>MROUND((ARTICULOS_LADIAR[[#This Row],[Precio]]/0.6),10)</f>
        <v>1250</v>
      </c>
      <c r="P10" t="s">
        <v>8693</v>
      </c>
      <c r="Q10">
        <v>0.2</v>
      </c>
      <c r="R10" s="3">
        <f>ARTICULOS_GRANEL[[#This Row],[Bulto]]+ARTICULOS_GRANEL[[#This Row],[Minimo]]</f>
        <v>1.2</v>
      </c>
      <c r="S10" t="s">
        <v>63</v>
      </c>
      <c r="T10" t="s">
        <v>4</v>
      </c>
      <c r="U10" t="s">
        <v>65</v>
      </c>
      <c r="V10" t="s">
        <v>11378</v>
      </c>
      <c r="W10" t="s">
        <v>8710</v>
      </c>
      <c r="X10">
        <v>0.1</v>
      </c>
      <c r="Y10">
        <v>0</v>
      </c>
      <c r="Z10" s="3">
        <v>0</v>
      </c>
      <c r="AA10">
        <f>IF(ARTICULOS_GRANEL[[#This Row],[Stock]]&lt;ARTICULOS_GRANEL[[#This Row],[Minimo]],ARTICULOS_GRANEL[[#This Row],[Maximo]]-ARTICULOS_GRANEL[[#This Row],[Stock]],0)</f>
        <v>1.2</v>
      </c>
      <c r="AB10">
        <f>MROUND(ARTICULOS_GRANEL[[#This Row],[Pedido Unidad]]/ARTICULOS_GRANEL[[#This Row],[Bulto]],1)</f>
        <v>1</v>
      </c>
      <c r="AC10" s="80">
        <f>ARTICULOS_GRANEL[[#This Row],[Costo]]*ARTICULOS_GRANEL[[#This Row],[Bulto]]*ARTICULOS_GRANEL[[#This Row],[Pedido Bultos]]</f>
        <v>694.09</v>
      </c>
      <c r="AG10"/>
      <c r="AI10" s="2" t="str">
        <f>IF(AND(ARTICULOS_OSLE[[#This Row],[FechaVenc]]=0,ARTICULOS_OSLE[[#This Row],[DiasVenc]]=0),"",ARTICULOS_OSLE[[#This Row],[FechaVenc]]-ARTICULOS_OSLE[[#This Row],[DiasVenc]])</f>
        <v/>
      </c>
      <c r="AK10"/>
      <c r="AN10"/>
      <c r="AP10"/>
    </row>
    <row r="11" spans="1:44" x14ac:dyDescent="0.25">
      <c r="A11" s="24" t="s">
        <v>11456</v>
      </c>
      <c r="C11" t="str">
        <f t="shared" si="0"/>
        <v>ALM2010</v>
      </c>
      <c r="D11" t="s">
        <v>8693</v>
      </c>
      <c r="E11" s="1" t="s">
        <v>11387</v>
      </c>
      <c r="F11" s="61"/>
      <c r="G11" s="3">
        <v>21</v>
      </c>
      <c r="H11" s="4" t="s">
        <v>8690</v>
      </c>
      <c r="I11">
        <v>1</v>
      </c>
      <c r="J11"/>
      <c r="K11" s="4"/>
      <c r="L11" s="16">
        <f>((ARTICULOS_GOLOMAX[[#This Row],[P. Compra]]*(1+ARTICULOS_GOLOMAX[[#This Row],[IVA]]%))/ARTICULOS_GOLOMAX[[#This Row],[UnidFact]])+ARTICULOS_GOLOMAX[[#This Row],[CostoFlete]]</f>
        <v>694.09</v>
      </c>
      <c r="M11">
        <v>30</v>
      </c>
      <c r="N11" s="3">
        <f t="shared" si="1"/>
        <v>990</v>
      </c>
      <c r="O11" s="3">
        <f>MROUND((ARTICULOS_LADIAR[[#This Row],[Precio]]/0.6),10)</f>
        <v>1250</v>
      </c>
      <c r="P11" t="s">
        <v>8693</v>
      </c>
      <c r="Q11">
        <v>0.2</v>
      </c>
      <c r="R11" s="3">
        <f>ARTICULOS_GRANEL[[#This Row],[Bulto]]+ARTICULOS_GRANEL[[#This Row],[Minimo]]</f>
        <v>1.2</v>
      </c>
      <c r="S11" t="s">
        <v>63</v>
      </c>
      <c r="T11" t="s">
        <v>4</v>
      </c>
      <c r="U11" t="s">
        <v>65</v>
      </c>
      <c r="V11" t="s">
        <v>11378</v>
      </c>
      <c r="W11" t="s">
        <v>8710</v>
      </c>
      <c r="X11">
        <v>0.1</v>
      </c>
      <c r="Y11">
        <v>0</v>
      </c>
      <c r="Z11" s="3">
        <v>0</v>
      </c>
      <c r="AA11">
        <f>IF(ARTICULOS_GRANEL[[#This Row],[Stock]]&lt;ARTICULOS_GRANEL[[#This Row],[Minimo]],ARTICULOS_GRANEL[[#This Row],[Maximo]]-ARTICULOS_GRANEL[[#This Row],[Stock]],0)</f>
        <v>1.2</v>
      </c>
      <c r="AB11">
        <f>MROUND(ARTICULOS_GRANEL[[#This Row],[Pedido Unidad]]/ARTICULOS_GRANEL[[#This Row],[Bulto]],1)</f>
        <v>1</v>
      </c>
      <c r="AC11" s="80">
        <f>ARTICULOS_GRANEL[[#This Row],[Costo]]*ARTICULOS_GRANEL[[#This Row],[Bulto]]*ARTICULOS_GRANEL[[#This Row],[Pedido Bultos]]</f>
        <v>694.09</v>
      </c>
      <c r="AG11"/>
      <c r="AI11" s="2" t="str">
        <f>IF(AND(ARTICULOS_OSLE[[#This Row],[FechaVenc]]=0,ARTICULOS_OSLE[[#This Row],[DiasVenc]]=0),"",ARTICULOS_OSLE[[#This Row],[FechaVenc]]-ARTICULOS_OSLE[[#This Row],[DiasVenc]])</f>
        <v/>
      </c>
      <c r="AK11"/>
      <c r="AN11"/>
      <c r="AP11"/>
    </row>
    <row r="12" spans="1:44" x14ac:dyDescent="0.25">
      <c r="A12" s="24" t="s">
        <v>11457</v>
      </c>
      <c r="C12" t="str">
        <f t="shared" si="0"/>
        <v>ALM2011</v>
      </c>
      <c r="D12" t="s">
        <v>8693</v>
      </c>
      <c r="E12" s="1" t="s">
        <v>11388</v>
      </c>
      <c r="F12" s="61"/>
      <c r="G12" s="3">
        <v>21</v>
      </c>
      <c r="H12" s="4" t="s">
        <v>8690</v>
      </c>
      <c r="I12">
        <v>1</v>
      </c>
      <c r="J12"/>
      <c r="K12" s="4"/>
      <c r="L12" s="16">
        <f>((ARTICULOS_GOLOMAX[[#This Row],[P. Compra]]*(1+ARTICULOS_GOLOMAX[[#This Row],[IVA]]%))/ARTICULOS_GOLOMAX[[#This Row],[UnidFact]])+ARTICULOS_GOLOMAX[[#This Row],[CostoFlete]]</f>
        <v>694.09</v>
      </c>
      <c r="M12">
        <v>30</v>
      </c>
      <c r="N12" s="3">
        <f t="shared" si="1"/>
        <v>990</v>
      </c>
      <c r="O12" s="3">
        <f>MROUND((ARTICULOS_LADIAR[[#This Row],[Precio]]/0.6),10)</f>
        <v>2000</v>
      </c>
      <c r="P12" t="s">
        <v>8693</v>
      </c>
      <c r="Q12">
        <v>0.2</v>
      </c>
      <c r="R12" s="3">
        <f>ARTICULOS_GRANEL[[#This Row],[Bulto]]+ARTICULOS_GRANEL[[#This Row],[Minimo]]</f>
        <v>1.2</v>
      </c>
      <c r="S12" t="s">
        <v>63</v>
      </c>
      <c r="T12" t="s">
        <v>4</v>
      </c>
      <c r="U12" t="s">
        <v>65</v>
      </c>
      <c r="V12" t="s">
        <v>11378</v>
      </c>
      <c r="W12" t="s">
        <v>8710</v>
      </c>
      <c r="X12">
        <v>0.1</v>
      </c>
      <c r="Y12">
        <v>0</v>
      </c>
      <c r="Z12" s="3">
        <v>0</v>
      </c>
      <c r="AA12">
        <f>IF(ARTICULOS_GRANEL[[#This Row],[Stock]]&lt;ARTICULOS_GRANEL[[#This Row],[Minimo]],ARTICULOS_GRANEL[[#This Row],[Maximo]]-ARTICULOS_GRANEL[[#This Row],[Stock]],0)</f>
        <v>1.2</v>
      </c>
      <c r="AB12">
        <f>MROUND(ARTICULOS_GRANEL[[#This Row],[Pedido Unidad]]/ARTICULOS_GRANEL[[#This Row],[Bulto]],1)</f>
        <v>1</v>
      </c>
      <c r="AC12" s="80">
        <f>ARTICULOS_GRANEL[[#This Row],[Costo]]*ARTICULOS_GRANEL[[#This Row],[Bulto]]*ARTICULOS_GRANEL[[#This Row],[Pedido Bultos]]</f>
        <v>694.09</v>
      </c>
      <c r="AG12"/>
      <c r="AI12" s="2" t="str">
        <f>IF(AND(ARTICULOS_OSLE[[#This Row],[FechaVenc]]=0,ARTICULOS_OSLE[[#This Row],[DiasVenc]]=0),"",ARTICULOS_OSLE[[#This Row],[FechaVenc]]-ARTICULOS_OSLE[[#This Row],[DiasVenc]])</f>
        <v/>
      </c>
      <c r="AK12"/>
      <c r="AN12"/>
      <c r="AP12"/>
    </row>
    <row r="13" spans="1:44" x14ac:dyDescent="0.25">
      <c r="A13" s="24" t="s">
        <v>11458</v>
      </c>
      <c r="C13" t="str">
        <f t="shared" si="0"/>
        <v>ALM2012</v>
      </c>
      <c r="D13" t="s">
        <v>8693</v>
      </c>
      <c r="E13" s="1" t="s">
        <v>11389</v>
      </c>
      <c r="F13" s="61"/>
      <c r="G13" s="3">
        <v>21</v>
      </c>
      <c r="H13" s="4" t="s">
        <v>8690</v>
      </c>
      <c r="I13">
        <v>1</v>
      </c>
      <c r="J13"/>
      <c r="K13" s="4"/>
      <c r="L13" s="16">
        <f>((ARTICULOS_GOLOMAX[[#This Row],[P. Compra]]*(1+ARTICULOS_GOLOMAX[[#This Row],[IVA]]%))/ARTICULOS_GOLOMAX[[#This Row],[UnidFact]])+ARTICULOS_GOLOMAX[[#This Row],[CostoFlete]]</f>
        <v>694.09</v>
      </c>
      <c r="M13">
        <v>30</v>
      </c>
      <c r="N13" s="3">
        <f t="shared" si="1"/>
        <v>990</v>
      </c>
      <c r="O13" s="3">
        <f>MROUND((ARTICULOS_LADIAR[[#This Row],[Precio]]/0.6),10)</f>
        <v>2000</v>
      </c>
      <c r="P13" t="s">
        <v>8693</v>
      </c>
      <c r="Q13">
        <v>0.2</v>
      </c>
      <c r="R13" s="3">
        <f>ARTICULOS_GRANEL[[#This Row],[Bulto]]+ARTICULOS_GRANEL[[#This Row],[Minimo]]</f>
        <v>1.2</v>
      </c>
      <c r="S13" t="s">
        <v>63</v>
      </c>
      <c r="T13" t="s">
        <v>4</v>
      </c>
      <c r="U13" t="s">
        <v>65</v>
      </c>
      <c r="V13" t="s">
        <v>11378</v>
      </c>
      <c r="W13" t="s">
        <v>8710</v>
      </c>
      <c r="X13">
        <v>0.1</v>
      </c>
      <c r="Y13">
        <v>0</v>
      </c>
      <c r="Z13" s="3">
        <v>0</v>
      </c>
      <c r="AA13">
        <f>IF(ARTICULOS_GRANEL[[#This Row],[Stock]]&lt;ARTICULOS_GRANEL[[#This Row],[Minimo]],ARTICULOS_GRANEL[[#This Row],[Maximo]]-ARTICULOS_GRANEL[[#This Row],[Stock]],0)</f>
        <v>1.2</v>
      </c>
      <c r="AB13">
        <f>MROUND(ARTICULOS_GRANEL[[#This Row],[Pedido Unidad]]/ARTICULOS_GRANEL[[#This Row],[Bulto]],1)</f>
        <v>1</v>
      </c>
      <c r="AC13" s="80">
        <f>ARTICULOS_GRANEL[[#This Row],[Costo]]*ARTICULOS_GRANEL[[#This Row],[Bulto]]*ARTICULOS_GRANEL[[#This Row],[Pedido Bultos]]</f>
        <v>694.09</v>
      </c>
      <c r="AG13"/>
      <c r="AI13" s="2" t="str">
        <f>IF(AND(ARTICULOS_OSLE[[#This Row],[FechaVenc]]=0,ARTICULOS_OSLE[[#This Row],[DiasVenc]]=0),"",ARTICULOS_OSLE[[#This Row],[FechaVenc]]-ARTICULOS_OSLE[[#This Row],[DiasVenc]])</f>
        <v/>
      </c>
      <c r="AK13"/>
      <c r="AN13"/>
      <c r="AP13"/>
    </row>
    <row r="14" spans="1:44" x14ac:dyDescent="0.25">
      <c r="A14" s="24" t="s">
        <v>11459</v>
      </c>
      <c r="C14" t="str">
        <f t="shared" si="0"/>
        <v>ALM2013</v>
      </c>
      <c r="D14" t="s">
        <v>8693</v>
      </c>
      <c r="E14" s="1" t="s">
        <v>11390</v>
      </c>
      <c r="F14" s="61"/>
      <c r="G14" s="3">
        <v>21</v>
      </c>
      <c r="H14" s="4" t="s">
        <v>8690</v>
      </c>
      <c r="I14">
        <v>1</v>
      </c>
      <c r="J14"/>
      <c r="K14" s="4"/>
      <c r="L14" s="16">
        <f>((ARTICULOS_GOLOMAX[[#This Row],[P. Compra]]*(1+ARTICULOS_GOLOMAX[[#This Row],[IVA]]%))/ARTICULOS_GOLOMAX[[#This Row],[UnidFact]])+ARTICULOS_GOLOMAX[[#This Row],[CostoFlete]]</f>
        <v>935.95</v>
      </c>
      <c r="M14">
        <v>30</v>
      </c>
      <c r="N14" s="3">
        <f t="shared" si="1"/>
        <v>1340</v>
      </c>
      <c r="O14" s="3">
        <f>MROUND((ARTICULOS_LADIAR[[#This Row],[Precio]]/0.6),10)</f>
        <v>2000</v>
      </c>
      <c r="P14" t="s">
        <v>8693</v>
      </c>
      <c r="Q14">
        <v>0.2</v>
      </c>
      <c r="R14" s="3">
        <f>ARTICULOS_GRANEL[[#This Row],[Bulto]]+ARTICULOS_GRANEL[[#This Row],[Minimo]]</f>
        <v>1.2</v>
      </c>
      <c r="S14" t="s">
        <v>63</v>
      </c>
      <c r="T14" t="s">
        <v>4</v>
      </c>
      <c r="U14" t="s">
        <v>65</v>
      </c>
      <c r="V14" t="s">
        <v>11378</v>
      </c>
      <c r="W14" t="s">
        <v>8710</v>
      </c>
      <c r="X14">
        <v>0.1</v>
      </c>
      <c r="Y14">
        <v>0</v>
      </c>
      <c r="Z14" s="3">
        <v>0</v>
      </c>
      <c r="AA14">
        <f>IF(ARTICULOS_GRANEL[[#This Row],[Stock]]&lt;ARTICULOS_GRANEL[[#This Row],[Minimo]],ARTICULOS_GRANEL[[#This Row],[Maximo]]-ARTICULOS_GRANEL[[#This Row],[Stock]],0)</f>
        <v>1.2</v>
      </c>
      <c r="AB14">
        <f>MROUND(ARTICULOS_GRANEL[[#This Row],[Pedido Unidad]]/ARTICULOS_GRANEL[[#This Row],[Bulto]],1)</f>
        <v>1</v>
      </c>
      <c r="AC14" s="80">
        <f>ARTICULOS_GRANEL[[#This Row],[Costo]]*ARTICULOS_GRANEL[[#This Row],[Bulto]]*ARTICULOS_GRANEL[[#This Row],[Pedido Bultos]]</f>
        <v>935.95</v>
      </c>
      <c r="AG14"/>
      <c r="AI14" s="2" t="str">
        <f>IF(AND(ARTICULOS_OSLE[[#This Row],[FechaVenc]]=0,ARTICULOS_OSLE[[#This Row],[DiasVenc]]=0),"",ARTICULOS_OSLE[[#This Row],[FechaVenc]]-ARTICULOS_OSLE[[#This Row],[DiasVenc]])</f>
        <v/>
      </c>
      <c r="AK14"/>
      <c r="AN14"/>
      <c r="AP14"/>
    </row>
    <row r="15" spans="1:44" x14ac:dyDescent="0.25">
      <c r="A15" s="24" t="s">
        <v>11460</v>
      </c>
      <c r="C15" t="str">
        <f t="shared" si="0"/>
        <v>ALM2014</v>
      </c>
      <c r="D15" t="s">
        <v>8693</v>
      </c>
      <c r="E15" s="1" t="s">
        <v>11391</v>
      </c>
      <c r="F15" s="61"/>
      <c r="G15" s="3">
        <v>21</v>
      </c>
      <c r="H15" s="4" t="s">
        <v>8690</v>
      </c>
      <c r="I15">
        <v>1</v>
      </c>
      <c r="J15"/>
      <c r="K15" s="4"/>
      <c r="L15" s="16">
        <f>((ARTICULOS_GOLOMAX[[#This Row],[P. Compra]]*(1+ARTICULOS_GOLOMAX[[#This Row],[IVA]]%))/ARTICULOS_GOLOMAX[[#This Row],[UnidFact]])+ARTICULOS_GOLOMAX[[#This Row],[CostoFlete]]</f>
        <v>684.04</v>
      </c>
      <c r="M15">
        <v>30</v>
      </c>
      <c r="N15" s="3">
        <f t="shared" si="1"/>
        <v>980</v>
      </c>
      <c r="O15" s="3">
        <f>MROUND((ARTICULOS_LADIAR[[#This Row],[Precio]]/0.6),10)</f>
        <v>2000</v>
      </c>
      <c r="P15" t="s">
        <v>8693</v>
      </c>
      <c r="Q15">
        <v>0.2</v>
      </c>
      <c r="R15" s="3">
        <f>ARTICULOS_GRANEL[[#This Row],[Bulto]]+ARTICULOS_GRANEL[[#This Row],[Minimo]]</f>
        <v>1.2</v>
      </c>
      <c r="S15" t="s">
        <v>63</v>
      </c>
      <c r="T15" t="s">
        <v>4</v>
      </c>
      <c r="U15" t="s">
        <v>65</v>
      </c>
      <c r="V15" t="s">
        <v>11378</v>
      </c>
      <c r="W15" t="s">
        <v>8710</v>
      </c>
      <c r="X15">
        <v>0.1</v>
      </c>
      <c r="Y15">
        <v>0</v>
      </c>
      <c r="Z15" s="3">
        <v>0</v>
      </c>
      <c r="AA15">
        <f>IF(ARTICULOS_GRANEL[[#This Row],[Stock]]&lt;ARTICULOS_GRANEL[[#This Row],[Minimo]],ARTICULOS_GRANEL[[#This Row],[Maximo]]-ARTICULOS_GRANEL[[#This Row],[Stock]],0)</f>
        <v>1.2</v>
      </c>
      <c r="AB15">
        <f>MROUND(ARTICULOS_GRANEL[[#This Row],[Pedido Unidad]]/ARTICULOS_GRANEL[[#This Row],[Bulto]],1)</f>
        <v>1</v>
      </c>
      <c r="AC15" s="80">
        <f>ARTICULOS_GRANEL[[#This Row],[Costo]]*ARTICULOS_GRANEL[[#This Row],[Bulto]]*ARTICULOS_GRANEL[[#This Row],[Pedido Bultos]]</f>
        <v>684.04</v>
      </c>
      <c r="AG15"/>
      <c r="AI15" s="2" t="str">
        <f>IF(AND(ARTICULOS_OSLE[[#This Row],[FechaVenc]]=0,ARTICULOS_OSLE[[#This Row],[DiasVenc]]=0),"",ARTICULOS_OSLE[[#This Row],[FechaVenc]]-ARTICULOS_OSLE[[#This Row],[DiasVenc]])</f>
        <v/>
      </c>
      <c r="AK15"/>
      <c r="AN15"/>
      <c r="AP15"/>
    </row>
  </sheetData>
  <phoneticPr fontId="5" type="noConversion"/>
  <conditionalFormatting sqref="A1">
    <cfRule type="duplicateValues" dxfId="7" priority="3"/>
  </conditionalFormatting>
  <conditionalFormatting sqref="A16:C1048576 A2:C3 B4:C11 A4:A15">
    <cfRule type="duplicateValues" dxfId="6" priority="16"/>
    <cfRule type="duplicateValues" dxfId="5" priority="17"/>
  </conditionalFormatting>
  <conditionalFormatting sqref="B12:C15">
    <cfRule type="duplicateValues" dxfId="4" priority="15"/>
  </conditionalFormatting>
  <conditionalFormatting sqref="C1">
    <cfRule type="duplicateValues" dxfId="3" priority="2"/>
  </conditionalFormatting>
  <conditionalFormatting sqref="F16:F1048576">
    <cfRule type="cellIs" dxfId="2" priority="11" operator="greaterThan">
      <formula>0</formula>
    </cfRule>
  </conditionalFormatting>
  <conditionalFormatting sqref="L1:L15">
    <cfRule type="cellIs" dxfId="1" priority="1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B54088A7-47ED-4091-A06D-98CF6EA234C4}">
          <x14:formula1>
            <xm:f>LISTAS!$A:$A</xm:f>
          </x14:formula1>
          <xm:sqref>P16:P1048576 S1:S15</xm:sqref>
        </x14:dataValidation>
        <x14:dataValidation type="list" allowBlank="1" showInputMessage="1" showErrorMessage="1" xr:uid="{50218401-D744-492F-88E2-813070ACCD2B}">
          <x14:formula1>
            <xm:f>LISTAS!$E:$E</xm:f>
          </x14:formula1>
          <xm:sqref>AE16:AE1048576 U1:U15</xm:sqref>
        </x14:dataValidation>
        <x14:dataValidation type="list" allowBlank="1" showInputMessage="1" showErrorMessage="1" xr:uid="{200B30A6-8E22-41F6-8318-69CB9B4F4FD3}">
          <x14:formula1>
            <xm:f>LISTAS!$C:$C</xm:f>
          </x14:formula1>
          <xm:sqref>T2:T15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4E79-11BB-4B99-AFC5-448C41F31432}">
  <dimension ref="A1:AQ10"/>
  <sheetViews>
    <sheetView tabSelected="1" zoomScale="70" zoomScaleNormal="70" workbookViewId="0">
      <pane xSplit="5" topLeftCell="T1" activePane="topRight" state="frozen"/>
      <selection activeCell="E16" sqref="E16"/>
      <selection pane="topRight" activeCell="E5" sqref="E5"/>
    </sheetView>
  </sheetViews>
  <sheetFormatPr baseColWidth="10" defaultColWidth="11.42578125" defaultRowHeight="15.75" x14ac:dyDescent="0.25"/>
  <cols>
    <col min="1" max="1" width="9.7109375" style="1" bestFit="1" customWidth="1"/>
    <col min="2" max="2" width="12.28515625" style="1" bestFit="1" customWidth="1"/>
    <col min="3" max="3" width="9.5703125" style="1" bestFit="1" customWidth="1"/>
    <col min="4" max="4" width="7.140625" bestFit="1" customWidth="1"/>
    <col min="5" max="5" width="23.42578125" style="1" bestFit="1" customWidth="1"/>
    <col min="6" max="6" width="12.42578125" style="15" bestFit="1" customWidth="1"/>
    <col min="7" max="7" width="10.5703125" bestFit="1" customWidth="1"/>
    <col min="8" max="8" width="9.140625" bestFit="1" customWidth="1"/>
    <col min="9" max="9" width="12.140625" bestFit="1" customWidth="1"/>
    <col min="10" max="10" width="11.28515625" style="14" bestFit="1" customWidth="1"/>
    <col min="11" max="11" width="13" bestFit="1" customWidth="1"/>
    <col min="12" max="12" width="12.140625" style="5" bestFit="1" customWidth="1"/>
    <col min="13" max="13" width="7.85546875" style="60" bestFit="1" customWidth="1"/>
    <col min="14" max="14" width="13.42578125" bestFit="1" customWidth="1"/>
    <col min="15" max="15" width="11" bestFit="1" customWidth="1"/>
    <col min="19" max="19" width="26.140625" bestFit="1" customWidth="1"/>
    <col min="20" max="20" width="15.140625" bestFit="1" customWidth="1"/>
    <col min="21" max="21" width="26" bestFit="1" customWidth="1"/>
    <col min="22" max="22" width="9.5703125" bestFit="1" customWidth="1"/>
    <col min="23" max="23" width="10.85546875" bestFit="1" customWidth="1"/>
    <col min="24" max="24" width="9.85546875" bestFit="1" customWidth="1"/>
    <col min="25" max="25" width="13" bestFit="1" customWidth="1"/>
    <col min="26" max="26" width="9.7109375" bestFit="1" customWidth="1"/>
    <col min="27" max="27" width="11" style="43" bestFit="1" customWidth="1"/>
    <col min="28" max="28" width="12.28515625" style="3" bestFit="1" customWidth="1"/>
    <col min="29" max="29" width="13.140625" style="4" bestFit="1" customWidth="1"/>
    <col min="32" max="32" width="9.28515625" style="3" customWidth="1"/>
    <col min="33" max="33" width="8.140625" customWidth="1"/>
    <col min="34" max="34" width="10" bestFit="1" customWidth="1"/>
    <col min="35" max="35" width="11.5703125" style="3" customWidth="1"/>
    <col min="36" max="36" width="20" customWidth="1"/>
    <col min="37" max="37" width="13.42578125" style="2" bestFit="1" customWidth="1"/>
    <col min="38" max="38" width="11.5703125" customWidth="1"/>
    <col min="39" max="39" width="16.7109375" customWidth="1"/>
    <col min="40" max="40" width="8.85546875" bestFit="1" customWidth="1"/>
    <col min="41" max="41" width="14.28515625" customWidth="1"/>
    <col min="42" max="43" width="13.7109375" customWidth="1"/>
    <col min="46" max="46" width="12.42578125" customWidth="1"/>
    <col min="47" max="47" width="19.42578125" bestFit="1" customWidth="1"/>
    <col min="48" max="48" width="21.42578125" bestFit="1" customWidth="1"/>
    <col min="49" max="49" width="10.7109375" customWidth="1"/>
    <col min="50" max="50" width="12.85546875" customWidth="1"/>
    <col min="51" max="51" width="15.42578125" bestFit="1" customWidth="1"/>
    <col min="245" max="245" width="15" bestFit="1" customWidth="1"/>
    <col min="246" max="246" width="68.28515625" bestFit="1" customWidth="1"/>
    <col min="247" max="247" width="9.140625" bestFit="1" customWidth="1"/>
    <col min="248" max="248" width="21.42578125" bestFit="1" customWidth="1"/>
    <col min="249" max="251" width="15.42578125" bestFit="1" customWidth="1"/>
    <col min="252" max="252" width="8.85546875" bestFit="1" customWidth="1"/>
    <col min="253" max="253" width="10" bestFit="1" customWidth="1"/>
    <col min="254" max="254" width="12.7109375" bestFit="1" customWidth="1"/>
    <col min="255" max="255" width="8.85546875" bestFit="1" customWidth="1"/>
    <col min="256" max="256" width="17.7109375" bestFit="1" customWidth="1"/>
    <col min="257" max="257" width="13" bestFit="1" customWidth="1"/>
    <col min="258" max="258" width="13.42578125" bestFit="1" customWidth="1"/>
    <col min="259" max="259" width="10.85546875" bestFit="1" customWidth="1"/>
    <col min="260" max="260" width="26.85546875" bestFit="1" customWidth="1"/>
    <col min="261" max="261" width="20.85546875" bestFit="1" customWidth="1"/>
    <col min="262" max="262" width="30.42578125" bestFit="1" customWidth="1"/>
    <col min="263" max="263" width="19.42578125" bestFit="1" customWidth="1"/>
    <col min="264" max="264" width="20.28515625" bestFit="1" customWidth="1"/>
    <col min="265" max="266" width="12" bestFit="1" customWidth="1"/>
    <col min="267" max="268" width="12.5703125" bestFit="1" customWidth="1"/>
    <col min="269" max="269" width="11.7109375" bestFit="1" customWidth="1"/>
    <col min="270" max="270" width="19" bestFit="1" customWidth="1"/>
    <col min="271" max="271" width="12.140625" bestFit="1" customWidth="1"/>
    <col min="501" max="501" width="15" bestFit="1" customWidth="1"/>
    <col min="502" max="502" width="68.28515625" bestFit="1" customWidth="1"/>
    <col min="503" max="503" width="9.140625" bestFit="1" customWidth="1"/>
    <col min="504" max="504" width="21.42578125" bestFit="1" customWidth="1"/>
    <col min="505" max="507" width="15.42578125" bestFit="1" customWidth="1"/>
    <col min="508" max="508" width="8.85546875" bestFit="1" customWidth="1"/>
    <col min="509" max="509" width="10" bestFit="1" customWidth="1"/>
    <col min="510" max="510" width="12.7109375" bestFit="1" customWidth="1"/>
    <col min="511" max="511" width="8.85546875" bestFit="1" customWidth="1"/>
    <col min="512" max="512" width="17.7109375" bestFit="1" customWidth="1"/>
    <col min="513" max="513" width="13" bestFit="1" customWidth="1"/>
    <col min="514" max="514" width="13.42578125" bestFit="1" customWidth="1"/>
    <col min="515" max="515" width="10.85546875" bestFit="1" customWidth="1"/>
    <col min="516" max="516" width="26.85546875" bestFit="1" customWidth="1"/>
    <col min="517" max="517" width="20.85546875" bestFit="1" customWidth="1"/>
    <col min="518" max="518" width="30.42578125" bestFit="1" customWidth="1"/>
    <col min="519" max="519" width="19.42578125" bestFit="1" customWidth="1"/>
    <col min="520" max="520" width="20.28515625" bestFit="1" customWidth="1"/>
    <col min="521" max="522" width="12" bestFit="1" customWidth="1"/>
    <col min="523" max="524" width="12.5703125" bestFit="1" customWidth="1"/>
    <col min="525" max="525" width="11.7109375" bestFit="1" customWidth="1"/>
    <col min="526" max="526" width="19" bestFit="1" customWidth="1"/>
    <col min="527" max="527" width="12.140625" bestFit="1" customWidth="1"/>
    <col min="757" max="757" width="15" bestFit="1" customWidth="1"/>
    <col min="758" max="758" width="68.28515625" bestFit="1" customWidth="1"/>
    <col min="759" max="759" width="9.140625" bestFit="1" customWidth="1"/>
    <col min="760" max="760" width="21.42578125" bestFit="1" customWidth="1"/>
    <col min="761" max="763" width="15.42578125" bestFit="1" customWidth="1"/>
    <col min="764" max="764" width="8.85546875" bestFit="1" customWidth="1"/>
    <col min="765" max="765" width="10" bestFit="1" customWidth="1"/>
    <col min="766" max="766" width="12.7109375" bestFit="1" customWidth="1"/>
    <col min="767" max="767" width="8.85546875" bestFit="1" customWidth="1"/>
    <col min="768" max="768" width="17.7109375" bestFit="1" customWidth="1"/>
    <col min="769" max="769" width="13" bestFit="1" customWidth="1"/>
    <col min="770" max="770" width="13.42578125" bestFit="1" customWidth="1"/>
    <col min="771" max="771" width="10.85546875" bestFit="1" customWidth="1"/>
    <col min="772" max="772" width="26.85546875" bestFit="1" customWidth="1"/>
    <col min="773" max="773" width="20.85546875" bestFit="1" customWidth="1"/>
    <col min="774" max="774" width="30.42578125" bestFit="1" customWidth="1"/>
    <col min="775" max="775" width="19.42578125" bestFit="1" customWidth="1"/>
    <col min="776" max="776" width="20.28515625" bestFit="1" customWidth="1"/>
    <col min="777" max="778" width="12" bestFit="1" customWidth="1"/>
    <col min="779" max="780" width="12.5703125" bestFit="1" customWidth="1"/>
    <col min="781" max="781" width="11.7109375" bestFit="1" customWidth="1"/>
    <col min="782" max="782" width="19" bestFit="1" customWidth="1"/>
    <col min="783" max="783" width="12.140625" bestFit="1" customWidth="1"/>
    <col min="1013" max="1013" width="15" bestFit="1" customWidth="1"/>
    <col min="1014" max="1014" width="68.28515625" bestFit="1" customWidth="1"/>
    <col min="1015" max="1015" width="9.140625" bestFit="1" customWidth="1"/>
    <col min="1016" max="1016" width="21.42578125" bestFit="1" customWidth="1"/>
    <col min="1017" max="1019" width="15.42578125" bestFit="1" customWidth="1"/>
    <col min="1020" max="1020" width="8.85546875" bestFit="1" customWidth="1"/>
    <col min="1021" max="1021" width="10" bestFit="1" customWidth="1"/>
    <col min="1022" max="1022" width="12.7109375" bestFit="1" customWidth="1"/>
    <col min="1023" max="1023" width="8.85546875" bestFit="1" customWidth="1"/>
    <col min="1024" max="1024" width="17.7109375" bestFit="1" customWidth="1"/>
    <col min="1025" max="1025" width="13" bestFit="1" customWidth="1"/>
    <col min="1026" max="1026" width="13.42578125" bestFit="1" customWidth="1"/>
    <col min="1027" max="1027" width="10.85546875" bestFit="1" customWidth="1"/>
    <col min="1028" max="1028" width="26.85546875" bestFit="1" customWidth="1"/>
    <col min="1029" max="1029" width="20.85546875" bestFit="1" customWidth="1"/>
    <col min="1030" max="1030" width="30.42578125" bestFit="1" customWidth="1"/>
    <col min="1031" max="1031" width="19.42578125" bestFit="1" customWidth="1"/>
    <col min="1032" max="1032" width="20.28515625" bestFit="1" customWidth="1"/>
    <col min="1033" max="1034" width="12" bestFit="1" customWidth="1"/>
    <col min="1035" max="1036" width="12.5703125" bestFit="1" customWidth="1"/>
    <col min="1037" max="1037" width="11.7109375" bestFit="1" customWidth="1"/>
    <col min="1038" max="1038" width="19" bestFit="1" customWidth="1"/>
    <col min="1039" max="1039" width="12.140625" bestFit="1" customWidth="1"/>
    <col min="1269" max="1269" width="15" bestFit="1" customWidth="1"/>
    <col min="1270" max="1270" width="68.28515625" bestFit="1" customWidth="1"/>
    <col min="1271" max="1271" width="9.140625" bestFit="1" customWidth="1"/>
    <col min="1272" max="1272" width="21.42578125" bestFit="1" customWidth="1"/>
    <col min="1273" max="1275" width="15.42578125" bestFit="1" customWidth="1"/>
    <col min="1276" max="1276" width="8.85546875" bestFit="1" customWidth="1"/>
    <col min="1277" max="1277" width="10" bestFit="1" customWidth="1"/>
    <col min="1278" max="1278" width="12.7109375" bestFit="1" customWidth="1"/>
    <col min="1279" max="1279" width="8.85546875" bestFit="1" customWidth="1"/>
    <col min="1280" max="1280" width="17.7109375" bestFit="1" customWidth="1"/>
    <col min="1281" max="1281" width="13" bestFit="1" customWidth="1"/>
    <col min="1282" max="1282" width="13.42578125" bestFit="1" customWidth="1"/>
    <col min="1283" max="1283" width="10.85546875" bestFit="1" customWidth="1"/>
    <col min="1284" max="1284" width="26.85546875" bestFit="1" customWidth="1"/>
    <col min="1285" max="1285" width="20.85546875" bestFit="1" customWidth="1"/>
    <col min="1286" max="1286" width="30.42578125" bestFit="1" customWidth="1"/>
    <col min="1287" max="1287" width="19.42578125" bestFit="1" customWidth="1"/>
    <col min="1288" max="1288" width="20.28515625" bestFit="1" customWidth="1"/>
    <col min="1289" max="1290" width="12" bestFit="1" customWidth="1"/>
    <col min="1291" max="1292" width="12.5703125" bestFit="1" customWidth="1"/>
    <col min="1293" max="1293" width="11.7109375" bestFit="1" customWidth="1"/>
    <col min="1294" max="1294" width="19" bestFit="1" customWidth="1"/>
    <col min="1295" max="1295" width="12.140625" bestFit="1" customWidth="1"/>
    <col min="1525" max="1525" width="15" bestFit="1" customWidth="1"/>
    <col min="1526" max="1526" width="68.28515625" bestFit="1" customWidth="1"/>
    <col min="1527" max="1527" width="9.140625" bestFit="1" customWidth="1"/>
    <col min="1528" max="1528" width="21.42578125" bestFit="1" customWidth="1"/>
    <col min="1529" max="1531" width="15.42578125" bestFit="1" customWidth="1"/>
    <col min="1532" max="1532" width="8.85546875" bestFit="1" customWidth="1"/>
    <col min="1533" max="1533" width="10" bestFit="1" customWidth="1"/>
    <col min="1534" max="1534" width="12.7109375" bestFit="1" customWidth="1"/>
    <col min="1535" max="1535" width="8.85546875" bestFit="1" customWidth="1"/>
    <col min="1536" max="1536" width="17.7109375" bestFit="1" customWidth="1"/>
    <col min="1537" max="1537" width="13" bestFit="1" customWidth="1"/>
    <col min="1538" max="1538" width="13.42578125" bestFit="1" customWidth="1"/>
    <col min="1539" max="1539" width="10.85546875" bestFit="1" customWidth="1"/>
    <col min="1540" max="1540" width="26.85546875" bestFit="1" customWidth="1"/>
    <col min="1541" max="1541" width="20.85546875" bestFit="1" customWidth="1"/>
    <col min="1542" max="1542" width="30.42578125" bestFit="1" customWidth="1"/>
    <col min="1543" max="1543" width="19.42578125" bestFit="1" customWidth="1"/>
    <col min="1544" max="1544" width="20.28515625" bestFit="1" customWidth="1"/>
    <col min="1545" max="1546" width="12" bestFit="1" customWidth="1"/>
    <col min="1547" max="1548" width="12.5703125" bestFit="1" customWidth="1"/>
    <col min="1549" max="1549" width="11.7109375" bestFit="1" customWidth="1"/>
    <col min="1550" max="1550" width="19" bestFit="1" customWidth="1"/>
    <col min="1551" max="1551" width="12.140625" bestFit="1" customWidth="1"/>
    <col min="1781" max="1781" width="15" bestFit="1" customWidth="1"/>
    <col min="1782" max="1782" width="68.28515625" bestFit="1" customWidth="1"/>
    <col min="1783" max="1783" width="9.140625" bestFit="1" customWidth="1"/>
    <col min="1784" max="1784" width="21.42578125" bestFit="1" customWidth="1"/>
    <col min="1785" max="1787" width="15.42578125" bestFit="1" customWidth="1"/>
    <col min="1788" max="1788" width="8.85546875" bestFit="1" customWidth="1"/>
    <col min="1789" max="1789" width="10" bestFit="1" customWidth="1"/>
    <col min="1790" max="1790" width="12.7109375" bestFit="1" customWidth="1"/>
    <col min="1791" max="1791" width="8.85546875" bestFit="1" customWidth="1"/>
    <col min="1792" max="1792" width="17.7109375" bestFit="1" customWidth="1"/>
    <col min="1793" max="1793" width="13" bestFit="1" customWidth="1"/>
    <col min="1794" max="1794" width="13.42578125" bestFit="1" customWidth="1"/>
    <col min="1795" max="1795" width="10.85546875" bestFit="1" customWidth="1"/>
    <col min="1796" max="1796" width="26.85546875" bestFit="1" customWidth="1"/>
    <col min="1797" max="1797" width="20.85546875" bestFit="1" customWidth="1"/>
    <col min="1798" max="1798" width="30.42578125" bestFit="1" customWidth="1"/>
    <col min="1799" max="1799" width="19.42578125" bestFit="1" customWidth="1"/>
    <col min="1800" max="1800" width="20.28515625" bestFit="1" customWidth="1"/>
    <col min="1801" max="1802" width="12" bestFit="1" customWidth="1"/>
    <col min="1803" max="1804" width="12.5703125" bestFit="1" customWidth="1"/>
    <col min="1805" max="1805" width="11.7109375" bestFit="1" customWidth="1"/>
    <col min="1806" max="1806" width="19" bestFit="1" customWidth="1"/>
    <col min="1807" max="1807" width="12.140625" bestFit="1" customWidth="1"/>
    <col min="2037" max="2037" width="15" bestFit="1" customWidth="1"/>
    <col min="2038" max="2038" width="68.28515625" bestFit="1" customWidth="1"/>
    <col min="2039" max="2039" width="9.140625" bestFit="1" customWidth="1"/>
    <col min="2040" max="2040" width="21.42578125" bestFit="1" customWidth="1"/>
    <col min="2041" max="2043" width="15.42578125" bestFit="1" customWidth="1"/>
    <col min="2044" max="2044" width="8.85546875" bestFit="1" customWidth="1"/>
    <col min="2045" max="2045" width="10" bestFit="1" customWidth="1"/>
    <col min="2046" max="2046" width="12.7109375" bestFit="1" customWidth="1"/>
    <col min="2047" max="2047" width="8.85546875" bestFit="1" customWidth="1"/>
    <col min="2048" max="2048" width="17.7109375" bestFit="1" customWidth="1"/>
    <col min="2049" max="2049" width="13" bestFit="1" customWidth="1"/>
    <col min="2050" max="2050" width="13.42578125" bestFit="1" customWidth="1"/>
    <col min="2051" max="2051" width="10.85546875" bestFit="1" customWidth="1"/>
    <col min="2052" max="2052" width="26.85546875" bestFit="1" customWidth="1"/>
    <col min="2053" max="2053" width="20.85546875" bestFit="1" customWidth="1"/>
    <col min="2054" max="2054" width="30.42578125" bestFit="1" customWidth="1"/>
    <col min="2055" max="2055" width="19.42578125" bestFit="1" customWidth="1"/>
    <col min="2056" max="2056" width="20.28515625" bestFit="1" customWidth="1"/>
    <col min="2057" max="2058" width="12" bestFit="1" customWidth="1"/>
    <col min="2059" max="2060" width="12.5703125" bestFit="1" customWidth="1"/>
    <col min="2061" max="2061" width="11.7109375" bestFit="1" customWidth="1"/>
    <col min="2062" max="2062" width="19" bestFit="1" customWidth="1"/>
    <col min="2063" max="2063" width="12.140625" bestFit="1" customWidth="1"/>
    <col min="2293" max="2293" width="15" bestFit="1" customWidth="1"/>
    <col min="2294" max="2294" width="68.28515625" bestFit="1" customWidth="1"/>
    <col min="2295" max="2295" width="9.140625" bestFit="1" customWidth="1"/>
    <col min="2296" max="2296" width="21.42578125" bestFit="1" customWidth="1"/>
    <col min="2297" max="2299" width="15.42578125" bestFit="1" customWidth="1"/>
    <col min="2300" max="2300" width="8.85546875" bestFit="1" customWidth="1"/>
    <col min="2301" max="2301" width="10" bestFit="1" customWidth="1"/>
    <col min="2302" max="2302" width="12.7109375" bestFit="1" customWidth="1"/>
    <col min="2303" max="2303" width="8.85546875" bestFit="1" customWidth="1"/>
    <col min="2304" max="2304" width="17.7109375" bestFit="1" customWidth="1"/>
    <col min="2305" max="2305" width="13" bestFit="1" customWidth="1"/>
    <col min="2306" max="2306" width="13.42578125" bestFit="1" customWidth="1"/>
    <col min="2307" max="2307" width="10.85546875" bestFit="1" customWidth="1"/>
    <col min="2308" max="2308" width="26.85546875" bestFit="1" customWidth="1"/>
    <col min="2309" max="2309" width="20.85546875" bestFit="1" customWidth="1"/>
    <col min="2310" max="2310" width="30.42578125" bestFit="1" customWidth="1"/>
    <col min="2311" max="2311" width="19.42578125" bestFit="1" customWidth="1"/>
    <col min="2312" max="2312" width="20.28515625" bestFit="1" customWidth="1"/>
    <col min="2313" max="2314" width="12" bestFit="1" customWidth="1"/>
    <col min="2315" max="2316" width="12.5703125" bestFit="1" customWidth="1"/>
    <col min="2317" max="2317" width="11.7109375" bestFit="1" customWidth="1"/>
    <col min="2318" max="2318" width="19" bestFit="1" customWidth="1"/>
    <col min="2319" max="2319" width="12.140625" bestFit="1" customWidth="1"/>
    <col min="2549" max="2549" width="15" bestFit="1" customWidth="1"/>
    <col min="2550" max="2550" width="68.28515625" bestFit="1" customWidth="1"/>
    <col min="2551" max="2551" width="9.140625" bestFit="1" customWidth="1"/>
    <col min="2552" max="2552" width="21.42578125" bestFit="1" customWidth="1"/>
    <col min="2553" max="2555" width="15.42578125" bestFit="1" customWidth="1"/>
    <col min="2556" max="2556" width="8.85546875" bestFit="1" customWidth="1"/>
    <col min="2557" max="2557" width="10" bestFit="1" customWidth="1"/>
    <col min="2558" max="2558" width="12.7109375" bestFit="1" customWidth="1"/>
    <col min="2559" max="2559" width="8.85546875" bestFit="1" customWidth="1"/>
    <col min="2560" max="2560" width="17.7109375" bestFit="1" customWidth="1"/>
    <col min="2561" max="2561" width="13" bestFit="1" customWidth="1"/>
    <col min="2562" max="2562" width="13.42578125" bestFit="1" customWidth="1"/>
    <col min="2563" max="2563" width="10.85546875" bestFit="1" customWidth="1"/>
    <col min="2564" max="2564" width="26.85546875" bestFit="1" customWidth="1"/>
    <col min="2565" max="2565" width="20.85546875" bestFit="1" customWidth="1"/>
    <col min="2566" max="2566" width="30.42578125" bestFit="1" customWidth="1"/>
    <col min="2567" max="2567" width="19.42578125" bestFit="1" customWidth="1"/>
    <col min="2568" max="2568" width="20.28515625" bestFit="1" customWidth="1"/>
    <col min="2569" max="2570" width="12" bestFit="1" customWidth="1"/>
    <col min="2571" max="2572" width="12.5703125" bestFit="1" customWidth="1"/>
    <col min="2573" max="2573" width="11.7109375" bestFit="1" customWidth="1"/>
    <col min="2574" max="2574" width="19" bestFit="1" customWidth="1"/>
    <col min="2575" max="2575" width="12.140625" bestFit="1" customWidth="1"/>
    <col min="2805" max="2805" width="15" bestFit="1" customWidth="1"/>
    <col min="2806" max="2806" width="68.28515625" bestFit="1" customWidth="1"/>
    <col min="2807" max="2807" width="9.140625" bestFit="1" customWidth="1"/>
    <col min="2808" max="2808" width="21.42578125" bestFit="1" customWidth="1"/>
    <col min="2809" max="2811" width="15.42578125" bestFit="1" customWidth="1"/>
    <col min="2812" max="2812" width="8.85546875" bestFit="1" customWidth="1"/>
    <col min="2813" max="2813" width="10" bestFit="1" customWidth="1"/>
    <col min="2814" max="2814" width="12.7109375" bestFit="1" customWidth="1"/>
    <col min="2815" max="2815" width="8.85546875" bestFit="1" customWidth="1"/>
    <col min="2816" max="2816" width="17.7109375" bestFit="1" customWidth="1"/>
    <col min="2817" max="2817" width="13" bestFit="1" customWidth="1"/>
    <col min="2818" max="2818" width="13.42578125" bestFit="1" customWidth="1"/>
    <col min="2819" max="2819" width="10.85546875" bestFit="1" customWidth="1"/>
    <col min="2820" max="2820" width="26.85546875" bestFit="1" customWidth="1"/>
    <col min="2821" max="2821" width="20.85546875" bestFit="1" customWidth="1"/>
    <col min="2822" max="2822" width="30.42578125" bestFit="1" customWidth="1"/>
    <col min="2823" max="2823" width="19.42578125" bestFit="1" customWidth="1"/>
    <col min="2824" max="2824" width="20.28515625" bestFit="1" customWidth="1"/>
    <col min="2825" max="2826" width="12" bestFit="1" customWidth="1"/>
    <col min="2827" max="2828" width="12.5703125" bestFit="1" customWidth="1"/>
    <col min="2829" max="2829" width="11.7109375" bestFit="1" customWidth="1"/>
    <col min="2830" max="2830" width="19" bestFit="1" customWidth="1"/>
    <col min="2831" max="2831" width="12.140625" bestFit="1" customWidth="1"/>
    <col min="3061" max="3061" width="15" bestFit="1" customWidth="1"/>
    <col min="3062" max="3062" width="68.28515625" bestFit="1" customWidth="1"/>
    <col min="3063" max="3063" width="9.140625" bestFit="1" customWidth="1"/>
    <col min="3064" max="3064" width="21.42578125" bestFit="1" customWidth="1"/>
    <col min="3065" max="3067" width="15.42578125" bestFit="1" customWidth="1"/>
    <col min="3068" max="3068" width="8.85546875" bestFit="1" customWidth="1"/>
    <col min="3069" max="3069" width="10" bestFit="1" customWidth="1"/>
    <col min="3070" max="3070" width="12.7109375" bestFit="1" customWidth="1"/>
    <col min="3071" max="3071" width="8.85546875" bestFit="1" customWidth="1"/>
    <col min="3072" max="3072" width="17.7109375" bestFit="1" customWidth="1"/>
    <col min="3073" max="3073" width="13" bestFit="1" customWidth="1"/>
    <col min="3074" max="3074" width="13.42578125" bestFit="1" customWidth="1"/>
    <col min="3075" max="3075" width="10.85546875" bestFit="1" customWidth="1"/>
    <col min="3076" max="3076" width="26.85546875" bestFit="1" customWidth="1"/>
    <col min="3077" max="3077" width="20.85546875" bestFit="1" customWidth="1"/>
    <col min="3078" max="3078" width="30.42578125" bestFit="1" customWidth="1"/>
    <col min="3079" max="3079" width="19.42578125" bestFit="1" customWidth="1"/>
    <col min="3080" max="3080" width="20.28515625" bestFit="1" customWidth="1"/>
    <col min="3081" max="3082" width="12" bestFit="1" customWidth="1"/>
    <col min="3083" max="3084" width="12.5703125" bestFit="1" customWidth="1"/>
    <col min="3085" max="3085" width="11.7109375" bestFit="1" customWidth="1"/>
    <col min="3086" max="3086" width="19" bestFit="1" customWidth="1"/>
    <col min="3087" max="3087" width="12.140625" bestFit="1" customWidth="1"/>
    <col min="3317" max="3317" width="15" bestFit="1" customWidth="1"/>
    <col min="3318" max="3318" width="68.28515625" bestFit="1" customWidth="1"/>
    <col min="3319" max="3319" width="9.140625" bestFit="1" customWidth="1"/>
    <col min="3320" max="3320" width="21.42578125" bestFit="1" customWidth="1"/>
    <col min="3321" max="3323" width="15.42578125" bestFit="1" customWidth="1"/>
    <col min="3324" max="3324" width="8.85546875" bestFit="1" customWidth="1"/>
    <col min="3325" max="3325" width="10" bestFit="1" customWidth="1"/>
    <col min="3326" max="3326" width="12.7109375" bestFit="1" customWidth="1"/>
    <col min="3327" max="3327" width="8.85546875" bestFit="1" customWidth="1"/>
    <col min="3328" max="3328" width="17.7109375" bestFit="1" customWidth="1"/>
    <col min="3329" max="3329" width="13" bestFit="1" customWidth="1"/>
    <col min="3330" max="3330" width="13.42578125" bestFit="1" customWidth="1"/>
    <col min="3331" max="3331" width="10.85546875" bestFit="1" customWidth="1"/>
    <col min="3332" max="3332" width="26.85546875" bestFit="1" customWidth="1"/>
    <col min="3333" max="3333" width="20.85546875" bestFit="1" customWidth="1"/>
    <col min="3334" max="3334" width="30.42578125" bestFit="1" customWidth="1"/>
    <col min="3335" max="3335" width="19.42578125" bestFit="1" customWidth="1"/>
    <col min="3336" max="3336" width="20.28515625" bestFit="1" customWidth="1"/>
    <col min="3337" max="3338" width="12" bestFit="1" customWidth="1"/>
    <col min="3339" max="3340" width="12.5703125" bestFit="1" customWidth="1"/>
    <col min="3341" max="3341" width="11.7109375" bestFit="1" customWidth="1"/>
    <col min="3342" max="3342" width="19" bestFit="1" customWidth="1"/>
    <col min="3343" max="3343" width="12.140625" bestFit="1" customWidth="1"/>
    <col min="3573" max="3573" width="15" bestFit="1" customWidth="1"/>
    <col min="3574" max="3574" width="68.28515625" bestFit="1" customWidth="1"/>
    <col min="3575" max="3575" width="9.140625" bestFit="1" customWidth="1"/>
    <col min="3576" max="3576" width="21.42578125" bestFit="1" customWidth="1"/>
    <col min="3577" max="3579" width="15.42578125" bestFit="1" customWidth="1"/>
    <col min="3580" max="3580" width="8.85546875" bestFit="1" customWidth="1"/>
    <col min="3581" max="3581" width="10" bestFit="1" customWidth="1"/>
    <col min="3582" max="3582" width="12.7109375" bestFit="1" customWidth="1"/>
    <col min="3583" max="3583" width="8.85546875" bestFit="1" customWidth="1"/>
    <col min="3584" max="3584" width="17.7109375" bestFit="1" customWidth="1"/>
    <col min="3585" max="3585" width="13" bestFit="1" customWidth="1"/>
    <col min="3586" max="3586" width="13.42578125" bestFit="1" customWidth="1"/>
    <col min="3587" max="3587" width="10.85546875" bestFit="1" customWidth="1"/>
    <col min="3588" max="3588" width="26.85546875" bestFit="1" customWidth="1"/>
    <col min="3589" max="3589" width="20.85546875" bestFit="1" customWidth="1"/>
    <col min="3590" max="3590" width="30.42578125" bestFit="1" customWidth="1"/>
    <col min="3591" max="3591" width="19.42578125" bestFit="1" customWidth="1"/>
    <col min="3592" max="3592" width="20.28515625" bestFit="1" customWidth="1"/>
    <col min="3593" max="3594" width="12" bestFit="1" customWidth="1"/>
    <col min="3595" max="3596" width="12.5703125" bestFit="1" customWidth="1"/>
    <col min="3597" max="3597" width="11.7109375" bestFit="1" customWidth="1"/>
    <col min="3598" max="3598" width="19" bestFit="1" customWidth="1"/>
    <col min="3599" max="3599" width="12.140625" bestFit="1" customWidth="1"/>
    <col min="3829" max="3829" width="15" bestFit="1" customWidth="1"/>
    <col min="3830" max="3830" width="68.28515625" bestFit="1" customWidth="1"/>
    <col min="3831" max="3831" width="9.140625" bestFit="1" customWidth="1"/>
    <col min="3832" max="3832" width="21.42578125" bestFit="1" customWidth="1"/>
    <col min="3833" max="3835" width="15.42578125" bestFit="1" customWidth="1"/>
    <col min="3836" max="3836" width="8.85546875" bestFit="1" customWidth="1"/>
    <col min="3837" max="3837" width="10" bestFit="1" customWidth="1"/>
    <col min="3838" max="3838" width="12.7109375" bestFit="1" customWidth="1"/>
    <col min="3839" max="3839" width="8.85546875" bestFit="1" customWidth="1"/>
    <col min="3840" max="3840" width="17.7109375" bestFit="1" customWidth="1"/>
    <col min="3841" max="3841" width="13" bestFit="1" customWidth="1"/>
    <col min="3842" max="3842" width="13.42578125" bestFit="1" customWidth="1"/>
    <col min="3843" max="3843" width="10.85546875" bestFit="1" customWidth="1"/>
    <col min="3844" max="3844" width="26.85546875" bestFit="1" customWidth="1"/>
    <col min="3845" max="3845" width="20.85546875" bestFit="1" customWidth="1"/>
    <col min="3846" max="3846" width="30.42578125" bestFit="1" customWidth="1"/>
    <col min="3847" max="3847" width="19.42578125" bestFit="1" customWidth="1"/>
    <col min="3848" max="3848" width="20.28515625" bestFit="1" customWidth="1"/>
    <col min="3849" max="3850" width="12" bestFit="1" customWidth="1"/>
    <col min="3851" max="3852" width="12.5703125" bestFit="1" customWidth="1"/>
    <col min="3853" max="3853" width="11.7109375" bestFit="1" customWidth="1"/>
    <col min="3854" max="3854" width="19" bestFit="1" customWidth="1"/>
    <col min="3855" max="3855" width="12.140625" bestFit="1" customWidth="1"/>
    <col min="4085" max="4085" width="15" bestFit="1" customWidth="1"/>
    <col min="4086" max="4086" width="68.28515625" bestFit="1" customWidth="1"/>
    <col min="4087" max="4087" width="9.140625" bestFit="1" customWidth="1"/>
    <col min="4088" max="4088" width="21.42578125" bestFit="1" customWidth="1"/>
    <col min="4089" max="4091" width="15.42578125" bestFit="1" customWidth="1"/>
    <col min="4092" max="4092" width="8.85546875" bestFit="1" customWidth="1"/>
    <col min="4093" max="4093" width="10" bestFit="1" customWidth="1"/>
    <col min="4094" max="4094" width="12.7109375" bestFit="1" customWidth="1"/>
    <col min="4095" max="4095" width="8.85546875" bestFit="1" customWidth="1"/>
    <col min="4096" max="4096" width="17.7109375" bestFit="1" customWidth="1"/>
    <col min="4097" max="4097" width="13" bestFit="1" customWidth="1"/>
    <col min="4098" max="4098" width="13.42578125" bestFit="1" customWidth="1"/>
    <col min="4099" max="4099" width="10.85546875" bestFit="1" customWidth="1"/>
    <col min="4100" max="4100" width="26.85546875" bestFit="1" customWidth="1"/>
    <col min="4101" max="4101" width="20.85546875" bestFit="1" customWidth="1"/>
    <col min="4102" max="4102" width="30.42578125" bestFit="1" customWidth="1"/>
    <col min="4103" max="4103" width="19.42578125" bestFit="1" customWidth="1"/>
    <col min="4104" max="4104" width="20.28515625" bestFit="1" customWidth="1"/>
    <col min="4105" max="4106" width="12" bestFit="1" customWidth="1"/>
    <col min="4107" max="4108" width="12.5703125" bestFit="1" customWidth="1"/>
    <col min="4109" max="4109" width="11.7109375" bestFit="1" customWidth="1"/>
    <col min="4110" max="4110" width="19" bestFit="1" customWidth="1"/>
    <col min="4111" max="4111" width="12.140625" bestFit="1" customWidth="1"/>
    <col min="4341" max="4341" width="15" bestFit="1" customWidth="1"/>
    <col min="4342" max="4342" width="68.28515625" bestFit="1" customWidth="1"/>
    <col min="4343" max="4343" width="9.140625" bestFit="1" customWidth="1"/>
    <col min="4344" max="4344" width="21.42578125" bestFit="1" customWidth="1"/>
    <col min="4345" max="4347" width="15.42578125" bestFit="1" customWidth="1"/>
    <col min="4348" max="4348" width="8.85546875" bestFit="1" customWidth="1"/>
    <col min="4349" max="4349" width="10" bestFit="1" customWidth="1"/>
    <col min="4350" max="4350" width="12.7109375" bestFit="1" customWidth="1"/>
    <col min="4351" max="4351" width="8.85546875" bestFit="1" customWidth="1"/>
    <col min="4352" max="4352" width="17.7109375" bestFit="1" customWidth="1"/>
    <col min="4353" max="4353" width="13" bestFit="1" customWidth="1"/>
    <col min="4354" max="4354" width="13.42578125" bestFit="1" customWidth="1"/>
    <col min="4355" max="4355" width="10.85546875" bestFit="1" customWidth="1"/>
    <col min="4356" max="4356" width="26.85546875" bestFit="1" customWidth="1"/>
    <col min="4357" max="4357" width="20.85546875" bestFit="1" customWidth="1"/>
    <col min="4358" max="4358" width="30.42578125" bestFit="1" customWidth="1"/>
    <col min="4359" max="4359" width="19.42578125" bestFit="1" customWidth="1"/>
    <col min="4360" max="4360" width="20.28515625" bestFit="1" customWidth="1"/>
    <col min="4361" max="4362" width="12" bestFit="1" customWidth="1"/>
    <col min="4363" max="4364" width="12.5703125" bestFit="1" customWidth="1"/>
    <col min="4365" max="4365" width="11.7109375" bestFit="1" customWidth="1"/>
    <col min="4366" max="4366" width="19" bestFit="1" customWidth="1"/>
    <col min="4367" max="4367" width="12.140625" bestFit="1" customWidth="1"/>
    <col min="4597" max="4597" width="15" bestFit="1" customWidth="1"/>
    <col min="4598" max="4598" width="68.28515625" bestFit="1" customWidth="1"/>
    <col min="4599" max="4599" width="9.140625" bestFit="1" customWidth="1"/>
    <col min="4600" max="4600" width="21.42578125" bestFit="1" customWidth="1"/>
    <col min="4601" max="4603" width="15.42578125" bestFit="1" customWidth="1"/>
    <col min="4604" max="4604" width="8.85546875" bestFit="1" customWidth="1"/>
    <col min="4605" max="4605" width="10" bestFit="1" customWidth="1"/>
    <col min="4606" max="4606" width="12.7109375" bestFit="1" customWidth="1"/>
    <col min="4607" max="4607" width="8.85546875" bestFit="1" customWidth="1"/>
    <col min="4608" max="4608" width="17.7109375" bestFit="1" customWidth="1"/>
    <col min="4609" max="4609" width="13" bestFit="1" customWidth="1"/>
    <col min="4610" max="4610" width="13.42578125" bestFit="1" customWidth="1"/>
    <col min="4611" max="4611" width="10.85546875" bestFit="1" customWidth="1"/>
    <col min="4612" max="4612" width="26.85546875" bestFit="1" customWidth="1"/>
    <col min="4613" max="4613" width="20.85546875" bestFit="1" customWidth="1"/>
    <col min="4614" max="4614" width="30.42578125" bestFit="1" customWidth="1"/>
    <col min="4615" max="4615" width="19.42578125" bestFit="1" customWidth="1"/>
    <col min="4616" max="4616" width="20.28515625" bestFit="1" customWidth="1"/>
    <col min="4617" max="4618" width="12" bestFit="1" customWidth="1"/>
    <col min="4619" max="4620" width="12.5703125" bestFit="1" customWidth="1"/>
    <col min="4621" max="4621" width="11.7109375" bestFit="1" customWidth="1"/>
    <col min="4622" max="4622" width="19" bestFit="1" customWidth="1"/>
    <col min="4623" max="4623" width="12.140625" bestFit="1" customWidth="1"/>
    <col min="4853" max="4853" width="15" bestFit="1" customWidth="1"/>
    <col min="4854" max="4854" width="68.28515625" bestFit="1" customWidth="1"/>
    <col min="4855" max="4855" width="9.140625" bestFit="1" customWidth="1"/>
    <col min="4856" max="4856" width="21.42578125" bestFit="1" customWidth="1"/>
    <col min="4857" max="4859" width="15.42578125" bestFit="1" customWidth="1"/>
    <col min="4860" max="4860" width="8.85546875" bestFit="1" customWidth="1"/>
    <col min="4861" max="4861" width="10" bestFit="1" customWidth="1"/>
    <col min="4862" max="4862" width="12.7109375" bestFit="1" customWidth="1"/>
    <col min="4863" max="4863" width="8.85546875" bestFit="1" customWidth="1"/>
    <col min="4864" max="4864" width="17.7109375" bestFit="1" customWidth="1"/>
    <col min="4865" max="4865" width="13" bestFit="1" customWidth="1"/>
    <col min="4866" max="4866" width="13.42578125" bestFit="1" customWidth="1"/>
    <col min="4867" max="4867" width="10.85546875" bestFit="1" customWidth="1"/>
    <col min="4868" max="4868" width="26.85546875" bestFit="1" customWidth="1"/>
    <col min="4869" max="4869" width="20.85546875" bestFit="1" customWidth="1"/>
    <col min="4870" max="4870" width="30.42578125" bestFit="1" customWidth="1"/>
    <col min="4871" max="4871" width="19.42578125" bestFit="1" customWidth="1"/>
    <col min="4872" max="4872" width="20.28515625" bestFit="1" customWidth="1"/>
    <col min="4873" max="4874" width="12" bestFit="1" customWidth="1"/>
    <col min="4875" max="4876" width="12.5703125" bestFit="1" customWidth="1"/>
    <col min="4877" max="4877" width="11.7109375" bestFit="1" customWidth="1"/>
    <col min="4878" max="4878" width="19" bestFit="1" customWidth="1"/>
    <col min="4879" max="4879" width="12.140625" bestFit="1" customWidth="1"/>
    <col min="5109" max="5109" width="15" bestFit="1" customWidth="1"/>
    <col min="5110" max="5110" width="68.28515625" bestFit="1" customWidth="1"/>
    <col min="5111" max="5111" width="9.140625" bestFit="1" customWidth="1"/>
    <col min="5112" max="5112" width="21.42578125" bestFit="1" customWidth="1"/>
    <col min="5113" max="5115" width="15.42578125" bestFit="1" customWidth="1"/>
    <col min="5116" max="5116" width="8.85546875" bestFit="1" customWidth="1"/>
    <col min="5117" max="5117" width="10" bestFit="1" customWidth="1"/>
    <col min="5118" max="5118" width="12.7109375" bestFit="1" customWidth="1"/>
    <col min="5119" max="5119" width="8.85546875" bestFit="1" customWidth="1"/>
    <col min="5120" max="5120" width="17.7109375" bestFit="1" customWidth="1"/>
    <col min="5121" max="5121" width="13" bestFit="1" customWidth="1"/>
    <col min="5122" max="5122" width="13.42578125" bestFit="1" customWidth="1"/>
    <col min="5123" max="5123" width="10.85546875" bestFit="1" customWidth="1"/>
    <col min="5124" max="5124" width="26.85546875" bestFit="1" customWidth="1"/>
    <col min="5125" max="5125" width="20.85546875" bestFit="1" customWidth="1"/>
    <col min="5126" max="5126" width="30.42578125" bestFit="1" customWidth="1"/>
    <col min="5127" max="5127" width="19.42578125" bestFit="1" customWidth="1"/>
    <col min="5128" max="5128" width="20.28515625" bestFit="1" customWidth="1"/>
    <col min="5129" max="5130" width="12" bestFit="1" customWidth="1"/>
    <col min="5131" max="5132" width="12.5703125" bestFit="1" customWidth="1"/>
    <col min="5133" max="5133" width="11.7109375" bestFit="1" customWidth="1"/>
    <col min="5134" max="5134" width="19" bestFit="1" customWidth="1"/>
    <col min="5135" max="5135" width="12.140625" bestFit="1" customWidth="1"/>
    <col min="5365" max="5365" width="15" bestFit="1" customWidth="1"/>
    <col min="5366" max="5366" width="68.28515625" bestFit="1" customWidth="1"/>
    <col min="5367" max="5367" width="9.140625" bestFit="1" customWidth="1"/>
    <col min="5368" max="5368" width="21.42578125" bestFit="1" customWidth="1"/>
    <col min="5369" max="5371" width="15.42578125" bestFit="1" customWidth="1"/>
    <col min="5372" max="5372" width="8.85546875" bestFit="1" customWidth="1"/>
    <col min="5373" max="5373" width="10" bestFit="1" customWidth="1"/>
    <col min="5374" max="5374" width="12.7109375" bestFit="1" customWidth="1"/>
    <col min="5375" max="5375" width="8.85546875" bestFit="1" customWidth="1"/>
    <col min="5376" max="5376" width="17.7109375" bestFit="1" customWidth="1"/>
    <col min="5377" max="5377" width="13" bestFit="1" customWidth="1"/>
    <col min="5378" max="5378" width="13.42578125" bestFit="1" customWidth="1"/>
    <col min="5379" max="5379" width="10.85546875" bestFit="1" customWidth="1"/>
    <col min="5380" max="5380" width="26.85546875" bestFit="1" customWidth="1"/>
    <col min="5381" max="5381" width="20.85546875" bestFit="1" customWidth="1"/>
    <col min="5382" max="5382" width="30.42578125" bestFit="1" customWidth="1"/>
    <col min="5383" max="5383" width="19.42578125" bestFit="1" customWidth="1"/>
    <col min="5384" max="5384" width="20.28515625" bestFit="1" customWidth="1"/>
    <col min="5385" max="5386" width="12" bestFit="1" customWidth="1"/>
    <col min="5387" max="5388" width="12.5703125" bestFit="1" customWidth="1"/>
    <col min="5389" max="5389" width="11.7109375" bestFit="1" customWidth="1"/>
    <col min="5390" max="5390" width="19" bestFit="1" customWidth="1"/>
    <col min="5391" max="5391" width="12.140625" bestFit="1" customWidth="1"/>
    <col min="5621" max="5621" width="15" bestFit="1" customWidth="1"/>
    <col min="5622" max="5622" width="68.28515625" bestFit="1" customWidth="1"/>
    <col min="5623" max="5623" width="9.140625" bestFit="1" customWidth="1"/>
    <col min="5624" max="5624" width="21.42578125" bestFit="1" customWidth="1"/>
    <col min="5625" max="5627" width="15.42578125" bestFit="1" customWidth="1"/>
    <col min="5628" max="5628" width="8.85546875" bestFit="1" customWidth="1"/>
    <col min="5629" max="5629" width="10" bestFit="1" customWidth="1"/>
    <col min="5630" max="5630" width="12.7109375" bestFit="1" customWidth="1"/>
    <col min="5631" max="5631" width="8.85546875" bestFit="1" customWidth="1"/>
    <col min="5632" max="5632" width="17.7109375" bestFit="1" customWidth="1"/>
    <col min="5633" max="5633" width="13" bestFit="1" customWidth="1"/>
    <col min="5634" max="5634" width="13.42578125" bestFit="1" customWidth="1"/>
    <col min="5635" max="5635" width="10.85546875" bestFit="1" customWidth="1"/>
    <col min="5636" max="5636" width="26.85546875" bestFit="1" customWidth="1"/>
    <col min="5637" max="5637" width="20.85546875" bestFit="1" customWidth="1"/>
    <col min="5638" max="5638" width="30.42578125" bestFit="1" customWidth="1"/>
    <col min="5639" max="5639" width="19.42578125" bestFit="1" customWidth="1"/>
    <col min="5640" max="5640" width="20.28515625" bestFit="1" customWidth="1"/>
    <col min="5641" max="5642" width="12" bestFit="1" customWidth="1"/>
    <col min="5643" max="5644" width="12.5703125" bestFit="1" customWidth="1"/>
    <col min="5645" max="5645" width="11.7109375" bestFit="1" customWidth="1"/>
    <col min="5646" max="5646" width="19" bestFit="1" customWidth="1"/>
    <col min="5647" max="5647" width="12.140625" bestFit="1" customWidth="1"/>
    <col min="5877" max="5877" width="15" bestFit="1" customWidth="1"/>
    <col min="5878" max="5878" width="68.28515625" bestFit="1" customWidth="1"/>
    <col min="5879" max="5879" width="9.140625" bestFit="1" customWidth="1"/>
    <col min="5880" max="5880" width="21.42578125" bestFit="1" customWidth="1"/>
    <col min="5881" max="5883" width="15.42578125" bestFit="1" customWidth="1"/>
    <col min="5884" max="5884" width="8.85546875" bestFit="1" customWidth="1"/>
    <col min="5885" max="5885" width="10" bestFit="1" customWidth="1"/>
    <col min="5886" max="5886" width="12.7109375" bestFit="1" customWidth="1"/>
    <col min="5887" max="5887" width="8.85546875" bestFit="1" customWidth="1"/>
    <col min="5888" max="5888" width="17.7109375" bestFit="1" customWidth="1"/>
    <col min="5889" max="5889" width="13" bestFit="1" customWidth="1"/>
    <col min="5890" max="5890" width="13.42578125" bestFit="1" customWidth="1"/>
    <col min="5891" max="5891" width="10.85546875" bestFit="1" customWidth="1"/>
    <col min="5892" max="5892" width="26.85546875" bestFit="1" customWidth="1"/>
    <col min="5893" max="5893" width="20.85546875" bestFit="1" customWidth="1"/>
    <col min="5894" max="5894" width="30.42578125" bestFit="1" customWidth="1"/>
    <col min="5895" max="5895" width="19.42578125" bestFit="1" customWidth="1"/>
    <col min="5896" max="5896" width="20.28515625" bestFit="1" customWidth="1"/>
    <col min="5897" max="5898" width="12" bestFit="1" customWidth="1"/>
    <col min="5899" max="5900" width="12.5703125" bestFit="1" customWidth="1"/>
    <col min="5901" max="5901" width="11.7109375" bestFit="1" customWidth="1"/>
    <col min="5902" max="5902" width="19" bestFit="1" customWidth="1"/>
    <col min="5903" max="5903" width="12.140625" bestFit="1" customWidth="1"/>
    <col min="6133" max="6133" width="15" bestFit="1" customWidth="1"/>
    <col min="6134" max="6134" width="68.28515625" bestFit="1" customWidth="1"/>
    <col min="6135" max="6135" width="9.140625" bestFit="1" customWidth="1"/>
    <col min="6136" max="6136" width="21.42578125" bestFit="1" customWidth="1"/>
    <col min="6137" max="6139" width="15.42578125" bestFit="1" customWidth="1"/>
    <col min="6140" max="6140" width="8.85546875" bestFit="1" customWidth="1"/>
    <col min="6141" max="6141" width="10" bestFit="1" customWidth="1"/>
    <col min="6142" max="6142" width="12.7109375" bestFit="1" customWidth="1"/>
    <col min="6143" max="6143" width="8.85546875" bestFit="1" customWidth="1"/>
    <col min="6144" max="6144" width="17.7109375" bestFit="1" customWidth="1"/>
    <col min="6145" max="6145" width="13" bestFit="1" customWidth="1"/>
    <col min="6146" max="6146" width="13.42578125" bestFit="1" customWidth="1"/>
    <col min="6147" max="6147" width="10.85546875" bestFit="1" customWidth="1"/>
    <col min="6148" max="6148" width="26.85546875" bestFit="1" customWidth="1"/>
    <col min="6149" max="6149" width="20.85546875" bestFit="1" customWidth="1"/>
    <col min="6150" max="6150" width="30.42578125" bestFit="1" customWidth="1"/>
    <col min="6151" max="6151" width="19.42578125" bestFit="1" customWidth="1"/>
    <col min="6152" max="6152" width="20.28515625" bestFit="1" customWidth="1"/>
    <col min="6153" max="6154" width="12" bestFit="1" customWidth="1"/>
    <col min="6155" max="6156" width="12.5703125" bestFit="1" customWidth="1"/>
    <col min="6157" max="6157" width="11.7109375" bestFit="1" customWidth="1"/>
    <col min="6158" max="6158" width="19" bestFit="1" customWidth="1"/>
    <col min="6159" max="6159" width="12.140625" bestFit="1" customWidth="1"/>
    <col min="6389" max="6389" width="15" bestFit="1" customWidth="1"/>
    <col min="6390" max="6390" width="68.28515625" bestFit="1" customWidth="1"/>
    <col min="6391" max="6391" width="9.140625" bestFit="1" customWidth="1"/>
    <col min="6392" max="6392" width="21.42578125" bestFit="1" customWidth="1"/>
    <col min="6393" max="6395" width="15.42578125" bestFit="1" customWidth="1"/>
    <col min="6396" max="6396" width="8.85546875" bestFit="1" customWidth="1"/>
    <col min="6397" max="6397" width="10" bestFit="1" customWidth="1"/>
    <col min="6398" max="6398" width="12.7109375" bestFit="1" customWidth="1"/>
    <col min="6399" max="6399" width="8.85546875" bestFit="1" customWidth="1"/>
    <col min="6400" max="6400" width="17.7109375" bestFit="1" customWidth="1"/>
    <col min="6401" max="6401" width="13" bestFit="1" customWidth="1"/>
    <col min="6402" max="6402" width="13.42578125" bestFit="1" customWidth="1"/>
    <col min="6403" max="6403" width="10.85546875" bestFit="1" customWidth="1"/>
    <col min="6404" max="6404" width="26.85546875" bestFit="1" customWidth="1"/>
    <col min="6405" max="6405" width="20.85546875" bestFit="1" customWidth="1"/>
    <col min="6406" max="6406" width="30.42578125" bestFit="1" customWidth="1"/>
    <col min="6407" max="6407" width="19.42578125" bestFit="1" customWidth="1"/>
    <col min="6408" max="6408" width="20.28515625" bestFit="1" customWidth="1"/>
    <col min="6409" max="6410" width="12" bestFit="1" customWidth="1"/>
    <col min="6411" max="6412" width="12.5703125" bestFit="1" customWidth="1"/>
    <col min="6413" max="6413" width="11.7109375" bestFit="1" customWidth="1"/>
    <col min="6414" max="6414" width="19" bestFit="1" customWidth="1"/>
    <col min="6415" max="6415" width="12.140625" bestFit="1" customWidth="1"/>
    <col min="6645" max="6645" width="15" bestFit="1" customWidth="1"/>
    <col min="6646" max="6646" width="68.28515625" bestFit="1" customWidth="1"/>
    <col min="6647" max="6647" width="9.140625" bestFit="1" customWidth="1"/>
    <col min="6648" max="6648" width="21.42578125" bestFit="1" customWidth="1"/>
    <col min="6649" max="6651" width="15.42578125" bestFit="1" customWidth="1"/>
    <col min="6652" max="6652" width="8.85546875" bestFit="1" customWidth="1"/>
    <col min="6653" max="6653" width="10" bestFit="1" customWidth="1"/>
    <col min="6654" max="6654" width="12.7109375" bestFit="1" customWidth="1"/>
    <col min="6655" max="6655" width="8.85546875" bestFit="1" customWidth="1"/>
    <col min="6656" max="6656" width="17.7109375" bestFit="1" customWidth="1"/>
    <col min="6657" max="6657" width="13" bestFit="1" customWidth="1"/>
    <col min="6658" max="6658" width="13.42578125" bestFit="1" customWidth="1"/>
    <col min="6659" max="6659" width="10.85546875" bestFit="1" customWidth="1"/>
    <col min="6660" max="6660" width="26.85546875" bestFit="1" customWidth="1"/>
    <col min="6661" max="6661" width="20.85546875" bestFit="1" customWidth="1"/>
    <col min="6662" max="6662" width="30.42578125" bestFit="1" customWidth="1"/>
    <col min="6663" max="6663" width="19.42578125" bestFit="1" customWidth="1"/>
    <col min="6664" max="6664" width="20.28515625" bestFit="1" customWidth="1"/>
    <col min="6665" max="6666" width="12" bestFit="1" customWidth="1"/>
    <col min="6667" max="6668" width="12.5703125" bestFit="1" customWidth="1"/>
    <col min="6669" max="6669" width="11.7109375" bestFit="1" customWidth="1"/>
    <col min="6670" max="6670" width="19" bestFit="1" customWidth="1"/>
    <col min="6671" max="6671" width="12.140625" bestFit="1" customWidth="1"/>
    <col min="6901" max="6901" width="15" bestFit="1" customWidth="1"/>
    <col min="6902" max="6902" width="68.28515625" bestFit="1" customWidth="1"/>
    <col min="6903" max="6903" width="9.140625" bestFit="1" customWidth="1"/>
    <col min="6904" max="6904" width="21.42578125" bestFit="1" customWidth="1"/>
    <col min="6905" max="6907" width="15.42578125" bestFit="1" customWidth="1"/>
    <col min="6908" max="6908" width="8.85546875" bestFit="1" customWidth="1"/>
    <col min="6909" max="6909" width="10" bestFit="1" customWidth="1"/>
    <col min="6910" max="6910" width="12.7109375" bestFit="1" customWidth="1"/>
    <col min="6911" max="6911" width="8.85546875" bestFit="1" customWidth="1"/>
    <col min="6912" max="6912" width="17.7109375" bestFit="1" customWidth="1"/>
    <col min="6913" max="6913" width="13" bestFit="1" customWidth="1"/>
    <col min="6914" max="6914" width="13.42578125" bestFit="1" customWidth="1"/>
    <col min="6915" max="6915" width="10.85546875" bestFit="1" customWidth="1"/>
    <col min="6916" max="6916" width="26.85546875" bestFit="1" customWidth="1"/>
    <col min="6917" max="6917" width="20.85546875" bestFit="1" customWidth="1"/>
    <col min="6918" max="6918" width="30.42578125" bestFit="1" customWidth="1"/>
    <col min="6919" max="6919" width="19.42578125" bestFit="1" customWidth="1"/>
    <col min="6920" max="6920" width="20.28515625" bestFit="1" customWidth="1"/>
    <col min="6921" max="6922" width="12" bestFit="1" customWidth="1"/>
    <col min="6923" max="6924" width="12.5703125" bestFit="1" customWidth="1"/>
    <col min="6925" max="6925" width="11.7109375" bestFit="1" customWidth="1"/>
    <col min="6926" max="6926" width="19" bestFit="1" customWidth="1"/>
    <col min="6927" max="6927" width="12.140625" bestFit="1" customWidth="1"/>
    <col min="7157" max="7157" width="15" bestFit="1" customWidth="1"/>
    <col min="7158" max="7158" width="68.28515625" bestFit="1" customWidth="1"/>
    <col min="7159" max="7159" width="9.140625" bestFit="1" customWidth="1"/>
    <col min="7160" max="7160" width="21.42578125" bestFit="1" customWidth="1"/>
    <col min="7161" max="7163" width="15.42578125" bestFit="1" customWidth="1"/>
    <col min="7164" max="7164" width="8.85546875" bestFit="1" customWidth="1"/>
    <col min="7165" max="7165" width="10" bestFit="1" customWidth="1"/>
    <col min="7166" max="7166" width="12.7109375" bestFit="1" customWidth="1"/>
    <col min="7167" max="7167" width="8.85546875" bestFit="1" customWidth="1"/>
    <col min="7168" max="7168" width="17.7109375" bestFit="1" customWidth="1"/>
    <col min="7169" max="7169" width="13" bestFit="1" customWidth="1"/>
    <col min="7170" max="7170" width="13.42578125" bestFit="1" customWidth="1"/>
    <col min="7171" max="7171" width="10.85546875" bestFit="1" customWidth="1"/>
    <col min="7172" max="7172" width="26.85546875" bestFit="1" customWidth="1"/>
    <col min="7173" max="7173" width="20.85546875" bestFit="1" customWidth="1"/>
    <col min="7174" max="7174" width="30.42578125" bestFit="1" customWidth="1"/>
    <col min="7175" max="7175" width="19.42578125" bestFit="1" customWidth="1"/>
    <col min="7176" max="7176" width="20.28515625" bestFit="1" customWidth="1"/>
    <col min="7177" max="7178" width="12" bestFit="1" customWidth="1"/>
    <col min="7179" max="7180" width="12.5703125" bestFit="1" customWidth="1"/>
    <col min="7181" max="7181" width="11.7109375" bestFit="1" customWidth="1"/>
    <col min="7182" max="7182" width="19" bestFit="1" customWidth="1"/>
    <col min="7183" max="7183" width="12.140625" bestFit="1" customWidth="1"/>
    <col min="7413" max="7413" width="15" bestFit="1" customWidth="1"/>
    <col min="7414" max="7414" width="68.28515625" bestFit="1" customWidth="1"/>
    <col min="7415" max="7415" width="9.140625" bestFit="1" customWidth="1"/>
    <col min="7416" max="7416" width="21.42578125" bestFit="1" customWidth="1"/>
    <col min="7417" max="7419" width="15.42578125" bestFit="1" customWidth="1"/>
    <col min="7420" max="7420" width="8.85546875" bestFit="1" customWidth="1"/>
    <col min="7421" max="7421" width="10" bestFit="1" customWidth="1"/>
    <col min="7422" max="7422" width="12.7109375" bestFit="1" customWidth="1"/>
    <col min="7423" max="7423" width="8.85546875" bestFit="1" customWidth="1"/>
    <col min="7424" max="7424" width="17.7109375" bestFit="1" customWidth="1"/>
    <col min="7425" max="7425" width="13" bestFit="1" customWidth="1"/>
    <col min="7426" max="7426" width="13.42578125" bestFit="1" customWidth="1"/>
    <col min="7427" max="7427" width="10.85546875" bestFit="1" customWidth="1"/>
    <col min="7428" max="7428" width="26.85546875" bestFit="1" customWidth="1"/>
    <col min="7429" max="7429" width="20.85546875" bestFit="1" customWidth="1"/>
    <col min="7430" max="7430" width="30.42578125" bestFit="1" customWidth="1"/>
    <col min="7431" max="7431" width="19.42578125" bestFit="1" customWidth="1"/>
    <col min="7432" max="7432" width="20.28515625" bestFit="1" customWidth="1"/>
    <col min="7433" max="7434" width="12" bestFit="1" customWidth="1"/>
    <col min="7435" max="7436" width="12.5703125" bestFit="1" customWidth="1"/>
    <col min="7437" max="7437" width="11.7109375" bestFit="1" customWidth="1"/>
    <col min="7438" max="7438" width="19" bestFit="1" customWidth="1"/>
    <col min="7439" max="7439" width="12.140625" bestFit="1" customWidth="1"/>
    <col min="7669" max="7669" width="15" bestFit="1" customWidth="1"/>
    <col min="7670" max="7670" width="68.28515625" bestFit="1" customWidth="1"/>
    <col min="7671" max="7671" width="9.140625" bestFit="1" customWidth="1"/>
    <col min="7672" max="7672" width="21.42578125" bestFit="1" customWidth="1"/>
    <col min="7673" max="7675" width="15.42578125" bestFit="1" customWidth="1"/>
    <col min="7676" max="7676" width="8.85546875" bestFit="1" customWidth="1"/>
    <col min="7677" max="7677" width="10" bestFit="1" customWidth="1"/>
    <col min="7678" max="7678" width="12.7109375" bestFit="1" customWidth="1"/>
    <col min="7679" max="7679" width="8.85546875" bestFit="1" customWidth="1"/>
    <col min="7680" max="7680" width="17.7109375" bestFit="1" customWidth="1"/>
    <col min="7681" max="7681" width="13" bestFit="1" customWidth="1"/>
    <col min="7682" max="7682" width="13.42578125" bestFit="1" customWidth="1"/>
    <col min="7683" max="7683" width="10.85546875" bestFit="1" customWidth="1"/>
    <col min="7684" max="7684" width="26.85546875" bestFit="1" customWidth="1"/>
    <col min="7685" max="7685" width="20.85546875" bestFit="1" customWidth="1"/>
    <col min="7686" max="7686" width="30.42578125" bestFit="1" customWidth="1"/>
    <col min="7687" max="7687" width="19.42578125" bestFit="1" customWidth="1"/>
    <col min="7688" max="7688" width="20.28515625" bestFit="1" customWidth="1"/>
    <col min="7689" max="7690" width="12" bestFit="1" customWidth="1"/>
    <col min="7691" max="7692" width="12.5703125" bestFit="1" customWidth="1"/>
    <col min="7693" max="7693" width="11.7109375" bestFit="1" customWidth="1"/>
    <col min="7694" max="7694" width="19" bestFit="1" customWidth="1"/>
    <col min="7695" max="7695" width="12.140625" bestFit="1" customWidth="1"/>
    <col min="7925" max="7925" width="15" bestFit="1" customWidth="1"/>
    <col min="7926" max="7926" width="68.28515625" bestFit="1" customWidth="1"/>
    <col min="7927" max="7927" width="9.140625" bestFit="1" customWidth="1"/>
    <col min="7928" max="7928" width="21.42578125" bestFit="1" customWidth="1"/>
    <col min="7929" max="7931" width="15.42578125" bestFit="1" customWidth="1"/>
    <col min="7932" max="7932" width="8.85546875" bestFit="1" customWidth="1"/>
    <col min="7933" max="7933" width="10" bestFit="1" customWidth="1"/>
    <col min="7934" max="7934" width="12.7109375" bestFit="1" customWidth="1"/>
    <col min="7935" max="7935" width="8.85546875" bestFit="1" customWidth="1"/>
    <col min="7936" max="7936" width="17.7109375" bestFit="1" customWidth="1"/>
    <col min="7937" max="7937" width="13" bestFit="1" customWidth="1"/>
    <col min="7938" max="7938" width="13.42578125" bestFit="1" customWidth="1"/>
    <col min="7939" max="7939" width="10.85546875" bestFit="1" customWidth="1"/>
    <col min="7940" max="7940" width="26.85546875" bestFit="1" customWidth="1"/>
    <col min="7941" max="7941" width="20.85546875" bestFit="1" customWidth="1"/>
    <col min="7942" max="7942" width="30.42578125" bestFit="1" customWidth="1"/>
    <col min="7943" max="7943" width="19.42578125" bestFit="1" customWidth="1"/>
    <col min="7944" max="7944" width="20.28515625" bestFit="1" customWidth="1"/>
    <col min="7945" max="7946" width="12" bestFit="1" customWidth="1"/>
    <col min="7947" max="7948" width="12.5703125" bestFit="1" customWidth="1"/>
    <col min="7949" max="7949" width="11.7109375" bestFit="1" customWidth="1"/>
    <col min="7950" max="7950" width="19" bestFit="1" customWidth="1"/>
    <col min="7951" max="7951" width="12.140625" bestFit="1" customWidth="1"/>
    <col min="8181" max="8181" width="15" bestFit="1" customWidth="1"/>
    <col min="8182" max="8182" width="68.28515625" bestFit="1" customWidth="1"/>
    <col min="8183" max="8183" width="9.140625" bestFit="1" customWidth="1"/>
    <col min="8184" max="8184" width="21.42578125" bestFit="1" customWidth="1"/>
    <col min="8185" max="8187" width="15.42578125" bestFit="1" customWidth="1"/>
    <col min="8188" max="8188" width="8.85546875" bestFit="1" customWidth="1"/>
    <col min="8189" max="8189" width="10" bestFit="1" customWidth="1"/>
    <col min="8190" max="8190" width="12.7109375" bestFit="1" customWidth="1"/>
    <col min="8191" max="8191" width="8.85546875" bestFit="1" customWidth="1"/>
    <col min="8192" max="8192" width="17.7109375" bestFit="1" customWidth="1"/>
    <col min="8193" max="8193" width="13" bestFit="1" customWidth="1"/>
    <col min="8194" max="8194" width="13.42578125" bestFit="1" customWidth="1"/>
    <col min="8195" max="8195" width="10.85546875" bestFit="1" customWidth="1"/>
    <col min="8196" max="8196" width="26.85546875" bestFit="1" customWidth="1"/>
    <col min="8197" max="8197" width="20.85546875" bestFit="1" customWidth="1"/>
    <col min="8198" max="8198" width="30.42578125" bestFit="1" customWidth="1"/>
    <col min="8199" max="8199" width="19.42578125" bestFit="1" customWidth="1"/>
    <col min="8200" max="8200" width="20.28515625" bestFit="1" customWidth="1"/>
    <col min="8201" max="8202" width="12" bestFit="1" customWidth="1"/>
    <col min="8203" max="8204" width="12.5703125" bestFit="1" customWidth="1"/>
    <col min="8205" max="8205" width="11.7109375" bestFit="1" customWidth="1"/>
    <col min="8206" max="8206" width="19" bestFit="1" customWidth="1"/>
    <col min="8207" max="8207" width="12.140625" bestFit="1" customWidth="1"/>
    <col min="8437" max="8437" width="15" bestFit="1" customWidth="1"/>
    <col min="8438" max="8438" width="68.28515625" bestFit="1" customWidth="1"/>
    <col min="8439" max="8439" width="9.140625" bestFit="1" customWidth="1"/>
    <col min="8440" max="8440" width="21.42578125" bestFit="1" customWidth="1"/>
    <col min="8441" max="8443" width="15.42578125" bestFit="1" customWidth="1"/>
    <col min="8444" max="8444" width="8.85546875" bestFit="1" customWidth="1"/>
    <col min="8445" max="8445" width="10" bestFit="1" customWidth="1"/>
    <col min="8446" max="8446" width="12.7109375" bestFit="1" customWidth="1"/>
    <col min="8447" max="8447" width="8.85546875" bestFit="1" customWidth="1"/>
    <col min="8448" max="8448" width="17.7109375" bestFit="1" customWidth="1"/>
    <col min="8449" max="8449" width="13" bestFit="1" customWidth="1"/>
    <col min="8450" max="8450" width="13.42578125" bestFit="1" customWidth="1"/>
    <col min="8451" max="8451" width="10.85546875" bestFit="1" customWidth="1"/>
    <col min="8452" max="8452" width="26.85546875" bestFit="1" customWidth="1"/>
    <col min="8453" max="8453" width="20.85546875" bestFit="1" customWidth="1"/>
    <col min="8454" max="8454" width="30.42578125" bestFit="1" customWidth="1"/>
    <col min="8455" max="8455" width="19.42578125" bestFit="1" customWidth="1"/>
    <col min="8456" max="8456" width="20.28515625" bestFit="1" customWidth="1"/>
    <col min="8457" max="8458" width="12" bestFit="1" customWidth="1"/>
    <col min="8459" max="8460" width="12.5703125" bestFit="1" customWidth="1"/>
    <col min="8461" max="8461" width="11.7109375" bestFit="1" customWidth="1"/>
    <col min="8462" max="8462" width="19" bestFit="1" customWidth="1"/>
    <col min="8463" max="8463" width="12.140625" bestFit="1" customWidth="1"/>
    <col min="8693" max="8693" width="15" bestFit="1" customWidth="1"/>
    <col min="8694" max="8694" width="68.28515625" bestFit="1" customWidth="1"/>
    <col min="8695" max="8695" width="9.140625" bestFit="1" customWidth="1"/>
    <col min="8696" max="8696" width="21.42578125" bestFit="1" customWidth="1"/>
    <col min="8697" max="8699" width="15.42578125" bestFit="1" customWidth="1"/>
    <col min="8700" max="8700" width="8.85546875" bestFit="1" customWidth="1"/>
    <col min="8701" max="8701" width="10" bestFit="1" customWidth="1"/>
    <col min="8702" max="8702" width="12.7109375" bestFit="1" customWidth="1"/>
    <col min="8703" max="8703" width="8.85546875" bestFit="1" customWidth="1"/>
    <col min="8704" max="8704" width="17.7109375" bestFit="1" customWidth="1"/>
    <col min="8705" max="8705" width="13" bestFit="1" customWidth="1"/>
    <col min="8706" max="8706" width="13.42578125" bestFit="1" customWidth="1"/>
    <col min="8707" max="8707" width="10.85546875" bestFit="1" customWidth="1"/>
    <col min="8708" max="8708" width="26.85546875" bestFit="1" customWidth="1"/>
    <col min="8709" max="8709" width="20.85546875" bestFit="1" customWidth="1"/>
    <col min="8710" max="8710" width="30.42578125" bestFit="1" customWidth="1"/>
    <col min="8711" max="8711" width="19.42578125" bestFit="1" customWidth="1"/>
    <col min="8712" max="8712" width="20.28515625" bestFit="1" customWidth="1"/>
    <col min="8713" max="8714" width="12" bestFit="1" customWidth="1"/>
    <col min="8715" max="8716" width="12.5703125" bestFit="1" customWidth="1"/>
    <col min="8717" max="8717" width="11.7109375" bestFit="1" customWidth="1"/>
    <col min="8718" max="8718" width="19" bestFit="1" customWidth="1"/>
    <col min="8719" max="8719" width="12.140625" bestFit="1" customWidth="1"/>
    <col min="8949" max="8949" width="15" bestFit="1" customWidth="1"/>
    <col min="8950" max="8950" width="68.28515625" bestFit="1" customWidth="1"/>
    <col min="8951" max="8951" width="9.140625" bestFit="1" customWidth="1"/>
    <col min="8952" max="8952" width="21.42578125" bestFit="1" customWidth="1"/>
    <col min="8953" max="8955" width="15.42578125" bestFit="1" customWidth="1"/>
    <col min="8956" max="8956" width="8.85546875" bestFit="1" customWidth="1"/>
    <col min="8957" max="8957" width="10" bestFit="1" customWidth="1"/>
    <col min="8958" max="8958" width="12.7109375" bestFit="1" customWidth="1"/>
    <col min="8959" max="8959" width="8.85546875" bestFit="1" customWidth="1"/>
    <col min="8960" max="8960" width="17.7109375" bestFit="1" customWidth="1"/>
    <col min="8961" max="8961" width="13" bestFit="1" customWidth="1"/>
    <col min="8962" max="8962" width="13.42578125" bestFit="1" customWidth="1"/>
    <col min="8963" max="8963" width="10.85546875" bestFit="1" customWidth="1"/>
    <col min="8964" max="8964" width="26.85546875" bestFit="1" customWidth="1"/>
    <col min="8965" max="8965" width="20.85546875" bestFit="1" customWidth="1"/>
    <col min="8966" max="8966" width="30.42578125" bestFit="1" customWidth="1"/>
    <col min="8967" max="8967" width="19.42578125" bestFit="1" customWidth="1"/>
    <col min="8968" max="8968" width="20.28515625" bestFit="1" customWidth="1"/>
    <col min="8969" max="8970" width="12" bestFit="1" customWidth="1"/>
    <col min="8971" max="8972" width="12.5703125" bestFit="1" customWidth="1"/>
    <col min="8973" max="8973" width="11.7109375" bestFit="1" customWidth="1"/>
    <col min="8974" max="8974" width="19" bestFit="1" customWidth="1"/>
    <col min="8975" max="8975" width="12.140625" bestFit="1" customWidth="1"/>
    <col min="9205" max="9205" width="15" bestFit="1" customWidth="1"/>
    <col min="9206" max="9206" width="68.28515625" bestFit="1" customWidth="1"/>
    <col min="9207" max="9207" width="9.140625" bestFit="1" customWidth="1"/>
    <col min="9208" max="9208" width="21.42578125" bestFit="1" customWidth="1"/>
    <col min="9209" max="9211" width="15.42578125" bestFit="1" customWidth="1"/>
    <col min="9212" max="9212" width="8.85546875" bestFit="1" customWidth="1"/>
    <col min="9213" max="9213" width="10" bestFit="1" customWidth="1"/>
    <col min="9214" max="9214" width="12.7109375" bestFit="1" customWidth="1"/>
    <col min="9215" max="9215" width="8.85546875" bestFit="1" customWidth="1"/>
    <col min="9216" max="9216" width="17.7109375" bestFit="1" customWidth="1"/>
    <col min="9217" max="9217" width="13" bestFit="1" customWidth="1"/>
    <col min="9218" max="9218" width="13.42578125" bestFit="1" customWidth="1"/>
    <col min="9219" max="9219" width="10.85546875" bestFit="1" customWidth="1"/>
    <col min="9220" max="9220" width="26.85546875" bestFit="1" customWidth="1"/>
    <col min="9221" max="9221" width="20.85546875" bestFit="1" customWidth="1"/>
    <col min="9222" max="9222" width="30.42578125" bestFit="1" customWidth="1"/>
    <col min="9223" max="9223" width="19.42578125" bestFit="1" customWidth="1"/>
    <col min="9224" max="9224" width="20.28515625" bestFit="1" customWidth="1"/>
    <col min="9225" max="9226" width="12" bestFit="1" customWidth="1"/>
    <col min="9227" max="9228" width="12.5703125" bestFit="1" customWidth="1"/>
    <col min="9229" max="9229" width="11.7109375" bestFit="1" customWidth="1"/>
    <col min="9230" max="9230" width="19" bestFit="1" customWidth="1"/>
    <col min="9231" max="9231" width="12.140625" bestFit="1" customWidth="1"/>
    <col min="9461" max="9461" width="15" bestFit="1" customWidth="1"/>
    <col min="9462" max="9462" width="68.28515625" bestFit="1" customWidth="1"/>
    <col min="9463" max="9463" width="9.140625" bestFit="1" customWidth="1"/>
    <col min="9464" max="9464" width="21.42578125" bestFit="1" customWidth="1"/>
    <col min="9465" max="9467" width="15.42578125" bestFit="1" customWidth="1"/>
    <col min="9468" max="9468" width="8.85546875" bestFit="1" customWidth="1"/>
    <col min="9469" max="9469" width="10" bestFit="1" customWidth="1"/>
    <col min="9470" max="9470" width="12.7109375" bestFit="1" customWidth="1"/>
    <col min="9471" max="9471" width="8.85546875" bestFit="1" customWidth="1"/>
    <col min="9472" max="9472" width="17.7109375" bestFit="1" customWidth="1"/>
    <col min="9473" max="9473" width="13" bestFit="1" customWidth="1"/>
    <col min="9474" max="9474" width="13.42578125" bestFit="1" customWidth="1"/>
    <col min="9475" max="9475" width="10.85546875" bestFit="1" customWidth="1"/>
    <col min="9476" max="9476" width="26.85546875" bestFit="1" customWidth="1"/>
    <col min="9477" max="9477" width="20.85546875" bestFit="1" customWidth="1"/>
    <col min="9478" max="9478" width="30.42578125" bestFit="1" customWidth="1"/>
    <col min="9479" max="9479" width="19.42578125" bestFit="1" customWidth="1"/>
    <col min="9480" max="9480" width="20.28515625" bestFit="1" customWidth="1"/>
    <col min="9481" max="9482" width="12" bestFit="1" customWidth="1"/>
    <col min="9483" max="9484" width="12.5703125" bestFit="1" customWidth="1"/>
    <col min="9485" max="9485" width="11.7109375" bestFit="1" customWidth="1"/>
    <col min="9486" max="9486" width="19" bestFit="1" customWidth="1"/>
    <col min="9487" max="9487" width="12.140625" bestFit="1" customWidth="1"/>
    <col min="9717" max="9717" width="15" bestFit="1" customWidth="1"/>
    <col min="9718" max="9718" width="68.28515625" bestFit="1" customWidth="1"/>
    <col min="9719" max="9719" width="9.140625" bestFit="1" customWidth="1"/>
    <col min="9720" max="9720" width="21.42578125" bestFit="1" customWidth="1"/>
    <col min="9721" max="9723" width="15.42578125" bestFit="1" customWidth="1"/>
    <col min="9724" max="9724" width="8.85546875" bestFit="1" customWidth="1"/>
    <col min="9725" max="9725" width="10" bestFit="1" customWidth="1"/>
    <col min="9726" max="9726" width="12.7109375" bestFit="1" customWidth="1"/>
    <col min="9727" max="9727" width="8.85546875" bestFit="1" customWidth="1"/>
    <col min="9728" max="9728" width="17.7109375" bestFit="1" customWidth="1"/>
    <col min="9729" max="9729" width="13" bestFit="1" customWidth="1"/>
    <col min="9730" max="9730" width="13.42578125" bestFit="1" customWidth="1"/>
    <col min="9731" max="9731" width="10.85546875" bestFit="1" customWidth="1"/>
    <col min="9732" max="9732" width="26.85546875" bestFit="1" customWidth="1"/>
    <col min="9733" max="9733" width="20.85546875" bestFit="1" customWidth="1"/>
    <col min="9734" max="9734" width="30.42578125" bestFit="1" customWidth="1"/>
    <col min="9735" max="9735" width="19.42578125" bestFit="1" customWidth="1"/>
    <col min="9736" max="9736" width="20.28515625" bestFit="1" customWidth="1"/>
    <col min="9737" max="9738" width="12" bestFit="1" customWidth="1"/>
    <col min="9739" max="9740" width="12.5703125" bestFit="1" customWidth="1"/>
    <col min="9741" max="9741" width="11.7109375" bestFit="1" customWidth="1"/>
    <col min="9742" max="9742" width="19" bestFit="1" customWidth="1"/>
    <col min="9743" max="9743" width="12.140625" bestFit="1" customWidth="1"/>
    <col min="9973" max="9973" width="15" bestFit="1" customWidth="1"/>
    <col min="9974" max="9974" width="68.28515625" bestFit="1" customWidth="1"/>
    <col min="9975" max="9975" width="9.140625" bestFit="1" customWidth="1"/>
    <col min="9976" max="9976" width="21.42578125" bestFit="1" customWidth="1"/>
    <col min="9977" max="9979" width="15.42578125" bestFit="1" customWidth="1"/>
    <col min="9980" max="9980" width="8.85546875" bestFit="1" customWidth="1"/>
    <col min="9981" max="9981" width="10" bestFit="1" customWidth="1"/>
    <col min="9982" max="9982" width="12.7109375" bestFit="1" customWidth="1"/>
    <col min="9983" max="9983" width="8.85546875" bestFit="1" customWidth="1"/>
    <col min="9984" max="9984" width="17.7109375" bestFit="1" customWidth="1"/>
    <col min="9985" max="9985" width="13" bestFit="1" customWidth="1"/>
    <col min="9986" max="9986" width="13.42578125" bestFit="1" customWidth="1"/>
    <col min="9987" max="9987" width="10.85546875" bestFit="1" customWidth="1"/>
    <col min="9988" max="9988" width="26.85546875" bestFit="1" customWidth="1"/>
    <col min="9989" max="9989" width="20.85546875" bestFit="1" customWidth="1"/>
    <col min="9990" max="9990" width="30.42578125" bestFit="1" customWidth="1"/>
    <col min="9991" max="9991" width="19.42578125" bestFit="1" customWidth="1"/>
    <col min="9992" max="9992" width="20.28515625" bestFit="1" customWidth="1"/>
    <col min="9993" max="9994" width="12" bestFit="1" customWidth="1"/>
    <col min="9995" max="9996" width="12.5703125" bestFit="1" customWidth="1"/>
    <col min="9997" max="9997" width="11.7109375" bestFit="1" customWidth="1"/>
    <col min="9998" max="9998" width="19" bestFit="1" customWidth="1"/>
    <col min="9999" max="9999" width="12.140625" bestFit="1" customWidth="1"/>
    <col min="10229" max="10229" width="15" bestFit="1" customWidth="1"/>
    <col min="10230" max="10230" width="68.28515625" bestFit="1" customWidth="1"/>
    <col min="10231" max="10231" width="9.140625" bestFit="1" customWidth="1"/>
    <col min="10232" max="10232" width="21.42578125" bestFit="1" customWidth="1"/>
    <col min="10233" max="10235" width="15.42578125" bestFit="1" customWidth="1"/>
    <col min="10236" max="10236" width="8.85546875" bestFit="1" customWidth="1"/>
    <col min="10237" max="10237" width="10" bestFit="1" customWidth="1"/>
    <col min="10238" max="10238" width="12.7109375" bestFit="1" customWidth="1"/>
    <col min="10239" max="10239" width="8.85546875" bestFit="1" customWidth="1"/>
    <col min="10240" max="10240" width="17.7109375" bestFit="1" customWidth="1"/>
    <col min="10241" max="10241" width="13" bestFit="1" customWidth="1"/>
    <col min="10242" max="10242" width="13.42578125" bestFit="1" customWidth="1"/>
    <col min="10243" max="10243" width="10.85546875" bestFit="1" customWidth="1"/>
    <col min="10244" max="10244" width="26.85546875" bestFit="1" customWidth="1"/>
    <col min="10245" max="10245" width="20.85546875" bestFit="1" customWidth="1"/>
    <col min="10246" max="10246" width="30.42578125" bestFit="1" customWidth="1"/>
    <col min="10247" max="10247" width="19.42578125" bestFit="1" customWidth="1"/>
    <col min="10248" max="10248" width="20.28515625" bestFit="1" customWidth="1"/>
    <col min="10249" max="10250" width="12" bestFit="1" customWidth="1"/>
    <col min="10251" max="10252" width="12.5703125" bestFit="1" customWidth="1"/>
    <col min="10253" max="10253" width="11.7109375" bestFit="1" customWidth="1"/>
    <col min="10254" max="10254" width="19" bestFit="1" customWidth="1"/>
    <col min="10255" max="10255" width="12.140625" bestFit="1" customWidth="1"/>
    <col min="10485" max="10485" width="15" bestFit="1" customWidth="1"/>
    <col min="10486" max="10486" width="68.28515625" bestFit="1" customWidth="1"/>
    <col min="10487" max="10487" width="9.140625" bestFit="1" customWidth="1"/>
    <col min="10488" max="10488" width="21.42578125" bestFit="1" customWidth="1"/>
    <col min="10489" max="10491" width="15.42578125" bestFit="1" customWidth="1"/>
    <col min="10492" max="10492" width="8.85546875" bestFit="1" customWidth="1"/>
    <col min="10493" max="10493" width="10" bestFit="1" customWidth="1"/>
    <col min="10494" max="10494" width="12.7109375" bestFit="1" customWidth="1"/>
    <col min="10495" max="10495" width="8.85546875" bestFit="1" customWidth="1"/>
    <col min="10496" max="10496" width="17.7109375" bestFit="1" customWidth="1"/>
    <col min="10497" max="10497" width="13" bestFit="1" customWidth="1"/>
    <col min="10498" max="10498" width="13.42578125" bestFit="1" customWidth="1"/>
    <col min="10499" max="10499" width="10.85546875" bestFit="1" customWidth="1"/>
    <col min="10500" max="10500" width="26.85546875" bestFit="1" customWidth="1"/>
    <col min="10501" max="10501" width="20.85546875" bestFit="1" customWidth="1"/>
    <col min="10502" max="10502" width="30.42578125" bestFit="1" customWidth="1"/>
    <col min="10503" max="10503" width="19.42578125" bestFit="1" customWidth="1"/>
    <col min="10504" max="10504" width="20.28515625" bestFit="1" customWidth="1"/>
    <col min="10505" max="10506" width="12" bestFit="1" customWidth="1"/>
    <col min="10507" max="10508" width="12.5703125" bestFit="1" customWidth="1"/>
    <col min="10509" max="10509" width="11.7109375" bestFit="1" customWidth="1"/>
    <col min="10510" max="10510" width="19" bestFit="1" customWidth="1"/>
    <col min="10511" max="10511" width="12.140625" bestFit="1" customWidth="1"/>
    <col min="10741" max="10741" width="15" bestFit="1" customWidth="1"/>
    <col min="10742" max="10742" width="68.28515625" bestFit="1" customWidth="1"/>
    <col min="10743" max="10743" width="9.140625" bestFit="1" customWidth="1"/>
    <col min="10744" max="10744" width="21.42578125" bestFit="1" customWidth="1"/>
    <col min="10745" max="10747" width="15.42578125" bestFit="1" customWidth="1"/>
    <col min="10748" max="10748" width="8.85546875" bestFit="1" customWidth="1"/>
    <col min="10749" max="10749" width="10" bestFit="1" customWidth="1"/>
    <col min="10750" max="10750" width="12.7109375" bestFit="1" customWidth="1"/>
    <col min="10751" max="10751" width="8.85546875" bestFit="1" customWidth="1"/>
    <col min="10752" max="10752" width="17.7109375" bestFit="1" customWidth="1"/>
    <col min="10753" max="10753" width="13" bestFit="1" customWidth="1"/>
    <col min="10754" max="10754" width="13.42578125" bestFit="1" customWidth="1"/>
    <col min="10755" max="10755" width="10.85546875" bestFit="1" customWidth="1"/>
    <col min="10756" max="10756" width="26.85546875" bestFit="1" customWidth="1"/>
    <col min="10757" max="10757" width="20.85546875" bestFit="1" customWidth="1"/>
    <col min="10758" max="10758" width="30.42578125" bestFit="1" customWidth="1"/>
    <col min="10759" max="10759" width="19.42578125" bestFit="1" customWidth="1"/>
    <col min="10760" max="10760" width="20.28515625" bestFit="1" customWidth="1"/>
    <col min="10761" max="10762" width="12" bestFit="1" customWidth="1"/>
    <col min="10763" max="10764" width="12.5703125" bestFit="1" customWidth="1"/>
    <col min="10765" max="10765" width="11.7109375" bestFit="1" customWidth="1"/>
    <col min="10766" max="10766" width="19" bestFit="1" customWidth="1"/>
    <col min="10767" max="10767" width="12.140625" bestFit="1" customWidth="1"/>
    <col min="10997" max="10997" width="15" bestFit="1" customWidth="1"/>
    <col min="10998" max="10998" width="68.28515625" bestFit="1" customWidth="1"/>
    <col min="10999" max="10999" width="9.140625" bestFit="1" customWidth="1"/>
    <col min="11000" max="11000" width="21.42578125" bestFit="1" customWidth="1"/>
    <col min="11001" max="11003" width="15.42578125" bestFit="1" customWidth="1"/>
    <col min="11004" max="11004" width="8.85546875" bestFit="1" customWidth="1"/>
    <col min="11005" max="11005" width="10" bestFit="1" customWidth="1"/>
    <col min="11006" max="11006" width="12.7109375" bestFit="1" customWidth="1"/>
    <col min="11007" max="11007" width="8.85546875" bestFit="1" customWidth="1"/>
    <col min="11008" max="11008" width="17.7109375" bestFit="1" customWidth="1"/>
    <col min="11009" max="11009" width="13" bestFit="1" customWidth="1"/>
    <col min="11010" max="11010" width="13.42578125" bestFit="1" customWidth="1"/>
    <col min="11011" max="11011" width="10.85546875" bestFit="1" customWidth="1"/>
    <col min="11012" max="11012" width="26.85546875" bestFit="1" customWidth="1"/>
    <col min="11013" max="11013" width="20.85546875" bestFit="1" customWidth="1"/>
    <col min="11014" max="11014" width="30.42578125" bestFit="1" customWidth="1"/>
    <col min="11015" max="11015" width="19.42578125" bestFit="1" customWidth="1"/>
    <col min="11016" max="11016" width="20.28515625" bestFit="1" customWidth="1"/>
    <col min="11017" max="11018" width="12" bestFit="1" customWidth="1"/>
    <col min="11019" max="11020" width="12.5703125" bestFit="1" customWidth="1"/>
    <col min="11021" max="11021" width="11.7109375" bestFit="1" customWidth="1"/>
    <col min="11022" max="11022" width="19" bestFit="1" customWidth="1"/>
    <col min="11023" max="11023" width="12.140625" bestFit="1" customWidth="1"/>
    <col min="11253" max="11253" width="15" bestFit="1" customWidth="1"/>
    <col min="11254" max="11254" width="68.28515625" bestFit="1" customWidth="1"/>
    <col min="11255" max="11255" width="9.140625" bestFit="1" customWidth="1"/>
    <col min="11256" max="11256" width="21.42578125" bestFit="1" customWidth="1"/>
    <col min="11257" max="11259" width="15.42578125" bestFit="1" customWidth="1"/>
    <col min="11260" max="11260" width="8.85546875" bestFit="1" customWidth="1"/>
    <col min="11261" max="11261" width="10" bestFit="1" customWidth="1"/>
    <col min="11262" max="11262" width="12.7109375" bestFit="1" customWidth="1"/>
    <col min="11263" max="11263" width="8.85546875" bestFit="1" customWidth="1"/>
    <col min="11264" max="11264" width="17.7109375" bestFit="1" customWidth="1"/>
    <col min="11265" max="11265" width="13" bestFit="1" customWidth="1"/>
    <col min="11266" max="11266" width="13.42578125" bestFit="1" customWidth="1"/>
    <col min="11267" max="11267" width="10.85546875" bestFit="1" customWidth="1"/>
    <col min="11268" max="11268" width="26.85546875" bestFit="1" customWidth="1"/>
    <col min="11269" max="11269" width="20.85546875" bestFit="1" customWidth="1"/>
    <col min="11270" max="11270" width="30.42578125" bestFit="1" customWidth="1"/>
    <col min="11271" max="11271" width="19.42578125" bestFit="1" customWidth="1"/>
    <col min="11272" max="11272" width="20.28515625" bestFit="1" customWidth="1"/>
    <col min="11273" max="11274" width="12" bestFit="1" customWidth="1"/>
    <col min="11275" max="11276" width="12.5703125" bestFit="1" customWidth="1"/>
    <col min="11277" max="11277" width="11.7109375" bestFit="1" customWidth="1"/>
    <col min="11278" max="11278" width="19" bestFit="1" customWidth="1"/>
    <col min="11279" max="11279" width="12.140625" bestFit="1" customWidth="1"/>
    <col min="11509" max="11509" width="15" bestFit="1" customWidth="1"/>
    <col min="11510" max="11510" width="68.28515625" bestFit="1" customWidth="1"/>
    <col min="11511" max="11511" width="9.140625" bestFit="1" customWidth="1"/>
    <col min="11512" max="11512" width="21.42578125" bestFit="1" customWidth="1"/>
    <col min="11513" max="11515" width="15.42578125" bestFit="1" customWidth="1"/>
    <col min="11516" max="11516" width="8.85546875" bestFit="1" customWidth="1"/>
    <col min="11517" max="11517" width="10" bestFit="1" customWidth="1"/>
    <col min="11518" max="11518" width="12.7109375" bestFit="1" customWidth="1"/>
    <col min="11519" max="11519" width="8.85546875" bestFit="1" customWidth="1"/>
    <col min="11520" max="11520" width="17.7109375" bestFit="1" customWidth="1"/>
    <col min="11521" max="11521" width="13" bestFit="1" customWidth="1"/>
    <col min="11522" max="11522" width="13.42578125" bestFit="1" customWidth="1"/>
    <col min="11523" max="11523" width="10.85546875" bestFit="1" customWidth="1"/>
    <col min="11524" max="11524" width="26.85546875" bestFit="1" customWidth="1"/>
    <col min="11525" max="11525" width="20.85546875" bestFit="1" customWidth="1"/>
    <col min="11526" max="11526" width="30.42578125" bestFit="1" customWidth="1"/>
    <col min="11527" max="11527" width="19.42578125" bestFit="1" customWidth="1"/>
    <col min="11528" max="11528" width="20.28515625" bestFit="1" customWidth="1"/>
    <col min="11529" max="11530" width="12" bestFit="1" customWidth="1"/>
    <col min="11531" max="11532" width="12.5703125" bestFit="1" customWidth="1"/>
    <col min="11533" max="11533" width="11.7109375" bestFit="1" customWidth="1"/>
    <col min="11534" max="11534" width="19" bestFit="1" customWidth="1"/>
    <col min="11535" max="11535" width="12.140625" bestFit="1" customWidth="1"/>
    <col min="11765" max="11765" width="15" bestFit="1" customWidth="1"/>
    <col min="11766" max="11766" width="68.28515625" bestFit="1" customWidth="1"/>
    <col min="11767" max="11767" width="9.140625" bestFit="1" customWidth="1"/>
    <col min="11768" max="11768" width="21.42578125" bestFit="1" customWidth="1"/>
    <col min="11769" max="11771" width="15.42578125" bestFit="1" customWidth="1"/>
    <col min="11772" max="11772" width="8.85546875" bestFit="1" customWidth="1"/>
    <col min="11773" max="11773" width="10" bestFit="1" customWidth="1"/>
    <col min="11774" max="11774" width="12.7109375" bestFit="1" customWidth="1"/>
    <col min="11775" max="11775" width="8.85546875" bestFit="1" customWidth="1"/>
    <col min="11776" max="11776" width="17.7109375" bestFit="1" customWidth="1"/>
    <col min="11777" max="11777" width="13" bestFit="1" customWidth="1"/>
    <col min="11778" max="11778" width="13.42578125" bestFit="1" customWidth="1"/>
    <col min="11779" max="11779" width="10.85546875" bestFit="1" customWidth="1"/>
    <col min="11780" max="11780" width="26.85546875" bestFit="1" customWidth="1"/>
    <col min="11781" max="11781" width="20.85546875" bestFit="1" customWidth="1"/>
    <col min="11782" max="11782" width="30.42578125" bestFit="1" customWidth="1"/>
    <col min="11783" max="11783" width="19.42578125" bestFit="1" customWidth="1"/>
    <col min="11784" max="11784" width="20.28515625" bestFit="1" customWidth="1"/>
    <col min="11785" max="11786" width="12" bestFit="1" customWidth="1"/>
    <col min="11787" max="11788" width="12.5703125" bestFit="1" customWidth="1"/>
    <col min="11789" max="11789" width="11.7109375" bestFit="1" customWidth="1"/>
    <col min="11790" max="11790" width="19" bestFit="1" customWidth="1"/>
    <col min="11791" max="11791" width="12.140625" bestFit="1" customWidth="1"/>
    <col min="12021" max="12021" width="15" bestFit="1" customWidth="1"/>
    <col min="12022" max="12022" width="68.28515625" bestFit="1" customWidth="1"/>
    <col min="12023" max="12023" width="9.140625" bestFit="1" customWidth="1"/>
    <col min="12024" max="12024" width="21.42578125" bestFit="1" customWidth="1"/>
    <col min="12025" max="12027" width="15.42578125" bestFit="1" customWidth="1"/>
    <col min="12028" max="12028" width="8.85546875" bestFit="1" customWidth="1"/>
    <col min="12029" max="12029" width="10" bestFit="1" customWidth="1"/>
    <col min="12030" max="12030" width="12.7109375" bestFit="1" customWidth="1"/>
    <col min="12031" max="12031" width="8.85546875" bestFit="1" customWidth="1"/>
    <col min="12032" max="12032" width="17.7109375" bestFit="1" customWidth="1"/>
    <col min="12033" max="12033" width="13" bestFit="1" customWidth="1"/>
    <col min="12034" max="12034" width="13.42578125" bestFit="1" customWidth="1"/>
    <col min="12035" max="12035" width="10.85546875" bestFit="1" customWidth="1"/>
    <col min="12036" max="12036" width="26.85546875" bestFit="1" customWidth="1"/>
    <col min="12037" max="12037" width="20.85546875" bestFit="1" customWidth="1"/>
    <col min="12038" max="12038" width="30.42578125" bestFit="1" customWidth="1"/>
    <col min="12039" max="12039" width="19.42578125" bestFit="1" customWidth="1"/>
    <col min="12040" max="12040" width="20.28515625" bestFit="1" customWidth="1"/>
    <col min="12041" max="12042" width="12" bestFit="1" customWidth="1"/>
    <col min="12043" max="12044" width="12.5703125" bestFit="1" customWidth="1"/>
    <col min="12045" max="12045" width="11.7109375" bestFit="1" customWidth="1"/>
    <col min="12046" max="12046" width="19" bestFit="1" customWidth="1"/>
    <col min="12047" max="12047" width="12.140625" bestFit="1" customWidth="1"/>
    <col min="12277" max="12277" width="15" bestFit="1" customWidth="1"/>
    <col min="12278" max="12278" width="68.28515625" bestFit="1" customWidth="1"/>
    <col min="12279" max="12279" width="9.140625" bestFit="1" customWidth="1"/>
    <col min="12280" max="12280" width="21.42578125" bestFit="1" customWidth="1"/>
    <col min="12281" max="12283" width="15.42578125" bestFit="1" customWidth="1"/>
    <col min="12284" max="12284" width="8.85546875" bestFit="1" customWidth="1"/>
    <col min="12285" max="12285" width="10" bestFit="1" customWidth="1"/>
    <col min="12286" max="12286" width="12.7109375" bestFit="1" customWidth="1"/>
    <col min="12287" max="12287" width="8.85546875" bestFit="1" customWidth="1"/>
    <col min="12288" max="12288" width="17.7109375" bestFit="1" customWidth="1"/>
    <col min="12289" max="12289" width="13" bestFit="1" customWidth="1"/>
    <col min="12290" max="12290" width="13.42578125" bestFit="1" customWidth="1"/>
    <col min="12291" max="12291" width="10.85546875" bestFit="1" customWidth="1"/>
    <col min="12292" max="12292" width="26.85546875" bestFit="1" customWidth="1"/>
    <col min="12293" max="12293" width="20.85546875" bestFit="1" customWidth="1"/>
    <col min="12294" max="12294" width="30.42578125" bestFit="1" customWidth="1"/>
    <col min="12295" max="12295" width="19.42578125" bestFit="1" customWidth="1"/>
    <col min="12296" max="12296" width="20.28515625" bestFit="1" customWidth="1"/>
    <col min="12297" max="12298" width="12" bestFit="1" customWidth="1"/>
    <col min="12299" max="12300" width="12.5703125" bestFit="1" customWidth="1"/>
    <col min="12301" max="12301" width="11.7109375" bestFit="1" customWidth="1"/>
    <col min="12302" max="12302" width="19" bestFit="1" customWidth="1"/>
    <col min="12303" max="12303" width="12.140625" bestFit="1" customWidth="1"/>
    <col min="12533" max="12533" width="15" bestFit="1" customWidth="1"/>
    <col min="12534" max="12534" width="68.28515625" bestFit="1" customWidth="1"/>
    <col min="12535" max="12535" width="9.140625" bestFit="1" customWidth="1"/>
    <col min="12536" max="12536" width="21.42578125" bestFit="1" customWidth="1"/>
    <col min="12537" max="12539" width="15.42578125" bestFit="1" customWidth="1"/>
    <col min="12540" max="12540" width="8.85546875" bestFit="1" customWidth="1"/>
    <col min="12541" max="12541" width="10" bestFit="1" customWidth="1"/>
    <col min="12542" max="12542" width="12.7109375" bestFit="1" customWidth="1"/>
    <col min="12543" max="12543" width="8.85546875" bestFit="1" customWidth="1"/>
    <col min="12544" max="12544" width="17.7109375" bestFit="1" customWidth="1"/>
    <col min="12545" max="12545" width="13" bestFit="1" customWidth="1"/>
    <col min="12546" max="12546" width="13.42578125" bestFit="1" customWidth="1"/>
    <col min="12547" max="12547" width="10.85546875" bestFit="1" customWidth="1"/>
    <col min="12548" max="12548" width="26.85546875" bestFit="1" customWidth="1"/>
    <col min="12549" max="12549" width="20.85546875" bestFit="1" customWidth="1"/>
    <col min="12550" max="12550" width="30.42578125" bestFit="1" customWidth="1"/>
    <col min="12551" max="12551" width="19.42578125" bestFit="1" customWidth="1"/>
    <col min="12552" max="12552" width="20.28515625" bestFit="1" customWidth="1"/>
    <col min="12553" max="12554" width="12" bestFit="1" customWidth="1"/>
    <col min="12555" max="12556" width="12.5703125" bestFit="1" customWidth="1"/>
    <col min="12557" max="12557" width="11.7109375" bestFit="1" customWidth="1"/>
    <col min="12558" max="12558" width="19" bestFit="1" customWidth="1"/>
    <col min="12559" max="12559" width="12.140625" bestFit="1" customWidth="1"/>
    <col min="12789" max="12789" width="15" bestFit="1" customWidth="1"/>
    <col min="12790" max="12790" width="68.28515625" bestFit="1" customWidth="1"/>
    <col min="12791" max="12791" width="9.140625" bestFit="1" customWidth="1"/>
    <col min="12792" max="12792" width="21.42578125" bestFit="1" customWidth="1"/>
    <col min="12793" max="12795" width="15.42578125" bestFit="1" customWidth="1"/>
    <col min="12796" max="12796" width="8.85546875" bestFit="1" customWidth="1"/>
    <col min="12797" max="12797" width="10" bestFit="1" customWidth="1"/>
    <col min="12798" max="12798" width="12.7109375" bestFit="1" customWidth="1"/>
    <col min="12799" max="12799" width="8.85546875" bestFit="1" customWidth="1"/>
    <col min="12800" max="12800" width="17.7109375" bestFit="1" customWidth="1"/>
    <col min="12801" max="12801" width="13" bestFit="1" customWidth="1"/>
    <col min="12802" max="12802" width="13.42578125" bestFit="1" customWidth="1"/>
    <col min="12803" max="12803" width="10.85546875" bestFit="1" customWidth="1"/>
    <col min="12804" max="12804" width="26.85546875" bestFit="1" customWidth="1"/>
    <col min="12805" max="12805" width="20.85546875" bestFit="1" customWidth="1"/>
    <col min="12806" max="12806" width="30.42578125" bestFit="1" customWidth="1"/>
    <col min="12807" max="12807" width="19.42578125" bestFit="1" customWidth="1"/>
    <col min="12808" max="12808" width="20.28515625" bestFit="1" customWidth="1"/>
    <col min="12809" max="12810" width="12" bestFit="1" customWidth="1"/>
    <col min="12811" max="12812" width="12.5703125" bestFit="1" customWidth="1"/>
    <col min="12813" max="12813" width="11.7109375" bestFit="1" customWidth="1"/>
    <col min="12814" max="12814" width="19" bestFit="1" customWidth="1"/>
    <col min="12815" max="12815" width="12.140625" bestFit="1" customWidth="1"/>
    <col min="13045" max="13045" width="15" bestFit="1" customWidth="1"/>
    <col min="13046" max="13046" width="68.28515625" bestFit="1" customWidth="1"/>
    <col min="13047" max="13047" width="9.140625" bestFit="1" customWidth="1"/>
    <col min="13048" max="13048" width="21.42578125" bestFit="1" customWidth="1"/>
    <col min="13049" max="13051" width="15.42578125" bestFit="1" customWidth="1"/>
    <col min="13052" max="13052" width="8.85546875" bestFit="1" customWidth="1"/>
    <col min="13053" max="13053" width="10" bestFit="1" customWidth="1"/>
    <col min="13054" max="13054" width="12.7109375" bestFit="1" customWidth="1"/>
    <col min="13055" max="13055" width="8.85546875" bestFit="1" customWidth="1"/>
    <col min="13056" max="13056" width="17.7109375" bestFit="1" customWidth="1"/>
    <col min="13057" max="13057" width="13" bestFit="1" customWidth="1"/>
    <col min="13058" max="13058" width="13.42578125" bestFit="1" customWidth="1"/>
    <col min="13059" max="13059" width="10.85546875" bestFit="1" customWidth="1"/>
    <col min="13060" max="13060" width="26.85546875" bestFit="1" customWidth="1"/>
    <col min="13061" max="13061" width="20.85546875" bestFit="1" customWidth="1"/>
    <col min="13062" max="13062" width="30.42578125" bestFit="1" customWidth="1"/>
    <col min="13063" max="13063" width="19.42578125" bestFit="1" customWidth="1"/>
    <col min="13064" max="13064" width="20.28515625" bestFit="1" customWidth="1"/>
    <col min="13065" max="13066" width="12" bestFit="1" customWidth="1"/>
    <col min="13067" max="13068" width="12.5703125" bestFit="1" customWidth="1"/>
    <col min="13069" max="13069" width="11.7109375" bestFit="1" customWidth="1"/>
    <col min="13070" max="13070" width="19" bestFit="1" customWidth="1"/>
    <col min="13071" max="13071" width="12.140625" bestFit="1" customWidth="1"/>
    <col min="13301" max="13301" width="15" bestFit="1" customWidth="1"/>
    <col min="13302" max="13302" width="68.28515625" bestFit="1" customWidth="1"/>
    <col min="13303" max="13303" width="9.140625" bestFit="1" customWidth="1"/>
    <col min="13304" max="13304" width="21.42578125" bestFit="1" customWidth="1"/>
    <col min="13305" max="13307" width="15.42578125" bestFit="1" customWidth="1"/>
    <col min="13308" max="13308" width="8.85546875" bestFit="1" customWidth="1"/>
    <col min="13309" max="13309" width="10" bestFit="1" customWidth="1"/>
    <col min="13310" max="13310" width="12.7109375" bestFit="1" customWidth="1"/>
    <col min="13311" max="13311" width="8.85546875" bestFit="1" customWidth="1"/>
    <col min="13312" max="13312" width="17.7109375" bestFit="1" customWidth="1"/>
    <col min="13313" max="13313" width="13" bestFit="1" customWidth="1"/>
    <col min="13314" max="13314" width="13.42578125" bestFit="1" customWidth="1"/>
    <col min="13315" max="13315" width="10.85546875" bestFit="1" customWidth="1"/>
    <col min="13316" max="13316" width="26.85546875" bestFit="1" customWidth="1"/>
    <col min="13317" max="13317" width="20.85546875" bestFit="1" customWidth="1"/>
    <col min="13318" max="13318" width="30.42578125" bestFit="1" customWidth="1"/>
    <col min="13319" max="13319" width="19.42578125" bestFit="1" customWidth="1"/>
    <col min="13320" max="13320" width="20.28515625" bestFit="1" customWidth="1"/>
    <col min="13321" max="13322" width="12" bestFit="1" customWidth="1"/>
    <col min="13323" max="13324" width="12.5703125" bestFit="1" customWidth="1"/>
    <col min="13325" max="13325" width="11.7109375" bestFit="1" customWidth="1"/>
    <col min="13326" max="13326" width="19" bestFit="1" customWidth="1"/>
    <col min="13327" max="13327" width="12.140625" bestFit="1" customWidth="1"/>
    <col min="13557" max="13557" width="15" bestFit="1" customWidth="1"/>
    <col min="13558" max="13558" width="68.28515625" bestFit="1" customWidth="1"/>
    <col min="13559" max="13559" width="9.140625" bestFit="1" customWidth="1"/>
    <col min="13560" max="13560" width="21.42578125" bestFit="1" customWidth="1"/>
    <col min="13561" max="13563" width="15.42578125" bestFit="1" customWidth="1"/>
    <col min="13564" max="13564" width="8.85546875" bestFit="1" customWidth="1"/>
    <col min="13565" max="13565" width="10" bestFit="1" customWidth="1"/>
    <col min="13566" max="13566" width="12.7109375" bestFit="1" customWidth="1"/>
    <col min="13567" max="13567" width="8.85546875" bestFit="1" customWidth="1"/>
    <col min="13568" max="13568" width="17.7109375" bestFit="1" customWidth="1"/>
    <col min="13569" max="13569" width="13" bestFit="1" customWidth="1"/>
    <col min="13570" max="13570" width="13.42578125" bestFit="1" customWidth="1"/>
    <col min="13571" max="13571" width="10.85546875" bestFit="1" customWidth="1"/>
    <col min="13572" max="13572" width="26.85546875" bestFit="1" customWidth="1"/>
    <col min="13573" max="13573" width="20.85546875" bestFit="1" customWidth="1"/>
    <col min="13574" max="13574" width="30.42578125" bestFit="1" customWidth="1"/>
    <col min="13575" max="13575" width="19.42578125" bestFit="1" customWidth="1"/>
    <col min="13576" max="13576" width="20.28515625" bestFit="1" customWidth="1"/>
    <col min="13577" max="13578" width="12" bestFit="1" customWidth="1"/>
    <col min="13579" max="13580" width="12.5703125" bestFit="1" customWidth="1"/>
    <col min="13581" max="13581" width="11.7109375" bestFit="1" customWidth="1"/>
    <col min="13582" max="13582" width="19" bestFit="1" customWidth="1"/>
    <col min="13583" max="13583" width="12.140625" bestFit="1" customWidth="1"/>
    <col min="13813" max="13813" width="15" bestFit="1" customWidth="1"/>
    <col min="13814" max="13814" width="68.28515625" bestFit="1" customWidth="1"/>
    <col min="13815" max="13815" width="9.140625" bestFit="1" customWidth="1"/>
    <col min="13816" max="13816" width="21.42578125" bestFit="1" customWidth="1"/>
    <col min="13817" max="13819" width="15.42578125" bestFit="1" customWidth="1"/>
    <col min="13820" max="13820" width="8.85546875" bestFit="1" customWidth="1"/>
    <col min="13821" max="13821" width="10" bestFit="1" customWidth="1"/>
    <col min="13822" max="13822" width="12.7109375" bestFit="1" customWidth="1"/>
    <col min="13823" max="13823" width="8.85546875" bestFit="1" customWidth="1"/>
    <col min="13824" max="13824" width="17.7109375" bestFit="1" customWidth="1"/>
    <col min="13825" max="13825" width="13" bestFit="1" customWidth="1"/>
    <col min="13826" max="13826" width="13.42578125" bestFit="1" customWidth="1"/>
    <col min="13827" max="13827" width="10.85546875" bestFit="1" customWidth="1"/>
    <col min="13828" max="13828" width="26.85546875" bestFit="1" customWidth="1"/>
    <col min="13829" max="13829" width="20.85546875" bestFit="1" customWidth="1"/>
    <col min="13830" max="13830" width="30.42578125" bestFit="1" customWidth="1"/>
    <col min="13831" max="13831" width="19.42578125" bestFit="1" customWidth="1"/>
    <col min="13832" max="13832" width="20.28515625" bestFit="1" customWidth="1"/>
    <col min="13833" max="13834" width="12" bestFit="1" customWidth="1"/>
    <col min="13835" max="13836" width="12.5703125" bestFit="1" customWidth="1"/>
    <col min="13837" max="13837" width="11.7109375" bestFit="1" customWidth="1"/>
    <col min="13838" max="13838" width="19" bestFit="1" customWidth="1"/>
    <col min="13839" max="13839" width="12.140625" bestFit="1" customWidth="1"/>
    <col min="14069" max="14069" width="15" bestFit="1" customWidth="1"/>
    <col min="14070" max="14070" width="68.28515625" bestFit="1" customWidth="1"/>
    <col min="14071" max="14071" width="9.140625" bestFit="1" customWidth="1"/>
    <col min="14072" max="14072" width="21.42578125" bestFit="1" customWidth="1"/>
    <col min="14073" max="14075" width="15.42578125" bestFit="1" customWidth="1"/>
    <col min="14076" max="14076" width="8.85546875" bestFit="1" customWidth="1"/>
    <col min="14077" max="14077" width="10" bestFit="1" customWidth="1"/>
    <col min="14078" max="14078" width="12.7109375" bestFit="1" customWidth="1"/>
    <col min="14079" max="14079" width="8.85546875" bestFit="1" customWidth="1"/>
    <col min="14080" max="14080" width="17.7109375" bestFit="1" customWidth="1"/>
    <col min="14081" max="14081" width="13" bestFit="1" customWidth="1"/>
    <col min="14082" max="14082" width="13.42578125" bestFit="1" customWidth="1"/>
    <col min="14083" max="14083" width="10.85546875" bestFit="1" customWidth="1"/>
    <col min="14084" max="14084" width="26.85546875" bestFit="1" customWidth="1"/>
    <col min="14085" max="14085" width="20.85546875" bestFit="1" customWidth="1"/>
    <col min="14086" max="14086" width="30.42578125" bestFit="1" customWidth="1"/>
    <col min="14087" max="14087" width="19.42578125" bestFit="1" customWidth="1"/>
    <col min="14088" max="14088" width="20.28515625" bestFit="1" customWidth="1"/>
    <col min="14089" max="14090" width="12" bestFit="1" customWidth="1"/>
    <col min="14091" max="14092" width="12.5703125" bestFit="1" customWidth="1"/>
    <col min="14093" max="14093" width="11.7109375" bestFit="1" customWidth="1"/>
    <col min="14094" max="14094" width="19" bestFit="1" customWidth="1"/>
    <col min="14095" max="14095" width="12.140625" bestFit="1" customWidth="1"/>
    <col min="14325" max="14325" width="15" bestFit="1" customWidth="1"/>
    <col min="14326" max="14326" width="68.28515625" bestFit="1" customWidth="1"/>
    <col min="14327" max="14327" width="9.140625" bestFit="1" customWidth="1"/>
    <col min="14328" max="14328" width="21.42578125" bestFit="1" customWidth="1"/>
    <col min="14329" max="14331" width="15.42578125" bestFit="1" customWidth="1"/>
    <col min="14332" max="14332" width="8.85546875" bestFit="1" customWidth="1"/>
    <col min="14333" max="14333" width="10" bestFit="1" customWidth="1"/>
    <col min="14334" max="14334" width="12.7109375" bestFit="1" customWidth="1"/>
    <col min="14335" max="14335" width="8.85546875" bestFit="1" customWidth="1"/>
    <col min="14336" max="14336" width="17.7109375" bestFit="1" customWidth="1"/>
    <col min="14337" max="14337" width="13" bestFit="1" customWidth="1"/>
    <col min="14338" max="14338" width="13.42578125" bestFit="1" customWidth="1"/>
    <col min="14339" max="14339" width="10.85546875" bestFit="1" customWidth="1"/>
    <col min="14340" max="14340" width="26.85546875" bestFit="1" customWidth="1"/>
    <col min="14341" max="14341" width="20.85546875" bestFit="1" customWidth="1"/>
    <col min="14342" max="14342" width="30.42578125" bestFit="1" customWidth="1"/>
    <col min="14343" max="14343" width="19.42578125" bestFit="1" customWidth="1"/>
    <col min="14344" max="14344" width="20.28515625" bestFit="1" customWidth="1"/>
    <col min="14345" max="14346" width="12" bestFit="1" customWidth="1"/>
    <col min="14347" max="14348" width="12.5703125" bestFit="1" customWidth="1"/>
    <col min="14349" max="14349" width="11.7109375" bestFit="1" customWidth="1"/>
    <col min="14350" max="14350" width="19" bestFit="1" customWidth="1"/>
    <col min="14351" max="14351" width="12.140625" bestFit="1" customWidth="1"/>
    <col min="14581" max="14581" width="15" bestFit="1" customWidth="1"/>
    <col min="14582" max="14582" width="68.28515625" bestFit="1" customWidth="1"/>
    <col min="14583" max="14583" width="9.140625" bestFit="1" customWidth="1"/>
    <col min="14584" max="14584" width="21.42578125" bestFit="1" customWidth="1"/>
    <col min="14585" max="14587" width="15.42578125" bestFit="1" customWidth="1"/>
    <col min="14588" max="14588" width="8.85546875" bestFit="1" customWidth="1"/>
    <col min="14589" max="14589" width="10" bestFit="1" customWidth="1"/>
    <col min="14590" max="14590" width="12.7109375" bestFit="1" customWidth="1"/>
    <col min="14591" max="14591" width="8.85546875" bestFit="1" customWidth="1"/>
    <col min="14592" max="14592" width="17.7109375" bestFit="1" customWidth="1"/>
    <col min="14593" max="14593" width="13" bestFit="1" customWidth="1"/>
    <col min="14594" max="14594" width="13.42578125" bestFit="1" customWidth="1"/>
    <col min="14595" max="14595" width="10.85546875" bestFit="1" customWidth="1"/>
    <col min="14596" max="14596" width="26.85546875" bestFit="1" customWidth="1"/>
    <col min="14597" max="14597" width="20.85546875" bestFit="1" customWidth="1"/>
    <col min="14598" max="14598" width="30.42578125" bestFit="1" customWidth="1"/>
    <col min="14599" max="14599" width="19.42578125" bestFit="1" customWidth="1"/>
    <col min="14600" max="14600" width="20.28515625" bestFit="1" customWidth="1"/>
    <col min="14601" max="14602" width="12" bestFit="1" customWidth="1"/>
    <col min="14603" max="14604" width="12.5703125" bestFit="1" customWidth="1"/>
    <col min="14605" max="14605" width="11.7109375" bestFit="1" customWidth="1"/>
    <col min="14606" max="14606" width="19" bestFit="1" customWidth="1"/>
    <col min="14607" max="14607" width="12.140625" bestFit="1" customWidth="1"/>
    <col min="14837" max="14837" width="15" bestFit="1" customWidth="1"/>
    <col min="14838" max="14838" width="68.28515625" bestFit="1" customWidth="1"/>
    <col min="14839" max="14839" width="9.140625" bestFit="1" customWidth="1"/>
    <col min="14840" max="14840" width="21.42578125" bestFit="1" customWidth="1"/>
    <col min="14841" max="14843" width="15.42578125" bestFit="1" customWidth="1"/>
    <col min="14844" max="14844" width="8.85546875" bestFit="1" customWidth="1"/>
    <col min="14845" max="14845" width="10" bestFit="1" customWidth="1"/>
    <col min="14846" max="14846" width="12.7109375" bestFit="1" customWidth="1"/>
    <col min="14847" max="14847" width="8.85546875" bestFit="1" customWidth="1"/>
    <col min="14848" max="14848" width="17.7109375" bestFit="1" customWidth="1"/>
    <col min="14849" max="14849" width="13" bestFit="1" customWidth="1"/>
    <col min="14850" max="14850" width="13.42578125" bestFit="1" customWidth="1"/>
    <col min="14851" max="14851" width="10.85546875" bestFit="1" customWidth="1"/>
    <col min="14852" max="14852" width="26.85546875" bestFit="1" customWidth="1"/>
    <col min="14853" max="14853" width="20.85546875" bestFit="1" customWidth="1"/>
    <col min="14854" max="14854" width="30.42578125" bestFit="1" customWidth="1"/>
    <col min="14855" max="14855" width="19.42578125" bestFit="1" customWidth="1"/>
    <col min="14856" max="14856" width="20.28515625" bestFit="1" customWidth="1"/>
    <col min="14857" max="14858" width="12" bestFit="1" customWidth="1"/>
    <col min="14859" max="14860" width="12.5703125" bestFit="1" customWidth="1"/>
    <col min="14861" max="14861" width="11.7109375" bestFit="1" customWidth="1"/>
    <col min="14862" max="14862" width="19" bestFit="1" customWidth="1"/>
    <col min="14863" max="14863" width="12.140625" bestFit="1" customWidth="1"/>
    <col min="15093" max="15093" width="15" bestFit="1" customWidth="1"/>
    <col min="15094" max="15094" width="68.28515625" bestFit="1" customWidth="1"/>
    <col min="15095" max="15095" width="9.140625" bestFit="1" customWidth="1"/>
    <col min="15096" max="15096" width="21.42578125" bestFit="1" customWidth="1"/>
    <col min="15097" max="15099" width="15.42578125" bestFit="1" customWidth="1"/>
    <col min="15100" max="15100" width="8.85546875" bestFit="1" customWidth="1"/>
    <col min="15101" max="15101" width="10" bestFit="1" customWidth="1"/>
    <col min="15102" max="15102" width="12.7109375" bestFit="1" customWidth="1"/>
    <col min="15103" max="15103" width="8.85546875" bestFit="1" customWidth="1"/>
    <col min="15104" max="15104" width="17.7109375" bestFit="1" customWidth="1"/>
    <col min="15105" max="15105" width="13" bestFit="1" customWidth="1"/>
    <col min="15106" max="15106" width="13.42578125" bestFit="1" customWidth="1"/>
    <col min="15107" max="15107" width="10.85546875" bestFit="1" customWidth="1"/>
    <col min="15108" max="15108" width="26.85546875" bestFit="1" customWidth="1"/>
    <col min="15109" max="15109" width="20.85546875" bestFit="1" customWidth="1"/>
    <col min="15110" max="15110" width="30.42578125" bestFit="1" customWidth="1"/>
    <col min="15111" max="15111" width="19.42578125" bestFit="1" customWidth="1"/>
    <col min="15112" max="15112" width="20.28515625" bestFit="1" customWidth="1"/>
    <col min="15113" max="15114" width="12" bestFit="1" customWidth="1"/>
    <col min="15115" max="15116" width="12.5703125" bestFit="1" customWidth="1"/>
    <col min="15117" max="15117" width="11.7109375" bestFit="1" customWidth="1"/>
    <col min="15118" max="15118" width="19" bestFit="1" customWidth="1"/>
    <col min="15119" max="15119" width="12.140625" bestFit="1" customWidth="1"/>
    <col min="15349" max="15349" width="15" bestFit="1" customWidth="1"/>
    <col min="15350" max="15350" width="68.28515625" bestFit="1" customWidth="1"/>
    <col min="15351" max="15351" width="9.140625" bestFit="1" customWidth="1"/>
    <col min="15352" max="15352" width="21.42578125" bestFit="1" customWidth="1"/>
    <col min="15353" max="15355" width="15.42578125" bestFit="1" customWidth="1"/>
    <col min="15356" max="15356" width="8.85546875" bestFit="1" customWidth="1"/>
    <col min="15357" max="15357" width="10" bestFit="1" customWidth="1"/>
    <col min="15358" max="15358" width="12.7109375" bestFit="1" customWidth="1"/>
    <col min="15359" max="15359" width="8.85546875" bestFit="1" customWidth="1"/>
    <col min="15360" max="15360" width="17.7109375" bestFit="1" customWidth="1"/>
    <col min="15361" max="15361" width="13" bestFit="1" customWidth="1"/>
    <col min="15362" max="15362" width="13.42578125" bestFit="1" customWidth="1"/>
    <col min="15363" max="15363" width="10.85546875" bestFit="1" customWidth="1"/>
    <col min="15364" max="15364" width="26.85546875" bestFit="1" customWidth="1"/>
    <col min="15365" max="15365" width="20.85546875" bestFit="1" customWidth="1"/>
    <col min="15366" max="15366" width="30.42578125" bestFit="1" customWidth="1"/>
    <col min="15367" max="15367" width="19.42578125" bestFit="1" customWidth="1"/>
    <col min="15368" max="15368" width="20.28515625" bestFit="1" customWidth="1"/>
    <col min="15369" max="15370" width="12" bestFit="1" customWidth="1"/>
    <col min="15371" max="15372" width="12.5703125" bestFit="1" customWidth="1"/>
    <col min="15373" max="15373" width="11.7109375" bestFit="1" customWidth="1"/>
    <col min="15374" max="15374" width="19" bestFit="1" customWidth="1"/>
    <col min="15375" max="15375" width="12.140625" bestFit="1" customWidth="1"/>
    <col min="15605" max="15605" width="15" bestFit="1" customWidth="1"/>
    <col min="15606" max="15606" width="68.28515625" bestFit="1" customWidth="1"/>
    <col min="15607" max="15607" width="9.140625" bestFit="1" customWidth="1"/>
    <col min="15608" max="15608" width="21.42578125" bestFit="1" customWidth="1"/>
    <col min="15609" max="15611" width="15.42578125" bestFit="1" customWidth="1"/>
    <col min="15612" max="15612" width="8.85546875" bestFit="1" customWidth="1"/>
    <col min="15613" max="15613" width="10" bestFit="1" customWidth="1"/>
    <col min="15614" max="15614" width="12.7109375" bestFit="1" customWidth="1"/>
    <col min="15615" max="15615" width="8.85546875" bestFit="1" customWidth="1"/>
    <col min="15616" max="15616" width="17.7109375" bestFit="1" customWidth="1"/>
    <col min="15617" max="15617" width="13" bestFit="1" customWidth="1"/>
    <col min="15618" max="15618" width="13.42578125" bestFit="1" customWidth="1"/>
    <col min="15619" max="15619" width="10.85546875" bestFit="1" customWidth="1"/>
    <col min="15620" max="15620" width="26.85546875" bestFit="1" customWidth="1"/>
    <col min="15621" max="15621" width="20.85546875" bestFit="1" customWidth="1"/>
    <col min="15622" max="15622" width="30.42578125" bestFit="1" customWidth="1"/>
    <col min="15623" max="15623" width="19.42578125" bestFit="1" customWidth="1"/>
    <col min="15624" max="15624" width="20.28515625" bestFit="1" customWidth="1"/>
    <col min="15625" max="15626" width="12" bestFit="1" customWidth="1"/>
    <col min="15627" max="15628" width="12.5703125" bestFit="1" customWidth="1"/>
    <col min="15629" max="15629" width="11.7109375" bestFit="1" customWidth="1"/>
    <col min="15630" max="15630" width="19" bestFit="1" customWidth="1"/>
    <col min="15631" max="15631" width="12.140625" bestFit="1" customWidth="1"/>
    <col min="15861" max="15861" width="15" bestFit="1" customWidth="1"/>
    <col min="15862" max="15862" width="68.28515625" bestFit="1" customWidth="1"/>
    <col min="15863" max="15863" width="9.140625" bestFit="1" customWidth="1"/>
    <col min="15864" max="15864" width="21.42578125" bestFit="1" customWidth="1"/>
    <col min="15865" max="15867" width="15.42578125" bestFit="1" customWidth="1"/>
    <col min="15868" max="15868" width="8.85546875" bestFit="1" customWidth="1"/>
    <col min="15869" max="15869" width="10" bestFit="1" customWidth="1"/>
    <col min="15870" max="15870" width="12.7109375" bestFit="1" customWidth="1"/>
    <col min="15871" max="15871" width="8.85546875" bestFit="1" customWidth="1"/>
    <col min="15872" max="15872" width="17.7109375" bestFit="1" customWidth="1"/>
    <col min="15873" max="15873" width="13" bestFit="1" customWidth="1"/>
    <col min="15874" max="15874" width="13.42578125" bestFit="1" customWidth="1"/>
    <col min="15875" max="15875" width="10.85546875" bestFit="1" customWidth="1"/>
    <col min="15876" max="15876" width="26.85546875" bestFit="1" customWidth="1"/>
    <col min="15877" max="15877" width="20.85546875" bestFit="1" customWidth="1"/>
    <col min="15878" max="15878" width="30.42578125" bestFit="1" customWidth="1"/>
    <col min="15879" max="15879" width="19.42578125" bestFit="1" customWidth="1"/>
    <col min="15880" max="15880" width="20.28515625" bestFit="1" customWidth="1"/>
    <col min="15881" max="15882" width="12" bestFit="1" customWidth="1"/>
    <col min="15883" max="15884" width="12.5703125" bestFit="1" customWidth="1"/>
    <col min="15885" max="15885" width="11.7109375" bestFit="1" customWidth="1"/>
    <col min="15886" max="15886" width="19" bestFit="1" customWidth="1"/>
    <col min="15887" max="15887" width="12.140625" bestFit="1" customWidth="1"/>
    <col min="16117" max="16117" width="15" bestFit="1" customWidth="1"/>
    <col min="16118" max="16118" width="68.28515625" bestFit="1" customWidth="1"/>
    <col min="16119" max="16119" width="9.140625" bestFit="1" customWidth="1"/>
    <col min="16120" max="16120" width="21.42578125" bestFit="1" customWidth="1"/>
    <col min="16121" max="16123" width="15.42578125" bestFit="1" customWidth="1"/>
    <col min="16124" max="16124" width="8.85546875" bestFit="1" customWidth="1"/>
    <col min="16125" max="16125" width="10" bestFit="1" customWidth="1"/>
    <col min="16126" max="16126" width="12.7109375" bestFit="1" customWidth="1"/>
    <col min="16127" max="16127" width="8.85546875" bestFit="1" customWidth="1"/>
    <col min="16128" max="16128" width="17.7109375" bestFit="1" customWidth="1"/>
    <col min="16129" max="16129" width="13" bestFit="1" customWidth="1"/>
    <col min="16130" max="16130" width="13.42578125" bestFit="1" customWidth="1"/>
    <col min="16131" max="16131" width="10.85546875" bestFit="1" customWidth="1"/>
    <col min="16132" max="16132" width="26.85546875" bestFit="1" customWidth="1"/>
    <col min="16133" max="16133" width="20.85546875" bestFit="1" customWidth="1"/>
    <col min="16134" max="16134" width="30.42578125" bestFit="1" customWidth="1"/>
    <col min="16135" max="16135" width="19.42578125" bestFit="1" customWidth="1"/>
    <col min="16136" max="16136" width="20.28515625" bestFit="1" customWidth="1"/>
    <col min="16137" max="16138" width="12" bestFit="1" customWidth="1"/>
    <col min="16139" max="16140" width="12.5703125" bestFit="1" customWidth="1"/>
    <col min="16141" max="16141" width="11.7109375" bestFit="1" customWidth="1"/>
    <col min="16142" max="16142" width="19" bestFit="1" customWidth="1"/>
    <col min="16143" max="16143" width="12.140625" bestFit="1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72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32" t="s">
        <v>8676</v>
      </c>
      <c r="N1" s="63" t="s">
        <v>8677</v>
      </c>
      <c r="O1" s="10" t="s">
        <v>8678</v>
      </c>
      <c r="P1" s="12" t="s">
        <v>8679</v>
      </c>
      <c r="Q1" s="12" t="s">
        <v>8680</v>
      </c>
      <c r="R1" s="12" t="s">
        <v>8681</v>
      </c>
      <c r="S1" s="12" t="s">
        <v>8682</v>
      </c>
      <c r="T1" s="12" t="s">
        <v>11761</v>
      </c>
      <c r="U1" s="12" t="s">
        <v>8684</v>
      </c>
      <c r="V1" s="12" t="s">
        <v>8685</v>
      </c>
      <c r="W1" s="12" t="s">
        <v>8687</v>
      </c>
      <c r="X1" s="82" t="s">
        <v>8688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x14ac:dyDescent="0.25">
      <c r="A2" s="24" t="s">
        <v>12578</v>
      </c>
      <c r="C2" t="str">
        <f t="shared" ref="C2:C9" si="0">CONCATENATE(LEFT(Q2,3),RIGHT(A2,8))</f>
        <v>KIO1</v>
      </c>
      <c r="D2" t="s">
        <v>8689</v>
      </c>
      <c r="E2" s="1" t="s">
        <v>12040</v>
      </c>
      <c r="F2" s="61">
        <v>1</v>
      </c>
      <c r="G2" s="3">
        <v>0</v>
      </c>
      <c r="H2" s="3">
        <v>0</v>
      </c>
      <c r="I2">
        <v>1</v>
      </c>
      <c r="J2">
        <v>1</v>
      </c>
      <c r="L2" s="57">
        <f>((ARTICULOS_PROMOCIONES[[#This Row],[P. Compra]]*(1+ARTICULOS_PROMOCIONES[[#This Row],[IVA]]))/ARTICULOS_PROMOCIONES[[#This Row],[UnidFact]])+ARTICULOS_PROMOCIONES[[#This Row],[CostoFlete]]</f>
        <v>1</v>
      </c>
      <c r="M2" s="60">
        <v>9</v>
      </c>
      <c r="N2" s="63">
        <f>ARTICULOS_PROMOCIONES[[#This Row],[Costo]]/(1-(ARTICULOS_PROMOCIONES[[#This Row],[Util]]/100))</f>
        <v>1.0989010989010988</v>
      </c>
      <c r="O2" s="3">
        <f>MROUND((ARTICULOS_LADIAR[[#This Row],[Precio]]/0.6),50)</f>
        <v>4250</v>
      </c>
      <c r="P2" t="s">
        <v>26</v>
      </c>
      <c r="Q2" t="s">
        <v>27</v>
      </c>
      <c r="R2" t="s">
        <v>26</v>
      </c>
      <c r="S2" t="s">
        <v>8691</v>
      </c>
      <c r="T2" t="s">
        <v>8692</v>
      </c>
      <c r="U2">
        <v>1</v>
      </c>
      <c r="V2" s="30" t="s">
        <v>8693</v>
      </c>
      <c r="W2">
        <v>2500</v>
      </c>
      <c r="X2" s="42">
        <f>ARTICULOS_PROMOCIONES[[#This Row],[Minimo]]+ARTICULOS_PROMOCIONES[[#This Row],[Bulto]]</f>
        <v>2501</v>
      </c>
      <c r="Z2" s="3"/>
      <c r="AA2"/>
      <c r="AB2" s="80">
        <f>ARTICULOS_OSLE[[#This Row],[Costo]]*ARTICULOS_OSLE[[#This Row],[Pedido]]</f>
        <v>0</v>
      </c>
      <c r="AC2"/>
      <c r="AF2" s="2"/>
      <c r="AH2" s="2" t="str">
        <f>IF(AND(ARTICULOS_OSLE[[#This Row],[FechaVenc]]=0,ARTICULOS_OSLE[[#This Row],[DiasVenc]]=0),"",ARTICULOS_OSLE[[#This Row],[FechaVenc]]-ARTICULOS_OSLE[[#This Row],[DiasVenc]])</f>
        <v/>
      </c>
      <c r="AI2"/>
      <c r="AK2"/>
    </row>
    <row r="3" spans="1:43" x14ac:dyDescent="0.25">
      <c r="A3" s="1" t="s">
        <v>8696</v>
      </c>
      <c r="C3" t="str">
        <f t="shared" si="0"/>
        <v>PRO1001</v>
      </c>
      <c r="D3" t="s">
        <v>8689</v>
      </c>
      <c r="E3" s="24" t="s">
        <v>11416</v>
      </c>
      <c r="F3" s="61">
        <v>1200</v>
      </c>
      <c r="G3" s="3">
        <v>0</v>
      </c>
      <c r="H3" s="3">
        <v>0</v>
      </c>
      <c r="I3">
        <v>48</v>
      </c>
      <c r="J3">
        <v>1</v>
      </c>
      <c r="L3" s="57">
        <f>((ARTICULOS_PROMOCIONES[[#This Row],[P. Compra]]*(1+ARTICULOS_PROMOCIONES[[#This Row],[IVA]]))/ARTICULOS_PROMOCIONES[[#This Row],[UnidFact]])+ARTICULOS_PROMOCIONES[[#This Row],[CostoFlete]]</f>
        <v>1200</v>
      </c>
      <c r="M3" s="60">
        <v>50</v>
      </c>
      <c r="N3" s="63">
        <f>ARTICULOS_PROMOCIONES[[#This Row],[Costo]]/(1-(ARTICULOS_PROMOCIONES[[#This Row],[Util]]/100))</f>
        <v>2400</v>
      </c>
      <c r="O3" s="3">
        <f>MROUND((ARTICULOS_LADIAR[[#This Row],[Precio]]/0.6),50)</f>
        <v>4250</v>
      </c>
      <c r="P3" t="s">
        <v>26</v>
      </c>
      <c r="Q3" t="s">
        <v>36</v>
      </c>
      <c r="R3" t="s">
        <v>37</v>
      </c>
      <c r="S3" t="s">
        <v>8691</v>
      </c>
      <c r="T3" t="s">
        <v>8692</v>
      </c>
      <c r="U3">
        <v>1</v>
      </c>
      <c r="V3" s="30" t="s">
        <v>8693</v>
      </c>
      <c r="W3">
        <v>6</v>
      </c>
      <c r="X3" s="42">
        <f>ARTICULOS_PROMOCIONES[[#This Row],[Minimo]]+ARTICULOS_PROMOCIONES[[#This Row],[Bulto]]</f>
        <v>54</v>
      </c>
      <c r="Z3" s="3"/>
      <c r="AA3"/>
      <c r="AB3" s="80">
        <f>ARTICULOS_OSLE[[#This Row],[Costo]]*ARTICULOS_OSLE[[#This Row],[Pedido]]</f>
        <v>0</v>
      </c>
      <c r="AC3"/>
      <c r="AF3"/>
      <c r="AH3" s="2" t="str">
        <f>IF(AND(ARTICULOS_OSLE[[#This Row],[FechaVenc]]=0,ARTICULOS_OSLE[[#This Row],[DiasVenc]]=0),"",ARTICULOS_OSLE[[#This Row],[FechaVenc]]-ARTICULOS_OSLE[[#This Row],[DiasVenc]])</f>
        <v/>
      </c>
      <c r="AI3"/>
      <c r="AK3"/>
    </row>
    <row r="4" spans="1:43" x14ac:dyDescent="0.25">
      <c r="A4" s="1" t="s">
        <v>8694</v>
      </c>
      <c r="C4" t="str">
        <f t="shared" si="0"/>
        <v>PRO1002</v>
      </c>
      <c r="D4" t="s">
        <v>8689</v>
      </c>
      <c r="E4" s="1" t="s">
        <v>8695</v>
      </c>
      <c r="F4" s="61">
        <v>1500</v>
      </c>
      <c r="G4" s="3">
        <v>0</v>
      </c>
      <c r="H4" s="3">
        <v>0</v>
      </c>
      <c r="I4">
        <v>10</v>
      </c>
      <c r="J4">
        <v>1</v>
      </c>
      <c r="L4" s="57">
        <f>((ARTICULOS_PROMOCIONES[[#This Row],[P. Compra]]*(1+ARTICULOS_PROMOCIONES[[#This Row],[IVA]]))/ARTICULOS_PROMOCIONES[[#This Row],[UnidFact]])+ARTICULOS_PROMOCIONES[[#This Row],[CostoFlete]]</f>
        <v>1500</v>
      </c>
      <c r="M4" s="60">
        <v>50</v>
      </c>
      <c r="N4" s="63">
        <f>ARTICULOS_PROMOCIONES[[#This Row],[Costo]]/(1-(ARTICULOS_PROMOCIONES[[#This Row],[Util]]/100))</f>
        <v>3000</v>
      </c>
      <c r="O4" s="3">
        <f>MROUND((ARTICULOS_LADIAR[[#This Row],[Precio]]/0.6),50)</f>
        <v>1250</v>
      </c>
      <c r="P4" t="s">
        <v>26</v>
      </c>
      <c r="Q4" t="s">
        <v>36</v>
      </c>
      <c r="R4" t="s">
        <v>37</v>
      </c>
      <c r="S4" t="s">
        <v>8691</v>
      </c>
      <c r="T4" t="s">
        <v>8692</v>
      </c>
      <c r="U4">
        <v>1</v>
      </c>
      <c r="V4" s="30" t="s">
        <v>8693</v>
      </c>
      <c r="W4">
        <v>3</v>
      </c>
      <c r="X4" s="42">
        <f>ARTICULOS_PROMOCIONES[[#This Row],[Minimo]]+ARTICULOS_PROMOCIONES[[#This Row],[Bulto]]</f>
        <v>13</v>
      </c>
      <c r="Z4" s="3"/>
      <c r="AA4"/>
      <c r="AB4" s="80">
        <f>ARTICULOS_OSLE[[#This Row],[Costo]]*ARTICULOS_OSLE[[#This Row],[Pedido]]</f>
        <v>0</v>
      </c>
      <c r="AC4"/>
      <c r="AF4"/>
      <c r="AH4" s="2" t="str">
        <f>IF(AND(ARTICULOS_OSLE[[#This Row],[FechaVenc]]=0,ARTICULOS_OSLE[[#This Row],[DiasVenc]]=0),"",ARTICULOS_OSLE[[#This Row],[FechaVenc]]-ARTICULOS_OSLE[[#This Row],[DiasVenc]])</f>
        <v/>
      </c>
      <c r="AI4"/>
      <c r="AK4"/>
    </row>
    <row r="5" spans="1:43" x14ac:dyDescent="0.25">
      <c r="A5" s="24" t="s">
        <v>12602</v>
      </c>
      <c r="C5" t="str">
        <f t="shared" si="0"/>
        <v>KIO2</v>
      </c>
      <c r="D5" t="s">
        <v>8689</v>
      </c>
      <c r="E5" s="1" t="s">
        <v>8703</v>
      </c>
      <c r="F5" s="61">
        <v>10</v>
      </c>
      <c r="G5" s="3">
        <v>0</v>
      </c>
      <c r="H5" s="3">
        <v>0</v>
      </c>
      <c r="I5">
        <v>0</v>
      </c>
      <c r="J5">
        <v>1</v>
      </c>
      <c r="K5" s="54"/>
      <c r="L5" s="57">
        <f>((ARTICULOS_PROMOCIONES[[#This Row],[P. Compra]]*(1+ARTICULOS_PROMOCIONES[[#This Row],[IVA]]))/ARTICULOS_PROMOCIONES[[#This Row],[UnidFact]])+ARTICULOS_PROMOCIONES[[#This Row],[CostoFlete]]</f>
        <v>10</v>
      </c>
      <c r="M5" s="60">
        <v>500</v>
      </c>
      <c r="N5" s="63">
        <v>500</v>
      </c>
      <c r="O5" s="3">
        <f>MROUND((ARTICULOS_LADIAR[[#This Row],[Precio]]/0.6),50)</f>
        <v>1250</v>
      </c>
      <c r="P5" t="s">
        <v>44</v>
      </c>
      <c r="Q5" t="s">
        <v>27</v>
      </c>
      <c r="R5" t="s">
        <v>48</v>
      </c>
      <c r="S5" t="s">
        <v>8691</v>
      </c>
      <c r="T5" t="s">
        <v>8692</v>
      </c>
      <c r="U5">
        <v>1</v>
      </c>
      <c r="V5" s="30" t="s">
        <v>8693</v>
      </c>
      <c r="W5">
        <v>0</v>
      </c>
      <c r="X5" s="42">
        <f>ARTICULOS_PROMOCIONES[[#This Row],[Minimo]]+ARTICULOS_PROMOCIONES[[#This Row],[Bulto]]</f>
        <v>0</v>
      </c>
      <c r="AA5"/>
      <c r="AB5" s="80">
        <f>ARTICULOS_OSLE[[#This Row],[Costo]]*ARTICULOS_OSLE[[#This Row],[Pedido]]</f>
        <v>0</v>
      </c>
      <c r="AC5"/>
      <c r="AF5"/>
      <c r="AH5" s="2" t="str">
        <f>IF(AND(ARTICULOS_OSLE[[#This Row],[FechaVenc]]=0,ARTICULOS_OSLE[[#This Row],[DiasVenc]]=0),"",ARTICULOS_OSLE[[#This Row],[FechaVenc]]-ARTICULOS_OSLE[[#This Row],[DiasVenc]])</f>
        <v/>
      </c>
      <c r="AI5"/>
      <c r="AK5"/>
    </row>
    <row r="6" spans="1:43" x14ac:dyDescent="0.25">
      <c r="A6" s="1" t="s">
        <v>8699</v>
      </c>
      <c r="C6" t="str">
        <f t="shared" si="0"/>
        <v>PRO1004</v>
      </c>
      <c r="D6" t="s">
        <v>8689</v>
      </c>
      <c r="E6" s="1" t="s">
        <v>8700</v>
      </c>
      <c r="F6" s="61">
        <f>VENEZOLANO!J29*4</f>
        <v>2520</v>
      </c>
      <c r="G6" s="3">
        <v>0</v>
      </c>
      <c r="H6" s="3">
        <v>0</v>
      </c>
      <c r="I6">
        <v>4</v>
      </c>
      <c r="J6">
        <v>4</v>
      </c>
      <c r="L6" s="57">
        <f>((ARTICULOS_PROMOCIONES[[#This Row],[P. Compra]]*(1+ARTICULOS_PROMOCIONES[[#This Row],[IVA]]))/ARTICULOS_PROMOCIONES[[#This Row],[UnidFact]])+ARTICULOS_PROMOCIONES[[#This Row],[CostoFlete]]</f>
        <v>630</v>
      </c>
      <c r="M6" s="60">
        <v>150</v>
      </c>
      <c r="N6" s="63">
        <f>ARTICULOS_PROMOCIONES[[#This Row],[Costo]]/(1-(ARTICULOS_PROMOCIONES[[#This Row],[Util]]/100))</f>
        <v>-1260</v>
      </c>
      <c r="O6" s="3">
        <f>MROUND((ARTICULOS_LADIAR[[#This Row],[Precio]]/0.6),50)</f>
        <v>1250</v>
      </c>
      <c r="P6" t="s">
        <v>26</v>
      </c>
      <c r="Q6" t="s">
        <v>36</v>
      </c>
      <c r="R6" t="s">
        <v>37</v>
      </c>
      <c r="S6" t="s">
        <v>8691</v>
      </c>
      <c r="T6" t="s">
        <v>8692</v>
      </c>
      <c r="U6">
        <v>1</v>
      </c>
      <c r="V6" s="30" t="s">
        <v>8693</v>
      </c>
      <c r="W6">
        <v>0</v>
      </c>
      <c r="X6" s="42">
        <f>ARTICULOS_PROMOCIONES[[#This Row],[Minimo]]+ARTICULOS_PROMOCIONES[[#This Row],[Bulto]]</f>
        <v>4</v>
      </c>
      <c r="Z6" s="3"/>
      <c r="AA6"/>
      <c r="AB6" s="80">
        <f>ARTICULOS_OSLE[[#This Row],[Costo]]*ARTICULOS_OSLE[[#This Row],[Pedido]]</f>
        <v>13950</v>
      </c>
      <c r="AC6"/>
      <c r="AF6"/>
      <c r="AH6" s="2" t="str">
        <f>IF(AND(ARTICULOS_OSLE[[#This Row],[FechaVenc]]=0,ARTICULOS_OSLE[[#This Row],[DiasVenc]]=0),"",ARTICULOS_OSLE[[#This Row],[FechaVenc]]-ARTICULOS_OSLE[[#This Row],[DiasVenc]])</f>
        <v/>
      </c>
      <c r="AI6"/>
      <c r="AK6"/>
    </row>
    <row r="7" spans="1:43" x14ac:dyDescent="0.25">
      <c r="A7" s="24" t="s">
        <v>12603</v>
      </c>
      <c r="C7" t="str">
        <f t="shared" si="0"/>
        <v>KIO10</v>
      </c>
      <c r="D7" t="s">
        <v>8689</v>
      </c>
      <c r="E7" s="24" t="s">
        <v>11409</v>
      </c>
      <c r="F7" s="61">
        <v>1300</v>
      </c>
      <c r="G7" s="3">
        <v>0</v>
      </c>
      <c r="H7" s="3">
        <v>0</v>
      </c>
      <c r="I7">
        <v>20</v>
      </c>
      <c r="J7">
        <v>1</v>
      </c>
      <c r="K7" s="54"/>
      <c r="L7" s="57">
        <f>((ARTICULOS_PROMOCIONES[[#This Row],[P. Compra]]*(1+ARTICULOS_PROMOCIONES[[#This Row],[IVA]]))/ARTICULOS_PROMOCIONES[[#This Row],[UnidFact]])+ARTICULOS_PROMOCIONES[[#This Row],[CostoFlete]]</f>
        <v>1300</v>
      </c>
      <c r="M7" s="60">
        <v>50</v>
      </c>
      <c r="N7" s="63">
        <f>ARTICULOS_PROMOCIONES[[#This Row],[Costo]]/(1-(ARTICULOS_PROMOCIONES[[#This Row],[Util]]/100))</f>
        <v>2600</v>
      </c>
      <c r="O7" s="3">
        <f>MROUND((ARTICULOS_LADIAR[[#This Row],[Precio]]/0.6),50)</f>
        <v>1250</v>
      </c>
      <c r="P7" t="s">
        <v>26</v>
      </c>
      <c r="Q7" t="s">
        <v>27</v>
      </c>
      <c r="R7" t="s">
        <v>37</v>
      </c>
      <c r="S7" t="s">
        <v>8691</v>
      </c>
      <c r="T7" t="s">
        <v>8692</v>
      </c>
      <c r="U7">
        <v>1</v>
      </c>
      <c r="V7" s="30" t="s">
        <v>8693</v>
      </c>
      <c r="W7">
        <v>5</v>
      </c>
      <c r="X7" s="42">
        <f>ARTICULOS_PROMOCIONES[[#This Row],[Minimo]]+ARTICULOS_PROMOCIONES[[#This Row],[Bulto]]</f>
        <v>25</v>
      </c>
      <c r="AA7"/>
      <c r="AB7" s="80">
        <f>ARTICULOS_OSLE[[#This Row],[Costo]]*ARTICULOS_OSLE[[#This Row],[Pedido]]</f>
        <v>18600</v>
      </c>
      <c r="AC7"/>
      <c r="AF7"/>
      <c r="AH7" s="2" t="str">
        <f>IF(AND(ARTICULOS_OSLE[[#This Row],[FechaVenc]]=0,ARTICULOS_OSLE[[#This Row],[DiasVenc]]=0),"",ARTICULOS_OSLE[[#This Row],[FechaVenc]]-ARTICULOS_OSLE[[#This Row],[DiasVenc]])</f>
        <v/>
      </c>
      <c r="AI7"/>
      <c r="AK7"/>
    </row>
    <row r="8" spans="1:43" x14ac:dyDescent="0.25">
      <c r="A8" s="1" t="s">
        <v>8701</v>
      </c>
      <c r="C8" t="str">
        <f t="shared" si="0"/>
        <v>PRO1006</v>
      </c>
      <c r="D8" t="s">
        <v>8689</v>
      </c>
      <c r="E8" s="1" t="s">
        <v>8702</v>
      </c>
      <c r="F8" s="61">
        <v>3000</v>
      </c>
      <c r="G8" s="3">
        <v>0</v>
      </c>
      <c r="H8" s="3">
        <v>0</v>
      </c>
      <c r="I8">
        <v>6</v>
      </c>
      <c r="J8">
        <v>1</v>
      </c>
      <c r="L8" s="57">
        <f>((ARTICULOS_PROMOCIONES[[#This Row],[P. Compra]]*(1+ARTICULOS_PROMOCIONES[[#This Row],[IVA]]))/ARTICULOS_PROMOCIONES[[#This Row],[UnidFact]])+ARTICULOS_PROMOCIONES[[#This Row],[CostoFlete]]</f>
        <v>3000</v>
      </c>
      <c r="M8" s="60">
        <v>99</v>
      </c>
      <c r="N8" s="63">
        <f>ARTICULOS_PROMOCIONES[[#This Row],[Costo]]/(1-(ARTICULOS_PROMOCIONES[[#This Row],[Util]]/100))</f>
        <v>299999.99999999971</v>
      </c>
      <c r="O8" s="3">
        <f>MROUND((ARTICULOS_LADIAR[[#This Row],[Precio]]/0.6),50)</f>
        <v>1250</v>
      </c>
      <c r="P8" t="s">
        <v>26</v>
      </c>
      <c r="Q8" t="s">
        <v>36</v>
      </c>
      <c r="R8" t="s">
        <v>37</v>
      </c>
      <c r="S8" t="s">
        <v>8691</v>
      </c>
      <c r="T8" t="s">
        <v>8692</v>
      </c>
      <c r="U8">
        <v>1</v>
      </c>
      <c r="V8" s="30" t="s">
        <v>8693</v>
      </c>
      <c r="W8">
        <v>0</v>
      </c>
      <c r="X8" s="42">
        <f>ARTICULOS_PROMOCIONES[[#This Row],[Minimo]]+ARTICULOS_PROMOCIONES[[#This Row],[Bulto]]</f>
        <v>6</v>
      </c>
      <c r="Z8" s="3"/>
      <c r="AA8"/>
      <c r="AB8" s="80">
        <f>ARTICULOS_OSLE[[#This Row],[Costo]]*ARTICULOS_OSLE[[#This Row],[Pedido]]</f>
        <v>0</v>
      </c>
      <c r="AC8"/>
      <c r="AF8"/>
      <c r="AH8" s="2" t="str">
        <f>IF(AND(ARTICULOS_OSLE[[#This Row],[FechaVenc]]=0,ARTICULOS_OSLE[[#This Row],[DiasVenc]]=0),"",ARTICULOS_OSLE[[#This Row],[FechaVenc]]-ARTICULOS_OSLE[[#This Row],[DiasVenc]])</f>
        <v/>
      </c>
      <c r="AI8"/>
      <c r="AK8"/>
    </row>
    <row r="9" spans="1:43" x14ac:dyDescent="0.25">
      <c r="A9" s="1" t="s">
        <v>8697</v>
      </c>
      <c r="C9" t="str">
        <f t="shared" si="0"/>
        <v>PRO1012</v>
      </c>
      <c r="D9" t="s">
        <v>8689</v>
      </c>
      <c r="E9" s="1" t="s">
        <v>8698</v>
      </c>
      <c r="F9" s="61">
        <v>3000</v>
      </c>
      <c r="G9" s="3">
        <v>0</v>
      </c>
      <c r="H9" s="3">
        <v>0</v>
      </c>
      <c r="I9">
        <v>12</v>
      </c>
      <c r="J9">
        <v>1</v>
      </c>
      <c r="L9" s="57">
        <f>((ARTICULOS_PROMOCIONES[[#This Row],[P. Compra]]*(1+ARTICULOS_PROMOCIONES[[#This Row],[IVA]]))/ARTICULOS_PROMOCIONES[[#This Row],[UnidFact]])+ARTICULOS_PROMOCIONES[[#This Row],[CostoFlete]]</f>
        <v>3000</v>
      </c>
      <c r="M9" s="60">
        <v>50</v>
      </c>
      <c r="N9" s="63">
        <f>ARTICULOS_PROMOCIONES[[#This Row],[Costo]]/(1-(ARTICULOS_PROMOCIONES[[#This Row],[Util]]/100))</f>
        <v>6000</v>
      </c>
      <c r="O9" s="3">
        <f>MROUND((ARTICULOS_LADIAR[[#This Row],[Precio]]/0.6),50)</f>
        <v>1250</v>
      </c>
      <c r="P9" t="s">
        <v>26</v>
      </c>
      <c r="Q9" t="s">
        <v>36</v>
      </c>
      <c r="R9" t="s">
        <v>37</v>
      </c>
      <c r="S9" t="s">
        <v>8691</v>
      </c>
      <c r="T9" t="s">
        <v>8692</v>
      </c>
      <c r="U9">
        <v>1</v>
      </c>
      <c r="V9" s="30" t="s">
        <v>8693</v>
      </c>
      <c r="W9">
        <v>0</v>
      </c>
      <c r="X9" s="42">
        <f>ARTICULOS_PROMOCIONES[[#This Row],[Minimo]]+ARTICULOS_PROMOCIONES[[#This Row],[Bulto]]</f>
        <v>12</v>
      </c>
      <c r="Z9" s="3"/>
      <c r="AA9"/>
      <c r="AB9" s="80">
        <f>ARTICULOS_OSLE[[#This Row],[Costo]]*ARTICULOS_OSLE[[#This Row],[Pedido]]</f>
        <v>0</v>
      </c>
      <c r="AC9"/>
      <c r="AF9"/>
      <c r="AH9" s="2" t="str">
        <f>IF(AND(ARTICULOS_OSLE[[#This Row],[FechaVenc]]=0,ARTICULOS_OSLE[[#This Row],[DiasVenc]]=0),"",ARTICULOS_OSLE[[#This Row],[FechaVenc]]-ARTICULOS_OSLE[[#This Row],[DiasVenc]])</f>
        <v/>
      </c>
      <c r="AI9"/>
      <c r="AK9"/>
    </row>
    <row r="10" spans="1:43" x14ac:dyDescent="0.25">
      <c r="A10" s="148" t="s">
        <v>12604</v>
      </c>
      <c r="B10" s="149"/>
      <c r="C10" s="150" t="str">
        <f t="shared" ref="C10" si="1">CONCATENATE(LEFT(Q10,3),RIGHT(A10,8))</f>
        <v>KIO101</v>
      </c>
      <c r="D10" s="151" t="s">
        <v>8689</v>
      </c>
      <c r="E10" s="148" t="s">
        <v>12605</v>
      </c>
      <c r="F10" s="98">
        <v>1300</v>
      </c>
      <c r="G10" s="46">
        <v>0</v>
      </c>
      <c r="H10" s="46">
        <v>0</v>
      </c>
      <c r="I10" s="8">
        <v>20</v>
      </c>
      <c r="J10" s="152">
        <v>1</v>
      </c>
      <c r="K10" s="153"/>
      <c r="L10" s="57">
        <f>((ARTICULOS_PROMOCIONES[[#This Row],[P. Compra]]*(1+ARTICULOS_PROMOCIONES[[#This Row],[IVA]]))/ARTICULOS_PROMOCIONES[[#This Row],[UnidFact]])+ARTICULOS_PROMOCIONES[[#This Row],[CostoFlete]]</f>
        <v>1300</v>
      </c>
      <c r="M10" s="7">
        <v>50</v>
      </c>
      <c r="N10" s="103">
        <f>ARTICULOS_PROMOCIONES[[#This Row],[Costo]]/(1-(ARTICULOS_PROMOCIONES[[#This Row],[Util]]/100))</f>
        <v>2600</v>
      </c>
      <c r="O10" s="154">
        <f>MROUND((ARTICULOS_LADIAR[[#This Row],[Precio]]/0.6),50)</f>
        <v>1250</v>
      </c>
      <c r="P10" s="151" t="s">
        <v>26</v>
      </c>
      <c r="Q10" s="151" t="s">
        <v>27</v>
      </c>
      <c r="R10" s="151" t="s">
        <v>37</v>
      </c>
      <c r="S10" s="151" t="s">
        <v>8691</v>
      </c>
      <c r="T10" s="151" t="s">
        <v>8692</v>
      </c>
      <c r="U10" s="151">
        <v>1</v>
      </c>
      <c r="V10" s="51" t="s">
        <v>8693</v>
      </c>
      <c r="W10" s="7">
        <v>5</v>
      </c>
      <c r="X10" s="155">
        <f>ARTICULOS_PROMOCIONES[[#This Row],[Minimo]]+ARTICULOS_PROMOCIONES[[#This Row],[Bulto]]</f>
        <v>25</v>
      </c>
      <c r="Y10" s="151"/>
      <c r="Z10" s="51"/>
      <c r="AA10" s="151"/>
      <c r="AB10" s="156">
        <f>ARTICULOS_OSLE[[#This Row],[Costo]]*ARTICULOS_OSLE[[#This Row],[Pedido]]</f>
        <v>0</v>
      </c>
      <c r="AC10" s="151"/>
      <c r="AD10" s="151"/>
      <c r="AE10" s="151"/>
      <c r="AF10" s="151"/>
      <c r="AG10" s="151"/>
      <c r="AH10" s="157" t="str">
        <f>IF(AND(ARTICULOS_OSLE[[#This Row],[FechaVenc]]=0,ARTICULOS_OSLE[[#This Row],[DiasVenc]]=0),"",ARTICULOS_OSLE[[#This Row],[FechaVenc]]-ARTICULOS_OSLE[[#This Row],[DiasVenc]])</f>
        <v/>
      </c>
      <c r="AI10" s="151"/>
      <c r="AJ10" s="151"/>
      <c r="AK10" s="151"/>
      <c r="AL10" s="151"/>
      <c r="AM10" s="151"/>
      <c r="AN10" s="151"/>
      <c r="AO10" s="151"/>
      <c r="AP10" s="151"/>
      <c r="AQ10" s="151"/>
    </row>
  </sheetData>
  <conditionalFormatting sqref="A1">
    <cfRule type="duplicateValues" dxfId="241" priority="7"/>
  </conditionalFormatting>
  <conditionalFormatting sqref="A2:C4 A7:C1048576">
    <cfRule type="duplicateValues" dxfId="240" priority="18"/>
    <cfRule type="duplicateValues" dxfId="239" priority="19"/>
  </conditionalFormatting>
  <conditionalFormatting sqref="A2:C10">
    <cfRule type="duplicateValues" dxfId="238" priority="1214"/>
  </conditionalFormatting>
  <conditionalFormatting sqref="A5:C6">
    <cfRule type="duplicateValues" dxfId="237" priority="12"/>
    <cfRule type="duplicateValues" dxfId="236" priority="13"/>
  </conditionalFormatting>
  <conditionalFormatting sqref="A10:C10">
    <cfRule type="duplicateValues" dxfId="235" priority="1"/>
  </conditionalFormatting>
  <conditionalFormatting sqref="C1">
    <cfRule type="duplicateValues" dxfId="234" priority="6"/>
  </conditionalFormatting>
  <conditionalFormatting sqref="F11:F1048576">
    <cfRule type="cellIs" dxfId="233" priority="17" operator="greaterThan">
      <formula>0</formula>
    </cfRule>
  </conditionalFormatting>
  <conditionalFormatting sqref="L1:L10">
    <cfRule type="cellIs" dxfId="232" priority="2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70AD38-F253-45D0-AF35-EDE41172CC74}">
          <x14:formula1>
            <xm:f>LISTAS!$A:$A</xm:f>
          </x14:formula1>
          <xm:sqref>P1:P10 Y11:Y1048576</xm:sqref>
        </x14:dataValidation>
        <x14:dataValidation type="list" allowBlank="1" showInputMessage="1" showErrorMessage="1" xr:uid="{C0421CA5-0543-4C06-A691-A697F85A1A7C}">
          <x14:formula1>
            <xm:f>LISTAS!$E:$E</xm:f>
          </x14:formula1>
          <xm:sqref>R1:R10</xm:sqref>
        </x14:dataValidation>
        <x14:dataValidation type="list" allowBlank="1" showInputMessage="1" showErrorMessage="1" xr:uid="{2FF5BFAB-688E-4AB6-9316-C1E85EBEDF29}">
          <x14:formula1>
            <xm:f>LISTAS!$C:$C</xm:f>
          </x14:formula1>
          <xm:sqref>Q2:Q10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BF36-4588-40CA-9DC2-E0EDBA154E72}">
  <dimension ref="A1:AQ18"/>
  <sheetViews>
    <sheetView zoomScale="81" zoomScaleNormal="81" workbookViewId="0">
      <pane xSplit="5" topLeftCell="F1" activePane="topRight" state="frozen"/>
      <selection activeCell="AD34" sqref="AD34"/>
      <selection pane="topRight" activeCell="H9" sqref="H9"/>
    </sheetView>
  </sheetViews>
  <sheetFormatPr baseColWidth="10" defaultColWidth="11.42578125" defaultRowHeight="15.75" x14ac:dyDescent="0.25"/>
  <cols>
    <col min="1" max="1" width="10.5703125" style="1" bestFit="1" customWidth="1"/>
    <col min="2" max="2" width="12.42578125" style="1" bestFit="1" customWidth="1"/>
    <col min="3" max="3" width="8" style="1" bestFit="1" customWidth="1"/>
    <col min="4" max="4" width="7.5703125" bestFit="1" customWidth="1"/>
    <col min="5" max="5" width="38.7109375" style="1" bestFit="1" customWidth="1"/>
    <col min="6" max="6" width="12.5703125" style="15" bestFit="1" customWidth="1"/>
    <col min="7" max="7" width="11.140625" style="120" bestFit="1" customWidth="1"/>
    <col min="8" max="8" width="10" bestFit="1" customWidth="1"/>
    <col min="9" max="9" width="12.85546875" bestFit="1" customWidth="1"/>
    <col min="10" max="10" width="11.85546875" bestFit="1" customWidth="1"/>
    <col min="11" max="11" width="14.28515625" bestFit="1" customWidth="1"/>
    <col min="12" max="12" width="9.28515625" style="14" bestFit="1" customWidth="1"/>
    <col min="13" max="13" width="6.85546875" bestFit="1" customWidth="1"/>
    <col min="14" max="14" width="10.42578125" style="5" bestFit="1" customWidth="1"/>
    <col min="15" max="15" width="11.5703125" bestFit="1" customWidth="1"/>
    <col min="16" max="16" width="14.140625" bestFit="1" customWidth="1"/>
    <col min="17" max="17" width="10.42578125" bestFit="1" customWidth="1"/>
    <col min="18" max="18" width="11.28515625" bestFit="1" customWidth="1"/>
    <col min="19" max="19" width="19.42578125" bestFit="1" customWidth="1"/>
    <col min="20" max="20" width="9.5703125" bestFit="1" customWidth="1"/>
    <col min="21" max="21" width="15.85546875" bestFit="1" customWidth="1"/>
    <col min="22" max="22" width="9.5703125" bestFit="1" customWidth="1"/>
    <col min="23" max="23" width="11.5703125" bestFit="1" customWidth="1"/>
    <col min="24" max="24" width="10.42578125" bestFit="1" customWidth="1"/>
    <col min="25" max="25" width="12.85546875" bestFit="1" customWidth="1"/>
    <col min="26" max="26" width="13.7109375" style="3" bestFit="1" customWidth="1"/>
    <col min="30" max="30" width="9.28515625" style="3" customWidth="1"/>
    <col min="31" max="31" width="8.140625" customWidth="1"/>
    <col min="32" max="32" width="10" bestFit="1" customWidth="1"/>
    <col min="33" max="33" width="11.5703125" style="3" customWidth="1"/>
    <col min="34" max="34" width="20" customWidth="1"/>
    <col min="35" max="35" width="13.42578125" style="2" bestFit="1" customWidth="1"/>
    <col min="36" max="36" width="11.5703125" customWidth="1"/>
    <col min="37" max="37" width="16.7109375" customWidth="1"/>
    <col min="38" max="38" width="8.85546875" bestFit="1" customWidth="1"/>
    <col min="39" max="39" width="14.28515625" customWidth="1"/>
    <col min="40" max="41" width="13.7109375" customWidth="1"/>
    <col min="44" max="44" width="12.42578125" customWidth="1"/>
    <col min="45" max="45" width="19.42578125" bestFit="1" customWidth="1"/>
    <col min="46" max="46" width="21.42578125" bestFit="1" customWidth="1"/>
    <col min="47" max="47" width="10.7109375" customWidth="1"/>
    <col min="48" max="48" width="12.85546875" customWidth="1"/>
    <col min="49" max="49" width="15.42578125" bestFit="1" customWidth="1"/>
    <col min="243" max="243" width="15" bestFit="1" customWidth="1"/>
    <col min="244" max="244" width="68.28515625" bestFit="1" customWidth="1"/>
    <col min="245" max="245" width="9.140625" bestFit="1" customWidth="1"/>
    <col min="246" max="246" width="21.42578125" bestFit="1" customWidth="1"/>
    <col min="247" max="249" width="15.42578125" bestFit="1" customWidth="1"/>
    <col min="250" max="250" width="8.85546875" bestFit="1" customWidth="1"/>
    <col min="251" max="251" width="10" bestFit="1" customWidth="1"/>
    <col min="252" max="252" width="12.7109375" bestFit="1" customWidth="1"/>
    <col min="253" max="253" width="8.85546875" bestFit="1" customWidth="1"/>
    <col min="254" max="254" width="17.7109375" bestFit="1" customWidth="1"/>
    <col min="255" max="255" width="13" bestFit="1" customWidth="1"/>
    <col min="256" max="256" width="13.42578125" bestFit="1" customWidth="1"/>
    <col min="257" max="257" width="10.85546875" bestFit="1" customWidth="1"/>
    <col min="258" max="258" width="26.85546875" bestFit="1" customWidth="1"/>
    <col min="259" max="259" width="20.85546875" bestFit="1" customWidth="1"/>
    <col min="260" max="260" width="30.42578125" bestFit="1" customWidth="1"/>
    <col min="261" max="261" width="19.42578125" bestFit="1" customWidth="1"/>
    <col min="262" max="262" width="20.28515625" bestFit="1" customWidth="1"/>
    <col min="263" max="264" width="12" bestFit="1" customWidth="1"/>
    <col min="265" max="266" width="12.5703125" bestFit="1" customWidth="1"/>
    <col min="267" max="267" width="11.7109375" bestFit="1" customWidth="1"/>
    <col min="268" max="268" width="19" bestFit="1" customWidth="1"/>
    <col min="269" max="269" width="12.140625" bestFit="1" customWidth="1"/>
    <col min="499" max="499" width="15" bestFit="1" customWidth="1"/>
    <col min="500" max="500" width="68.28515625" bestFit="1" customWidth="1"/>
    <col min="501" max="501" width="9.140625" bestFit="1" customWidth="1"/>
    <col min="502" max="502" width="21.42578125" bestFit="1" customWidth="1"/>
    <col min="503" max="505" width="15.42578125" bestFit="1" customWidth="1"/>
    <col min="506" max="506" width="8.85546875" bestFit="1" customWidth="1"/>
    <col min="507" max="507" width="10" bestFit="1" customWidth="1"/>
    <col min="508" max="508" width="12.7109375" bestFit="1" customWidth="1"/>
    <col min="509" max="509" width="8.85546875" bestFit="1" customWidth="1"/>
    <col min="510" max="510" width="17.7109375" bestFit="1" customWidth="1"/>
    <col min="511" max="511" width="13" bestFit="1" customWidth="1"/>
    <col min="512" max="512" width="13.42578125" bestFit="1" customWidth="1"/>
    <col min="513" max="513" width="10.85546875" bestFit="1" customWidth="1"/>
    <col min="514" max="514" width="26.85546875" bestFit="1" customWidth="1"/>
    <col min="515" max="515" width="20.85546875" bestFit="1" customWidth="1"/>
    <col min="516" max="516" width="30.42578125" bestFit="1" customWidth="1"/>
    <col min="517" max="517" width="19.42578125" bestFit="1" customWidth="1"/>
    <col min="518" max="518" width="20.28515625" bestFit="1" customWidth="1"/>
    <col min="519" max="520" width="12" bestFit="1" customWidth="1"/>
    <col min="521" max="522" width="12.5703125" bestFit="1" customWidth="1"/>
    <col min="523" max="523" width="11.7109375" bestFit="1" customWidth="1"/>
    <col min="524" max="524" width="19" bestFit="1" customWidth="1"/>
    <col min="525" max="525" width="12.140625" bestFit="1" customWidth="1"/>
    <col min="755" max="755" width="15" bestFit="1" customWidth="1"/>
    <col min="756" max="756" width="68.28515625" bestFit="1" customWidth="1"/>
    <col min="757" max="757" width="9.140625" bestFit="1" customWidth="1"/>
    <col min="758" max="758" width="21.42578125" bestFit="1" customWidth="1"/>
    <col min="759" max="761" width="15.42578125" bestFit="1" customWidth="1"/>
    <col min="762" max="762" width="8.85546875" bestFit="1" customWidth="1"/>
    <col min="763" max="763" width="10" bestFit="1" customWidth="1"/>
    <col min="764" max="764" width="12.7109375" bestFit="1" customWidth="1"/>
    <col min="765" max="765" width="8.85546875" bestFit="1" customWidth="1"/>
    <col min="766" max="766" width="17.7109375" bestFit="1" customWidth="1"/>
    <col min="767" max="767" width="13" bestFit="1" customWidth="1"/>
    <col min="768" max="768" width="13.42578125" bestFit="1" customWidth="1"/>
    <col min="769" max="769" width="10.85546875" bestFit="1" customWidth="1"/>
    <col min="770" max="770" width="26.85546875" bestFit="1" customWidth="1"/>
    <col min="771" max="771" width="20.85546875" bestFit="1" customWidth="1"/>
    <col min="772" max="772" width="30.42578125" bestFit="1" customWidth="1"/>
    <col min="773" max="773" width="19.42578125" bestFit="1" customWidth="1"/>
    <col min="774" max="774" width="20.28515625" bestFit="1" customWidth="1"/>
    <col min="775" max="776" width="12" bestFit="1" customWidth="1"/>
    <col min="777" max="778" width="12.5703125" bestFit="1" customWidth="1"/>
    <col min="779" max="779" width="11.7109375" bestFit="1" customWidth="1"/>
    <col min="780" max="780" width="19" bestFit="1" customWidth="1"/>
    <col min="781" max="781" width="12.140625" bestFit="1" customWidth="1"/>
    <col min="1011" max="1011" width="15" bestFit="1" customWidth="1"/>
    <col min="1012" max="1012" width="68.28515625" bestFit="1" customWidth="1"/>
    <col min="1013" max="1013" width="9.140625" bestFit="1" customWidth="1"/>
    <col min="1014" max="1014" width="21.42578125" bestFit="1" customWidth="1"/>
    <col min="1015" max="1017" width="15.42578125" bestFit="1" customWidth="1"/>
    <col min="1018" max="1018" width="8.85546875" bestFit="1" customWidth="1"/>
    <col min="1019" max="1019" width="10" bestFit="1" customWidth="1"/>
    <col min="1020" max="1020" width="12.7109375" bestFit="1" customWidth="1"/>
    <col min="1021" max="1021" width="8.85546875" bestFit="1" customWidth="1"/>
    <col min="1022" max="1022" width="17.7109375" bestFit="1" customWidth="1"/>
    <col min="1023" max="1023" width="13" bestFit="1" customWidth="1"/>
    <col min="1024" max="1024" width="13.42578125" bestFit="1" customWidth="1"/>
    <col min="1025" max="1025" width="10.85546875" bestFit="1" customWidth="1"/>
    <col min="1026" max="1026" width="26.85546875" bestFit="1" customWidth="1"/>
    <col min="1027" max="1027" width="20.85546875" bestFit="1" customWidth="1"/>
    <col min="1028" max="1028" width="30.42578125" bestFit="1" customWidth="1"/>
    <col min="1029" max="1029" width="19.42578125" bestFit="1" customWidth="1"/>
    <col min="1030" max="1030" width="20.28515625" bestFit="1" customWidth="1"/>
    <col min="1031" max="1032" width="12" bestFit="1" customWidth="1"/>
    <col min="1033" max="1034" width="12.5703125" bestFit="1" customWidth="1"/>
    <col min="1035" max="1035" width="11.7109375" bestFit="1" customWidth="1"/>
    <col min="1036" max="1036" width="19" bestFit="1" customWidth="1"/>
    <col min="1037" max="1037" width="12.140625" bestFit="1" customWidth="1"/>
    <col min="1267" max="1267" width="15" bestFit="1" customWidth="1"/>
    <col min="1268" max="1268" width="68.28515625" bestFit="1" customWidth="1"/>
    <col min="1269" max="1269" width="9.140625" bestFit="1" customWidth="1"/>
    <col min="1270" max="1270" width="21.42578125" bestFit="1" customWidth="1"/>
    <col min="1271" max="1273" width="15.42578125" bestFit="1" customWidth="1"/>
    <col min="1274" max="1274" width="8.85546875" bestFit="1" customWidth="1"/>
    <col min="1275" max="1275" width="10" bestFit="1" customWidth="1"/>
    <col min="1276" max="1276" width="12.7109375" bestFit="1" customWidth="1"/>
    <col min="1277" max="1277" width="8.85546875" bestFit="1" customWidth="1"/>
    <col min="1278" max="1278" width="17.7109375" bestFit="1" customWidth="1"/>
    <col min="1279" max="1279" width="13" bestFit="1" customWidth="1"/>
    <col min="1280" max="1280" width="13.42578125" bestFit="1" customWidth="1"/>
    <col min="1281" max="1281" width="10.85546875" bestFit="1" customWidth="1"/>
    <col min="1282" max="1282" width="26.85546875" bestFit="1" customWidth="1"/>
    <col min="1283" max="1283" width="20.85546875" bestFit="1" customWidth="1"/>
    <col min="1284" max="1284" width="30.42578125" bestFit="1" customWidth="1"/>
    <col min="1285" max="1285" width="19.42578125" bestFit="1" customWidth="1"/>
    <col min="1286" max="1286" width="20.28515625" bestFit="1" customWidth="1"/>
    <col min="1287" max="1288" width="12" bestFit="1" customWidth="1"/>
    <col min="1289" max="1290" width="12.5703125" bestFit="1" customWidth="1"/>
    <col min="1291" max="1291" width="11.7109375" bestFit="1" customWidth="1"/>
    <col min="1292" max="1292" width="19" bestFit="1" customWidth="1"/>
    <col min="1293" max="1293" width="12.140625" bestFit="1" customWidth="1"/>
    <col min="1523" max="1523" width="15" bestFit="1" customWidth="1"/>
    <col min="1524" max="1524" width="68.28515625" bestFit="1" customWidth="1"/>
    <col min="1525" max="1525" width="9.140625" bestFit="1" customWidth="1"/>
    <col min="1526" max="1526" width="21.42578125" bestFit="1" customWidth="1"/>
    <col min="1527" max="1529" width="15.42578125" bestFit="1" customWidth="1"/>
    <col min="1530" max="1530" width="8.85546875" bestFit="1" customWidth="1"/>
    <col min="1531" max="1531" width="10" bestFit="1" customWidth="1"/>
    <col min="1532" max="1532" width="12.7109375" bestFit="1" customWidth="1"/>
    <col min="1533" max="1533" width="8.85546875" bestFit="1" customWidth="1"/>
    <col min="1534" max="1534" width="17.7109375" bestFit="1" customWidth="1"/>
    <col min="1535" max="1535" width="13" bestFit="1" customWidth="1"/>
    <col min="1536" max="1536" width="13.42578125" bestFit="1" customWidth="1"/>
    <col min="1537" max="1537" width="10.85546875" bestFit="1" customWidth="1"/>
    <col min="1538" max="1538" width="26.85546875" bestFit="1" customWidth="1"/>
    <col min="1539" max="1539" width="20.85546875" bestFit="1" customWidth="1"/>
    <col min="1540" max="1540" width="30.42578125" bestFit="1" customWidth="1"/>
    <col min="1541" max="1541" width="19.42578125" bestFit="1" customWidth="1"/>
    <col min="1542" max="1542" width="20.28515625" bestFit="1" customWidth="1"/>
    <col min="1543" max="1544" width="12" bestFit="1" customWidth="1"/>
    <col min="1545" max="1546" width="12.5703125" bestFit="1" customWidth="1"/>
    <col min="1547" max="1547" width="11.7109375" bestFit="1" customWidth="1"/>
    <col min="1548" max="1548" width="19" bestFit="1" customWidth="1"/>
    <col min="1549" max="1549" width="12.140625" bestFit="1" customWidth="1"/>
    <col min="1779" max="1779" width="15" bestFit="1" customWidth="1"/>
    <col min="1780" max="1780" width="68.28515625" bestFit="1" customWidth="1"/>
    <col min="1781" max="1781" width="9.140625" bestFit="1" customWidth="1"/>
    <col min="1782" max="1782" width="21.42578125" bestFit="1" customWidth="1"/>
    <col min="1783" max="1785" width="15.42578125" bestFit="1" customWidth="1"/>
    <col min="1786" max="1786" width="8.85546875" bestFit="1" customWidth="1"/>
    <col min="1787" max="1787" width="10" bestFit="1" customWidth="1"/>
    <col min="1788" max="1788" width="12.7109375" bestFit="1" customWidth="1"/>
    <col min="1789" max="1789" width="8.85546875" bestFit="1" customWidth="1"/>
    <col min="1790" max="1790" width="17.7109375" bestFit="1" customWidth="1"/>
    <col min="1791" max="1791" width="13" bestFit="1" customWidth="1"/>
    <col min="1792" max="1792" width="13.42578125" bestFit="1" customWidth="1"/>
    <col min="1793" max="1793" width="10.85546875" bestFit="1" customWidth="1"/>
    <col min="1794" max="1794" width="26.85546875" bestFit="1" customWidth="1"/>
    <col min="1795" max="1795" width="20.85546875" bestFit="1" customWidth="1"/>
    <col min="1796" max="1796" width="30.42578125" bestFit="1" customWidth="1"/>
    <col min="1797" max="1797" width="19.42578125" bestFit="1" customWidth="1"/>
    <col min="1798" max="1798" width="20.28515625" bestFit="1" customWidth="1"/>
    <col min="1799" max="1800" width="12" bestFit="1" customWidth="1"/>
    <col min="1801" max="1802" width="12.5703125" bestFit="1" customWidth="1"/>
    <col min="1803" max="1803" width="11.7109375" bestFit="1" customWidth="1"/>
    <col min="1804" max="1804" width="19" bestFit="1" customWidth="1"/>
    <col min="1805" max="1805" width="12.140625" bestFit="1" customWidth="1"/>
    <col min="2035" max="2035" width="15" bestFit="1" customWidth="1"/>
    <col min="2036" max="2036" width="68.28515625" bestFit="1" customWidth="1"/>
    <col min="2037" max="2037" width="9.140625" bestFit="1" customWidth="1"/>
    <col min="2038" max="2038" width="21.42578125" bestFit="1" customWidth="1"/>
    <col min="2039" max="2041" width="15.42578125" bestFit="1" customWidth="1"/>
    <col min="2042" max="2042" width="8.85546875" bestFit="1" customWidth="1"/>
    <col min="2043" max="2043" width="10" bestFit="1" customWidth="1"/>
    <col min="2044" max="2044" width="12.7109375" bestFit="1" customWidth="1"/>
    <col min="2045" max="2045" width="8.85546875" bestFit="1" customWidth="1"/>
    <col min="2046" max="2046" width="17.7109375" bestFit="1" customWidth="1"/>
    <col min="2047" max="2047" width="13" bestFit="1" customWidth="1"/>
    <col min="2048" max="2048" width="13.42578125" bestFit="1" customWidth="1"/>
    <col min="2049" max="2049" width="10.85546875" bestFit="1" customWidth="1"/>
    <col min="2050" max="2050" width="26.85546875" bestFit="1" customWidth="1"/>
    <col min="2051" max="2051" width="20.85546875" bestFit="1" customWidth="1"/>
    <col min="2052" max="2052" width="30.42578125" bestFit="1" customWidth="1"/>
    <col min="2053" max="2053" width="19.42578125" bestFit="1" customWidth="1"/>
    <col min="2054" max="2054" width="20.28515625" bestFit="1" customWidth="1"/>
    <col min="2055" max="2056" width="12" bestFit="1" customWidth="1"/>
    <col min="2057" max="2058" width="12.5703125" bestFit="1" customWidth="1"/>
    <col min="2059" max="2059" width="11.7109375" bestFit="1" customWidth="1"/>
    <col min="2060" max="2060" width="19" bestFit="1" customWidth="1"/>
    <col min="2061" max="2061" width="12.140625" bestFit="1" customWidth="1"/>
    <col min="2291" max="2291" width="15" bestFit="1" customWidth="1"/>
    <col min="2292" max="2292" width="68.28515625" bestFit="1" customWidth="1"/>
    <col min="2293" max="2293" width="9.140625" bestFit="1" customWidth="1"/>
    <col min="2294" max="2294" width="21.42578125" bestFit="1" customWidth="1"/>
    <col min="2295" max="2297" width="15.42578125" bestFit="1" customWidth="1"/>
    <col min="2298" max="2298" width="8.85546875" bestFit="1" customWidth="1"/>
    <col min="2299" max="2299" width="10" bestFit="1" customWidth="1"/>
    <col min="2300" max="2300" width="12.7109375" bestFit="1" customWidth="1"/>
    <col min="2301" max="2301" width="8.85546875" bestFit="1" customWidth="1"/>
    <col min="2302" max="2302" width="17.7109375" bestFit="1" customWidth="1"/>
    <col min="2303" max="2303" width="13" bestFit="1" customWidth="1"/>
    <col min="2304" max="2304" width="13.42578125" bestFit="1" customWidth="1"/>
    <col min="2305" max="2305" width="10.85546875" bestFit="1" customWidth="1"/>
    <col min="2306" max="2306" width="26.85546875" bestFit="1" customWidth="1"/>
    <col min="2307" max="2307" width="20.85546875" bestFit="1" customWidth="1"/>
    <col min="2308" max="2308" width="30.42578125" bestFit="1" customWidth="1"/>
    <col min="2309" max="2309" width="19.42578125" bestFit="1" customWidth="1"/>
    <col min="2310" max="2310" width="20.28515625" bestFit="1" customWidth="1"/>
    <col min="2311" max="2312" width="12" bestFit="1" customWidth="1"/>
    <col min="2313" max="2314" width="12.5703125" bestFit="1" customWidth="1"/>
    <col min="2315" max="2315" width="11.7109375" bestFit="1" customWidth="1"/>
    <col min="2316" max="2316" width="19" bestFit="1" customWidth="1"/>
    <col min="2317" max="2317" width="12.140625" bestFit="1" customWidth="1"/>
    <col min="2547" max="2547" width="15" bestFit="1" customWidth="1"/>
    <col min="2548" max="2548" width="68.28515625" bestFit="1" customWidth="1"/>
    <col min="2549" max="2549" width="9.140625" bestFit="1" customWidth="1"/>
    <col min="2550" max="2550" width="21.42578125" bestFit="1" customWidth="1"/>
    <col min="2551" max="2553" width="15.42578125" bestFit="1" customWidth="1"/>
    <col min="2554" max="2554" width="8.85546875" bestFit="1" customWidth="1"/>
    <col min="2555" max="2555" width="10" bestFit="1" customWidth="1"/>
    <col min="2556" max="2556" width="12.7109375" bestFit="1" customWidth="1"/>
    <col min="2557" max="2557" width="8.85546875" bestFit="1" customWidth="1"/>
    <col min="2558" max="2558" width="17.7109375" bestFit="1" customWidth="1"/>
    <col min="2559" max="2559" width="13" bestFit="1" customWidth="1"/>
    <col min="2560" max="2560" width="13.42578125" bestFit="1" customWidth="1"/>
    <col min="2561" max="2561" width="10.85546875" bestFit="1" customWidth="1"/>
    <col min="2562" max="2562" width="26.85546875" bestFit="1" customWidth="1"/>
    <col min="2563" max="2563" width="20.85546875" bestFit="1" customWidth="1"/>
    <col min="2564" max="2564" width="30.42578125" bestFit="1" customWidth="1"/>
    <col min="2565" max="2565" width="19.42578125" bestFit="1" customWidth="1"/>
    <col min="2566" max="2566" width="20.28515625" bestFit="1" customWidth="1"/>
    <col min="2567" max="2568" width="12" bestFit="1" customWidth="1"/>
    <col min="2569" max="2570" width="12.5703125" bestFit="1" customWidth="1"/>
    <col min="2571" max="2571" width="11.7109375" bestFit="1" customWidth="1"/>
    <col min="2572" max="2572" width="19" bestFit="1" customWidth="1"/>
    <col min="2573" max="2573" width="12.140625" bestFit="1" customWidth="1"/>
    <col min="2803" max="2803" width="15" bestFit="1" customWidth="1"/>
    <col min="2804" max="2804" width="68.28515625" bestFit="1" customWidth="1"/>
    <col min="2805" max="2805" width="9.140625" bestFit="1" customWidth="1"/>
    <col min="2806" max="2806" width="21.42578125" bestFit="1" customWidth="1"/>
    <col min="2807" max="2809" width="15.42578125" bestFit="1" customWidth="1"/>
    <col min="2810" max="2810" width="8.85546875" bestFit="1" customWidth="1"/>
    <col min="2811" max="2811" width="10" bestFit="1" customWidth="1"/>
    <col min="2812" max="2812" width="12.7109375" bestFit="1" customWidth="1"/>
    <col min="2813" max="2813" width="8.85546875" bestFit="1" customWidth="1"/>
    <col min="2814" max="2814" width="17.7109375" bestFit="1" customWidth="1"/>
    <col min="2815" max="2815" width="13" bestFit="1" customWidth="1"/>
    <col min="2816" max="2816" width="13.42578125" bestFit="1" customWidth="1"/>
    <col min="2817" max="2817" width="10.85546875" bestFit="1" customWidth="1"/>
    <col min="2818" max="2818" width="26.85546875" bestFit="1" customWidth="1"/>
    <col min="2819" max="2819" width="20.85546875" bestFit="1" customWidth="1"/>
    <col min="2820" max="2820" width="30.42578125" bestFit="1" customWidth="1"/>
    <col min="2821" max="2821" width="19.42578125" bestFit="1" customWidth="1"/>
    <col min="2822" max="2822" width="20.28515625" bestFit="1" customWidth="1"/>
    <col min="2823" max="2824" width="12" bestFit="1" customWidth="1"/>
    <col min="2825" max="2826" width="12.5703125" bestFit="1" customWidth="1"/>
    <col min="2827" max="2827" width="11.7109375" bestFit="1" customWidth="1"/>
    <col min="2828" max="2828" width="19" bestFit="1" customWidth="1"/>
    <col min="2829" max="2829" width="12.140625" bestFit="1" customWidth="1"/>
    <col min="3059" max="3059" width="15" bestFit="1" customWidth="1"/>
    <col min="3060" max="3060" width="68.28515625" bestFit="1" customWidth="1"/>
    <col min="3061" max="3061" width="9.140625" bestFit="1" customWidth="1"/>
    <col min="3062" max="3062" width="21.42578125" bestFit="1" customWidth="1"/>
    <col min="3063" max="3065" width="15.42578125" bestFit="1" customWidth="1"/>
    <col min="3066" max="3066" width="8.85546875" bestFit="1" customWidth="1"/>
    <col min="3067" max="3067" width="10" bestFit="1" customWidth="1"/>
    <col min="3068" max="3068" width="12.7109375" bestFit="1" customWidth="1"/>
    <col min="3069" max="3069" width="8.85546875" bestFit="1" customWidth="1"/>
    <col min="3070" max="3070" width="17.7109375" bestFit="1" customWidth="1"/>
    <col min="3071" max="3071" width="13" bestFit="1" customWidth="1"/>
    <col min="3072" max="3072" width="13.42578125" bestFit="1" customWidth="1"/>
    <col min="3073" max="3073" width="10.85546875" bestFit="1" customWidth="1"/>
    <col min="3074" max="3074" width="26.85546875" bestFit="1" customWidth="1"/>
    <col min="3075" max="3075" width="20.85546875" bestFit="1" customWidth="1"/>
    <col min="3076" max="3076" width="30.42578125" bestFit="1" customWidth="1"/>
    <col min="3077" max="3077" width="19.42578125" bestFit="1" customWidth="1"/>
    <col min="3078" max="3078" width="20.28515625" bestFit="1" customWidth="1"/>
    <col min="3079" max="3080" width="12" bestFit="1" customWidth="1"/>
    <col min="3081" max="3082" width="12.5703125" bestFit="1" customWidth="1"/>
    <col min="3083" max="3083" width="11.7109375" bestFit="1" customWidth="1"/>
    <col min="3084" max="3084" width="19" bestFit="1" customWidth="1"/>
    <col min="3085" max="3085" width="12.140625" bestFit="1" customWidth="1"/>
    <col min="3315" max="3315" width="15" bestFit="1" customWidth="1"/>
    <col min="3316" max="3316" width="68.28515625" bestFit="1" customWidth="1"/>
    <col min="3317" max="3317" width="9.140625" bestFit="1" customWidth="1"/>
    <col min="3318" max="3318" width="21.42578125" bestFit="1" customWidth="1"/>
    <col min="3319" max="3321" width="15.42578125" bestFit="1" customWidth="1"/>
    <col min="3322" max="3322" width="8.85546875" bestFit="1" customWidth="1"/>
    <col min="3323" max="3323" width="10" bestFit="1" customWidth="1"/>
    <col min="3324" max="3324" width="12.7109375" bestFit="1" customWidth="1"/>
    <col min="3325" max="3325" width="8.85546875" bestFit="1" customWidth="1"/>
    <col min="3326" max="3326" width="17.7109375" bestFit="1" customWidth="1"/>
    <col min="3327" max="3327" width="13" bestFit="1" customWidth="1"/>
    <col min="3328" max="3328" width="13.42578125" bestFit="1" customWidth="1"/>
    <col min="3329" max="3329" width="10.85546875" bestFit="1" customWidth="1"/>
    <col min="3330" max="3330" width="26.85546875" bestFit="1" customWidth="1"/>
    <col min="3331" max="3331" width="20.85546875" bestFit="1" customWidth="1"/>
    <col min="3332" max="3332" width="30.42578125" bestFit="1" customWidth="1"/>
    <col min="3333" max="3333" width="19.42578125" bestFit="1" customWidth="1"/>
    <col min="3334" max="3334" width="20.28515625" bestFit="1" customWidth="1"/>
    <col min="3335" max="3336" width="12" bestFit="1" customWidth="1"/>
    <col min="3337" max="3338" width="12.5703125" bestFit="1" customWidth="1"/>
    <col min="3339" max="3339" width="11.7109375" bestFit="1" customWidth="1"/>
    <col min="3340" max="3340" width="19" bestFit="1" customWidth="1"/>
    <col min="3341" max="3341" width="12.140625" bestFit="1" customWidth="1"/>
    <col min="3571" max="3571" width="15" bestFit="1" customWidth="1"/>
    <col min="3572" max="3572" width="68.28515625" bestFit="1" customWidth="1"/>
    <col min="3573" max="3573" width="9.140625" bestFit="1" customWidth="1"/>
    <col min="3574" max="3574" width="21.42578125" bestFit="1" customWidth="1"/>
    <col min="3575" max="3577" width="15.42578125" bestFit="1" customWidth="1"/>
    <col min="3578" max="3578" width="8.85546875" bestFit="1" customWidth="1"/>
    <col min="3579" max="3579" width="10" bestFit="1" customWidth="1"/>
    <col min="3580" max="3580" width="12.7109375" bestFit="1" customWidth="1"/>
    <col min="3581" max="3581" width="8.85546875" bestFit="1" customWidth="1"/>
    <col min="3582" max="3582" width="17.7109375" bestFit="1" customWidth="1"/>
    <col min="3583" max="3583" width="13" bestFit="1" customWidth="1"/>
    <col min="3584" max="3584" width="13.42578125" bestFit="1" customWidth="1"/>
    <col min="3585" max="3585" width="10.85546875" bestFit="1" customWidth="1"/>
    <col min="3586" max="3586" width="26.85546875" bestFit="1" customWidth="1"/>
    <col min="3587" max="3587" width="20.85546875" bestFit="1" customWidth="1"/>
    <col min="3588" max="3588" width="30.42578125" bestFit="1" customWidth="1"/>
    <col min="3589" max="3589" width="19.42578125" bestFit="1" customWidth="1"/>
    <col min="3590" max="3590" width="20.28515625" bestFit="1" customWidth="1"/>
    <col min="3591" max="3592" width="12" bestFit="1" customWidth="1"/>
    <col min="3593" max="3594" width="12.5703125" bestFit="1" customWidth="1"/>
    <col min="3595" max="3595" width="11.7109375" bestFit="1" customWidth="1"/>
    <col min="3596" max="3596" width="19" bestFit="1" customWidth="1"/>
    <col min="3597" max="3597" width="12.140625" bestFit="1" customWidth="1"/>
    <col min="3827" max="3827" width="15" bestFit="1" customWidth="1"/>
    <col min="3828" max="3828" width="68.28515625" bestFit="1" customWidth="1"/>
    <col min="3829" max="3829" width="9.140625" bestFit="1" customWidth="1"/>
    <col min="3830" max="3830" width="21.42578125" bestFit="1" customWidth="1"/>
    <col min="3831" max="3833" width="15.42578125" bestFit="1" customWidth="1"/>
    <col min="3834" max="3834" width="8.85546875" bestFit="1" customWidth="1"/>
    <col min="3835" max="3835" width="10" bestFit="1" customWidth="1"/>
    <col min="3836" max="3836" width="12.7109375" bestFit="1" customWidth="1"/>
    <col min="3837" max="3837" width="8.85546875" bestFit="1" customWidth="1"/>
    <col min="3838" max="3838" width="17.7109375" bestFit="1" customWidth="1"/>
    <col min="3839" max="3839" width="13" bestFit="1" customWidth="1"/>
    <col min="3840" max="3840" width="13.42578125" bestFit="1" customWidth="1"/>
    <col min="3841" max="3841" width="10.85546875" bestFit="1" customWidth="1"/>
    <col min="3842" max="3842" width="26.85546875" bestFit="1" customWidth="1"/>
    <col min="3843" max="3843" width="20.85546875" bestFit="1" customWidth="1"/>
    <col min="3844" max="3844" width="30.42578125" bestFit="1" customWidth="1"/>
    <col min="3845" max="3845" width="19.42578125" bestFit="1" customWidth="1"/>
    <col min="3846" max="3846" width="20.28515625" bestFit="1" customWidth="1"/>
    <col min="3847" max="3848" width="12" bestFit="1" customWidth="1"/>
    <col min="3849" max="3850" width="12.5703125" bestFit="1" customWidth="1"/>
    <col min="3851" max="3851" width="11.7109375" bestFit="1" customWidth="1"/>
    <col min="3852" max="3852" width="19" bestFit="1" customWidth="1"/>
    <col min="3853" max="3853" width="12.140625" bestFit="1" customWidth="1"/>
    <col min="4083" max="4083" width="15" bestFit="1" customWidth="1"/>
    <col min="4084" max="4084" width="68.28515625" bestFit="1" customWidth="1"/>
    <col min="4085" max="4085" width="9.140625" bestFit="1" customWidth="1"/>
    <col min="4086" max="4086" width="21.42578125" bestFit="1" customWidth="1"/>
    <col min="4087" max="4089" width="15.42578125" bestFit="1" customWidth="1"/>
    <col min="4090" max="4090" width="8.85546875" bestFit="1" customWidth="1"/>
    <col min="4091" max="4091" width="10" bestFit="1" customWidth="1"/>
    <col min="4092" max="4092" width="12.7109375" bestFit="1" customWidth="1"/>
    <col min="4093" max="4093" width="8.85546875" bestFit="1" customWidth="1"/>
    <col min="4094" max="4094" width="17.7109375" bestFit="1" customWidth="1"/>
    <col min="4095" max="4095" width="13" bestFit="1" customWidth="1"/>
    <col min="4096" max="4096" width="13.42578125" bestFit="1" customWidth="1"/>
    <col min="4097" max="4097" width="10.85546875" bestFit="1" customWidth="1"/>
    <col min="4098" max="4098" width="26.85546875" bestFit="1" customWidth="1"/>
    <col min="4099" max="4099" width="20.85546875" bestFit="1" customWidth="1"/>
    <col min="4100" max="4100" width="30.42578125" bestFit="1" customWidth="1"/>
    <col min="4101" max="4101" width="19.42578125" bestFit="1" customWidth="1"/>
    <col min="4102" max="4102" width="20.28515625" bestFit="1" customWidth="1"/>
    <col min="4103" max="4104" width="12" bestFit="1" customWidth="1"/>
    <col min="4105" max="4106" width="12.5703125" bestFit="1" customWidth="1"/>
    <col min="4107" max="4107" width="11.7109375" bestFit="1" customWidth="1"/>
    <col min="4108" max="4108" width="19" bestFit="1" customWidth="1"/>
    <col min="4109" max="4109" width="12.140625" bestFit="1" customWidth="1"/>
    <col min="4339" max="4339" width="15" bestFit="1" customWidth="1"/>
    <col min="4340" max="4340" width="68.28515625" bestFit="1" customWidth="1"/>
    <col min="4341" max="4341" width="9.140625" bestFit="1" customWidth="1"/>
    <col min="4342" max="4342" width="21.42578125" bestFit="1" customWidth="1"/>
    <col min="4343" max="4345" width="15.42578125" bestFit="1" customWidth="1"/>
    <col min="4346" max="4346" width="8.85546875" bestFit="1" customWidth="1"/>
    <col min="4347" max="4347" width="10" bestFit="1" customWidth="1"/>
    <col min="4348" max="4348" width="12.7109375" bestFit="1" customWidth="1"/>
    <col min="4349" max="4349" width="8.85546875" bestFit="1" customWidth="1"/>
    <col min="4350" max="4350" width="17.7109375" bestFit="1" customWidth="1"/>
    <col min="4351" max="4351" width="13" bestFit="1" customWidth="1"/>
    <col min="4352" max="4352" width="13.42578125" bestFit="1" customWidth="1"/>
    <col min="4353" max="4353" width="10.85546875" bestFit="1" customWidth="1"/>
    <col min="4354" max="4354" width="26.85546875" bestFit="1" customWidth="1"/>
    <col min="4355" max="4355" width="20.85546875" bestFit="1" customWidth="1"/>
    <col min="4356" max="4356" width="30.42578125" bestFit="1" customWidth="1"/>
    <col min="4357" max="4357" width="19.42578125" bestFit="1" customWidth="1"/>
    <col min="4358" max="4358" width="20.28515625" bestFit="1" customWidth="1"/>
    <col min="4359" max="4360" width="12" bestFit="1" customWidth="1"/>
    <col min="4361" max="4362" width="12.5703125" bestFit="1" customWidth="1"/>
    <col min="4363" max="4363" width="11.7109375" bestFit="1" customWidth="1"/>
    <col min="4364" max="4364" width="19" bestFit="1" customWidth="1"/>
    <col min="4365" max="4365" width="12.140625" bestFit="1" customWidth="1"/>
    <col min="4595" max="4595" width="15" bestFit="1" customWidth="1"/>
    <col min="4596" max="4596" width="68.28515625" bestFit="1" customWidth="1"/>
    <col min="4597" max="4597" width="9.140625" bestFit="1" customWidth="1"/>
    <col min="4598" max="4598" width="21.42578125" bestFit="1" customWidth="1"/>
    <col min="4599" max="4601" width="15.42578125" bestFit="1" customWidth="1"/>
    <col min="4602" max="4602" width="8.85546875" bestFit="1" customWidth="1"/>
    <col min="4603" max="4603" width="10" bestFit="1" customWidth="1"/>
    <col min="4604" max="4604" width="12.7109375" bestFit="1" customWidth="1"/>
    <col min="4605" max="4605" width="8.85546875" bestFit="1" customWidth="1"/>
    <col min="4606" max="4606" width="17.7109375" bestFit="1" customWidth="1"/>
    <col min="4607" max="4607" width="13" bestFit="1" customWidth="1"/>
    <col min="4608" max="4608" width="13.42578125" bestFit="1" customWidth="1"/>
    <col min="4609" max="4609" width="10.85546875" bestFit="1" customWidth="1"/>
    <col min="4610" max="4610" width="26.85546875" bestFit="1" customWidth="1"/>
    <col min="4611" max="4611" width="20.85546875" bestFit="1" customWidth="1"/>
    <col min="4612" max="4612" width="30.42578125" bestFit="1" customWidth="1"/>
    <col min="4613" max="4613" width="19.42578125" bestFit="1" customWidth="1"/>
    <col min="4614" max="4614" width="20.28515625" bestFit="1" customWidth="1"/>
    <col min="4615" max="4616" width="12" bestFit="1" customWidth="1"/>
    <col min="4617" max="4618" width="12.5703125" bestFit="1" customWidth="1"/>
    <col min="4619" max="4619" width="11.7109375" bestFit="1" customWidth="1"/>
    <col min="4620" max="4620" width="19" bestFit="1" customWidth="1"/>
    <col min="4621" max="4621" width="12.140625" bestFit="1" customWidth="1"/>
    <col min="4851" max="4851" width="15" bestFit="1" customWidth="1"/>
    <col min="4852" max="4852" width="68.28515625" bestFit="1" customWidth="1"/>
    <col min="4853" max="4853" width="9.140625" bestFit="1" customWidth="1"/>
    <col min="4854" max="4854" width="21.42578125" bestFit="1" customWidth="1"/>
    <col min="4855" max="4857" width="15.42578125" bestFit="1" customWidth="1"/>
    <col min="4858" max="4858" width="8.85546875" bestFit="1" customWidth="1"/>
    <col min="4859" max="4859" width="10" bestFit="1" customWidth="1"/>
    <col min="4860" max="4860" width="12.7109375" bestFit="1" customWidth="1"/>
    <col min="4861" max="4861" width="8.85546875" bestFit="1" customWidth="1"/>
    <col min="4862" max="4862" width="17.7109375" bestFit="1" customWidth="1"/>
    <col min="4863" max="4863" width="13" bestFit="1" customWidth="1"/>
    <col min="4864" max="4864" width="13.42578125" bestFit="1" customWidth="1"/>
    <col min="4865" max="4865" width="10.85546875" bestFit="1" customWidth="1"/>
    <col min="4866" max="4866" width="26.85546875" bestFit="1" customWidth="1"/>
    <col min="4867" max="4867" width="20.85546875" bestFit="1" customWidth="1"/>
    <col min="4868" max="4868" width="30.42578125" bestFit="1" customWidth="1"/>
    <col min="4869" max="4869" width="19.42578125" bestFit="1" customWidth="1"/>
    <col min="4870" max="4870" width="20.28515625" bestFit="1" customWidth="1"/>
    <col min="4871" max="4872" width="12" bestFit="1" customWidth="1"/>
    <col min="4873" max="4874" width="12.5703125" bestFit="1" customWidth="1"/>
    <col min="4875" max="4875" width="11.7109375" bestFit="1" customWidth="1"/>
    <col min="4876" max="4876" width="19" bestFit="1" customWidth="1"/>
    <col min="4877" max="4877" width="12.140625" bestFit="1" customWidth="1"/>
    <col min="5107" max="5107" width="15" bestFit="1" customWidth="1"/>
    <col min="5108" max="5108" width="68.28515625" bestFit="1" customWidth="1"/>
    <col min="5109" max="5109" width="9.140625" bestFit="1" customWidth="1"/>
    <col min="5110" max="5110" width="21.42578125" bestFit="1" customWidth="1"/>
    <col min="5111" max="5113" width="15.42578125" bestFit="1" customWidth="1"/>
    <col min="5114" max="5114" width="8.85546875" bestFit="1" customWidth="1"/>
    <col min="5115" max="5115" width="10" bestFit="1" customWidth="1"/>
    <col min="5116" max="5116" width="12.7109375" bestFit="1" customWidth="1"/>
    <col min="5117" max="5117" width="8.85546875" bestFit="1" customWidth="1"/>
    <col min="5118" max="5118" width="17.7109375" bestFit="1" customWidth="1"/>
    <col min="5119" max="5119" width="13" bestFit="1" customWidth="1"/>
    <col min="5120" max="5120" width="13.42578125" bestFit="1" customWidth="1"/>
    <col min="5121" max="5121" width="10.85546875" bestFit="1" customWidth="1"/>
    <col min="5122" max="5122" width="26.85546875" bestFit="1" customWidth="1"/>
    <col min="5123" max="5123" width="20.85546875" bestFit="1" customWidth="1"/>
    <col min="5124" max="5124" width="30.42578125" bestFit="1" customWidth="1"/>
    <col min="5125" max="5125" width="19.42578125" bestFit="1" customWidth="1"/>
    <col min="5126" max="5126" width="20.28515625" bestFit="1" customWidth="1"/>
    <col min="5127" max="5128" width="12" bestFit="1" customWidth="1"/>
    <col min="5129" max="5130" width="12.5703125" bestFit="1" customWidth="1"/>
    <col min="5131" max="5131" width="11.7109375" bestFit="1" customWidth="1"/>
    <col min="5132" max="5132" width="19" bestFit="1" customWidth="1"/>
    <col min="5133" max="5133" width="12.140625" bestFit="1" customWidth="1"/>
    <col min="5363" max="5363" width="15" bestFit="1" customWidth="1"/>
    <col min="5364" max="5364" width="68.28515625" bestFit="1" customWidth="1"/>
    <col min="5365" max="5365" width="9.140625" bestFit="1" customWidth="1"/>
    <col min="5366" max="5366" width="21.42578125" bestFit="1" customWidth="1"/>
    <col min="5367" max="5369" width="15.42578125" bestFit="1" customWidth="1"/>
    <col min="5370" max="5370" width="8.85546875" bestFit="1" customWidth="1"/>
    <col min="5371" max="5371" width="10" bestFit="1" customWidth="1"/>
    <col min="5372" max="5372" width="12.7109375" bestFit="1" customWidth="1"/>
    <col min="5373" max="5373" width="8.85546875" bestFit="1" customWidth="1"/>
    <col min="5374" max="5374" width="17.7109375" bestFit="1" customWidth="1"/>
    <col min="5375" max="5375" width="13" bestFit="1" customWidth="1"/>
    <col min="5376" max="5376" width="13.42578125" bestFit="1" customWidth="1"/>
    <col min="5377" max="5377" width="10.85546875" bestFit="1" customWidth="1"/>
    <col min="5378" max="5378" width="26.85546875" bestFit="1" customWidth="1"/>
    <col min="5379" max="5379" width="20.85546875" bestFit="1" customWidth="1"/>
    <col min="5380" max="5380" width="30.42578125" bestFit="1" customWidth="1"/>
    <col min="5381" max="5381" width="19.42578125" bestFit="1" customWidth="1"/>
    <col min="5382" max="5382" width="20.28515625" bestFit="1" customWidth="1"/>
    <col min="5383" max="5384" width="12" bestFit="1" customWidth="1"/>
    <col min="5385" max="5386" width="12.5703125" bestFit="1" customWidth="1"/>
    <col min="5387" max="5387" width="11.7109375" bestFit="1" customWidth="1"/>
    <col min="5388" max="5388" width="19" bestFit="1" customWidth="1"/>
    <col min="5389" max="5389" width="12.140625" bestFit="1" customWidth="1"/>
    <col min="5619" max="5619" width="15" bestFit="1" customWidth="1"/>
    <col min="5620" max="5620" width="68.28515625" bestFit="1" customWidth="1"/>
    <col min="5621" max="5621" width="9.140625" bestFit="1" customWidth="1"/>
    <col min="5622" max="5622" width="21.42578125" bestFit="1" customWidth="1"/>
    <col min="5623" max="5625" width="15.42578125" bestFit="1" customWidth="1"/>
    <col min="5626" max="5626" width="8.85546875" bestFit="1" customWidth="1"/>
    <col min="5627" max="5627" width="10" bestFit="1" customWidth="1"/>
    <col min="5628" max="5628" width="12.7109375" bestFit="1" customWidth="1"/>
    <col min="5629" max="5629" width="8.85546875" bestFit="1" customWidth="1"/>
    <col min="5630" max="5630" width="17.7109375" bestFit="1" customWidth="1"/>
    <col min="5631" max="5631" width="13" bestFit="1" customWidth="1"/>
    <col min="5632" max="5632" width="13.42578125" bestFit="1" customWidth="1"/>
    <col min="5633" max="5633" width="10.85546875" bestFit="1" customWidth="1"/>
    <col min="5634" max="5634" width="26.85546875" bestFit="1" customWidth="1"/>
    <col min="5635" max="5635" width="20.85546875" bestFit="1" customWidth="1"/>
    <col min="5636" max="5636" width="30.42578125" bestFit="1" customWidth="1"/>
    <col min="5637" max="5637" width="19.42578125" bestFit="1" customWidth="1"/>
    <col min="5638" max="5638" width="20.28515625" bestFit="1" customWidth="1"/>
    <col min="5639" max="5640" width="12" bestFit="1" customWidth="1"/>
    <col min="5641" max="5642" width="12.5703125" bestFit="1" customWidth="1"/>
    <col min="5643" max="5643" width="11.7109375" bestFit="1" customWidth="1"/>
    <col min="5644" max="5644" width="19" bestFit="1" customWidth="1"/>
    <col min="5645" max="5645" width="12.140625" bestFit="1" customWidth="1"/>
    <col min="5875" max="5875" width="15" bestFit="1" customWidth="1"/>
    <col min="5876" max="5876" width="68.28515625" bestFit="1" customWidth="1"/>
    <col min="5877" max="5877" width="9.140625" bestFit="1" customWidth="1"/>
    <col min="5878" max="5878" width="21.42578125" bestFit="1" customWidth="1"/>
    <col min="5879" max="5881" width="15.42578125" bestFit="1" customWidth="1"/>
    <col min="5882" max="5882" width="8.85546875" bestFit="1" customWidth="1"/>
    <col min="5883" max="5883" width="10" bestFit="1" customWidth="1"/>
    <col min="5884" max="5884" width="12.7109375" bestFit="1" customWidth="1"/>
    <col min="5885" max="5885" width="8.85546875" bestFit="1" customWidth="1"/>
    <col min="5886" max="5886" width="17.7109375" bestFit="1" customWidth="1"/>
    <col min="5887" max="5887" width="13" bestFit="1" customWidth="1"/>
    <col min="5888" max="5888" width="13.42578125" bestFit="1" customWidth="1"/>
    <col min="5889" max="5889" width="10.85546875" bestFit="1" customWidth="1"/>
    <col min="5890" max="5890" width="26.85546875" bestFit="1" customWidth="1"/>
    <col min="5891" max="5891" width="20.85546875" bestFit="1" customWidth="1"/>
    <col min="5892" max="5892" width="30.42578125" bestFit="1" customWidth="1"/>
    <col min="5893" max="5893" width="19.42578125" bestFit="1" customWidth="1"/>
    <col min="5894" max="5894" width="20.28515625" bestFit="1" customWidth="1"/>
    <col min="5895" max="5896" width="12" bestFit="1" customWidth="1"/>
    <col min="5897" max="5898" width="12.5703125" bestFit="1" customWidth="1"/>
    <col min="5899" max="5899" width="11.7109375" bestFit="1" customWidth="1"/>
    <col min="5900" max="5900" width="19" bestFit="1" customWidth="1"/>
    <col min="5901" max="5901" width="12.140625" bestFit="1" customWidth="1"/>
    <col min="6131" max="6131" width="15" bestFit="1" customWidth="1"/>
    <col min="6132" max="6132" width="68.28515625" bestFit="1" customWidth="1"/>
    <col min="6133" max="6133" width="9.140625" bestFit="1" customWidth="1"/>
    <col min="6134" max="6134" width="21.42578125" bestFit="1" customWidth="1"/>
    <col min="6135" max="6137" width="15.42578125" bestFit="1" customWidth="1"/>
    <col min="6138" max="6138" width="8.85546875" bestFit="1" customWidth="1"/>
    <col min="6139" max="6139" width="10" bestFit="1" customWidth="1"/>
    <col min="6140" max="6140" width="12.7109375" bestFit="1" customWidth="1"/>
    <col min="6141" max="6141" width="8.85546875" bestFit="1" customWidth="1"/>
    <col min="6142" max="6142" width="17.7109375" bestFit="1" customWidth="1"/>
    <col min="6143" max="6143" width="13" bestFit="1" customWidth="1"/>
    <col min="6144" max="6144" width="13.42578125" bestFit="1" customWidth="1"/>
    <col min="6145" max="6145" width="10.85546875" bestFit="1" customWidth="1"/>
    <col min="6146" max="6146" width="26.85546875" bestFit="1" customWidth="1"/>
    <col min="6147" max="6147" width="20.85546875" bestFit="1" customWidth="1"/>
    <col min="6148" max="6148" width="30.42578125" bestFit="1" customWidth="1"/>
    <col min="6149" max="6149" width="19.42578125" bestFit="1" customWidth="1"/>
    <col min="6150" max="6150" width="20.28515625" bestFit="1" customWidth="1"/>
    <col min="6151" max="6152" width="12" bestFit="1" customWidth="1"/>
    <col min="6153" max="6154" width="12.5703125" bestFit="1" customWidth="1"/>
    <col min="6155" max="6155" width="11.7109375" bestFit="1" customWidth="1"/>
    <col min="6156" max="6156" width="19" bestFit="1" customWidth="1"/>
    <col min="6157" max="6157" width="12.140625" bestFit="1" customWidth="1"/>
    <col min="6387" max="6387" width="15" bestFit="1" customWidth="1"/>
    <col min="6388" max="6388" width="68.28515625" bestFit="1" customWidth="1"/>
    <col min="6389" max="6389" width="9.140625" bestFit="1" customWidth="1"/>
    <col min="6390" max="6390" width="21.42578125" bestFit="1" customWidth="1"/>
    <col min="6391" max="6393" width="15.42578125" bestFit="1" customWidth="1"/>
    <col min="6394" max="6394" width="8.85546875" bestFit="1" customWidth="1"/>
    <col min="6395" max="6395" width="10" bestFit="1" customWidth="1"/>
    <col min="6396" max="6396" width="12.7109375" bestFit="1" customWidth="1"/>
    <col min="6397" max="6397" width="8.85546875" bestFit="1" customWidth="1"/>
    <col min="6398" max="6398" width="17.7109375" bestFit="1" customWidth="1"/>
    <col min="6399" max="6399" width="13" bestFit="1" customWidth="1"/>
    <col min="6400" max="6400" width="13.42578125" bestFit="1" customWidth="1"/>
    <col min="6401" max="6401" width="10.85546875" bestFit="1" customWidth="1"/>
    <col min="6402" max="6402" width="26.85546875" bestFit="1" customWidth="1"/>
    <col min="6403" max="6403" width="20.85546875" bestFit="1" customWidth="1"/>
    <col min="6404" max="6404" width="30.42578125" bestFit="1" customWidth="1"/>
    <col min="6405" max="6405" width="19.42578125" bestFit="1" customWidth="1"/>
    <col min="6406" max="6406" width="20.28515625" bestFit="1" customWidth="1"/>
    <col min="6407" max="6408" width="12" bestFit="1" customWidth="1"/>
    <col min="6409" max="6410" width="12.5703125" bestFit="1" customWidth="1"/>
    <col min="6411" max="6411" width="11.7109375" bestFit="1" customWidth="1"/>
    <col min="6412" max="6412" width="19" bestFit="1" customWidth="1"/>
    <col min="6413" max="6413" width="12.140625" bestFit="1" customWidth="1"/>
    <col min="6643" max="6643" width="15" bestFit="1" customWidth="1"/>
    <col min="6644" max="6644" width="68.28515625" bestFit="1" customWidth="1"/>
    <col min="6645" max="6645" width="9.140625" bestFit="1" customWidth="1"/>
    <col min="6646" max="6646" width="21.42578125" bestFit="1" customWidth="1"/>
    <col min="6647" max="6649" width="15.42578125" bestFit="1" customWidth="1"/>
    <col min="6650" max="6650" width="8.85546875" bestFit="1" customWidth="1"/>
    <col min="6651" max="6651" width="10" bestFit="1" customWidth="1"/>
    <col min="6652" max="6652" width="12.7109375" bestFit="1" customWidth="1"/>
    <col min="6653" max="6653" width="8.85546875" bestFit="1" customWidth="1"/>
    <col min="6654" max="6654" width="17.7109375" bestFit="1" customWidth="1"/>
    <col min="6655" max="6655" width="13" bestFit="1" customWidth="1"/>
    <col min="6656" max="6656" width="13.42578125" bestFit="1" customWidth="1"/>
    <col min="6657" max="6657" width="10.85546875" bestFit="1" customWidth="1"/>
    <col min="6658" max="6658" width="26.85546875" bestFit="1" customWidth="1"/>
    <col min="6659" max="6659" width="20.85546875" bestFit="1" customWidth="1"/>
    <col min="6660" max="6660" width="30.42578125" bestFit="1" customWidth="1"/>
    <col min="6661" max="6661" width="19.42578125" bestFit="1" customWidth="1"/>
    <col min="6662" max="6662" width="20.28515625" bestFit="1" customWidth="1"/>
    <col min="6663" max="6664" width="12" bestFit="1" customWidth="1"/>
    <col min="6665" max="6666" width="12.5703125" bestFit="1" customWidth="1"/>
    <col min="6667" max="6667" width="11.7109375" bestFit="1" customWidth="1"/>
    <col min="6668" max="6668" width="19" bestFit="1" customWidth="1"/>
    <col min="6669" max="6669" width="12.140625" bestFit="1" customWidth="1"/>
    <col min="6899" max="6899" width="15" bestFit="1" customWidth="1"/>
    <col min="6900" max="6900" width="68.28515625" bestFit="1" customWidth="1"/>
    <col min="6901" max="6901" width="9.140625" bestFit="1" customWidth="1"/>
    <col min="6902" max="6902" width="21.42578125" bestFit="1" customWidth="1"/>
    <col min="6903" max="6905" width="15.42578125" bestFit="1" customWidth="1"/>
    <col min="6906" max="6906" width="8.85546875" bestFit="1" customWidth="1"/>
    <col min="6907" max="6907" width="10" bestFit="1" customWidth="1"/>
    <col min="6908" max="6908" width="12.7109375" bestFit="1" customWidth="1"/>
    <col min="6909" max="6909" width="8.85546875" bestFit="1" customWidth="1"/>
    <col min="6910" max="6910" width="17.7109375" bestFit="1" customWidth="1"/>
    <col min="6911" max="6911" width="13" bestFit="1" customWidth="1"/>
    <col min="6912" max="6912" width="13.42578125" bestFit="1" customWidth="1"/>
    <col min="6913" max="6913" width="10.85546875" bestFit="1" customWidth="1"/>
    <col min="6914" max="6914" width="26.85546875" bestFit="1" customWidth="1"/>
    <col min="6915" max="6915" width="20.85546875" bestFit="1" customWidth="1"/>
    <col min="6916" max="6916" width="30.42578125" bestFit="1" customWidth="1"/>
    <col min="6917" max="6917" width="19.42578125" bestFit="1" customWidth="1"/>
    <col min="6918" max="6918" width="20.28515625" bestFit="1" customWidth="1"/>
    <col min="6919" max="6920" width="12" bestFit="1" customWidth="1"/>
    <col min="6921" max="6922" width="12.5703125" bestFit="1" customWidth="1"/>
    <col min="6923" max="6923" width="11.7109375" bestFit="1" customWidth="1"/>
    <col min="6924" max="6924" width="19" bestFit="1" customWidth="1"/>
    <col min="6925" max="6925" width="12.140625" bestFit="1" customWidth="1"/>
    <col min="7155" max="7155" width="15" bestFit="1" customWidth="1"/>
    <col min="7156" max="7156" width="68.28515625" bestFit="1" customWidth="1"/>
    <col min="7157" max="7157" width="9.140625" bestFit="1" customWidth="1"/>
    <col min="7158" max="7158" width="21.42578125" bestFit="1" customWidth="1"/>
    <col min="7159" max="7161" width="15.42578125" bestFit="1" customWidth="1"/>
    <col min="7162" max="7162" width="8.85546875" bestFit="1" customWidth="1"/>
    <col min="7163" max="7163" width="10" bestFit="1" customWidth="1"/>
    <col min="7164" max="7164" width="12.7109375" bestFit="1" customWidth="1"/>
    <col min="7165" max="7165" width="8.85546875" bestFit="1" customWidth="1"/>
    <col min="7166" max="7166" width="17.7109375" bestFit="1" customWidth="1"/>
    <col min="7167" max="7167" width="13" bestFit="1" customWidth="1"/>
    <col min="7168" max="7168" width="13.42578125" bestFit="1" customWidth="1"/>
    <col min="7169" max="7169" width="10.85546875" bestFit="1" customWidth="1"/>
    <col min="7170" max="7170" width="26.85546875" bestFit="1" customWidth="1"/>
    <col min="7171" max="7171" width="20.85546875" bestFit="1" customWidth="1"/>
    <col min="7172" max="7172" width="30.42578125" bestFit="1" customWidth="1"/>
    <col min="7173" max="7173" width="19.42578125" bestFit="1" customWidth="1"/>
    <col min="7174" max="7174" width="20.28515625" bestFit="1" customWidth="1"/>
    <col min="7175" max="7176" width="12" bestFit="1" customWidth="1"/>
    <col min="7177" max="7178" width="12.5703125" bestFit="1" customWidth="1"/>
    <col min="7179" max="7179" width="11.7109375" bestFit="1" customWidth="1"/>
    <col min="7180" max="7180" width="19" bestFit="1" customWidth="1"/>
    <col min="7181" max="7181" width="12.140625" bestFit="1" customWidth="1"/>
    <col min="7411" max="7411" width="15" bestFit="1" customWidth="1"/>
    <col min="7412" max="7412" width="68.28515625" bestFit="1" customWidth="1"/>
    <col min="7413" max="7413" width="9.140625" bestFit="1" customWidth="1"/>
    <col min="7414" max="7414" width="21.42578125" bestFit="1" customWidth="1"/>
    <col min="7415" max="7417" width="15.42578125" bestFit="1" customWidth="1"/>
    <col min="7418" max="7418" width="8.85546875" bestFit="1" customWidth="1"/>
    <col min="7419" max="7419" width="10" bestFit="1" customWidth="1"/>
    <col min="7420" max="7420" width="12.7109375" bestFit="1" customWidth="1"/>
    <col min="7421" max="7421" width="8.85546875" bestFit="1" customWidth="1"/>
    <col min="7422" max="7422" width="17.7109375" bestFit="1" customWidth="1"/>
    <col min="7423" max="7423" width="13" bestFit="1" customWidth="1"/>
    <col min="7424" max="7424" width="13.42578125" bestFit="1" customWidth="1"/>
    <col min="7425" max="7425" width="10.85546875" bestFit="1" customWidth="1"/>
    <col min="7426" max="7426" width="26.85546875" bestFit="1" customWidth="1"/>
    <col min="7427" max="7427" width="20.85546875" bestFit="1" customWidth="1"/>
    <col min="7428" max="7428" width="30.42578125" bestFit="1" customWidth="1"/>
    <col min="7429" max="7429" width="19.42578125" bestFit="1" customWidth="1"/>
    <col min="7430" max="7430" width="20.28515625" bestFit="1" customWidth="1"/>
    <col min="7431" max="7432" width="12" bestFit="1" customWidth="1"/>
    <col min="7433" max="7434" width="12.5703125" bestFit="1" customWidth="1"/>
    <col min="7435" max="7435" width="11.7109375" bestFit="1" customWidth="1"/>
    <col min="7436" max="7436" width="19" bestFit="1" customWidth="1"/>
    <col min="7437" max="7437" width="12.140625" bestFit="1" customWidth="1"/>
    <col min="7667" max="7667" width="15" bestFit="1" customWidth="1"/>
    <col min="7668" max="7668" width="68.28515625" bestFit="1" customWidth="1"/>
    <col min="7669" max="7669" width="9.140625" bestFit="1" customWidth="1"/>
    <col min="7670" max="7670" width="21.42578125" bestFit="1" customWidth="1"/>
    <col min="7671" max="7673" width="15.42578125" bestFit="1" customWidth="1"/>
    <col min="7674" max="7674" width="8.85546875" bestFit="1" customWidth="1"/>
    <col min="7675" max="7675" width="10" bestFit="1" customWidth="1"/>
    <col min="7676" max="7676" width="12.7109375" bestFit="1" customWidth="1"/>
    <col min="7677" max="7677" width="8.85546875" bestFit="1" customWidth="1"/>
    <col min="7678" max="7678" width="17.7109375" bestFit="1" customWidth="1"/>
    <col min="7679" max="7679" width="13" bestFit="1" customWidth="1"/>
    <col min="7680" max="7680" width="13.42578125" bestFit="1" customWidth="1"/>
    <col min="7681" max="7681" width="10.85546875" bestFit="1" customWidth="1"/>
    <col min="7682" max="7682" width="26.85546875" bestFit="1" customWidth="1"/>
    <col min="7683" max="7683" width="20.85546875" bestFit="1" customWidth="1"/>
    <col min="7684" max="7684" width="30.42578125" bestFit="1" customWidth="1"/>
    <col min="7685" max="7685" width="19.42578125" bestFit="1" customWidth="1"/>
    <col min="7686" max="7686" width="20.28515625" bestFit="1" customWidth="1"/>
    <col min="7687" max="7688" width="12" bestFit="1" customWidth="1"/>
    <col min="7689" max="7690" width="12.5703125" bestFit="1" customWidth="1"/>
    <col min="7691" max="7691" width="11.7109375" bestFit="1" customWidth="1"/>
    <col min="7692" max="7692" width="19" bestFit="1" customWidth="1"/>
    <col min="7693" max="7693" width="12.140625" bestFit="1" customWidth="1"/>
    <col min="7923" max="7923" width="15" bestFit="1" customWidth="1"/>
    <col min="7924" max="7924" width="68.28515625" bestFit="1" customWidth="1"/>
    <col min="7925" max="7925" width="9.140625" bestFit="1" customWidth="1"/>
    <col min="7926" max="7926" width="21.42578125" bestFit="1" customWidth="1"/>
    <col min="7927" max="7929" width="15.42578125" bestFit="1" customWidth="1"/>
    <col min="7930" max="7930" width="8.85546875" bestFit="1" customWidth="1"/>
    <col min="7931" max="7931" width="10" bestFit="1" customWidth="1"/>
    <col min="7932" max="7932" width="12.7109375" bestFit="1" customWidth="1"/>
    <col min="7933" max="7933" width="8.85546875" bestFit="1" customWidth="1"/>
    <col min="7934" max="7934" width="17.7109375" bestFit="1" customWidth="1"/>
    <col min="7935" max="7935" width="13" bestFit="1" customWidth="1"/>
    <col min="7936" max="7936" width="13.42578125" bestFit="1" customWidth="1"/>
    <col min="7937" max="7937" width="10.85546875" bestFit="1" customWidth="1"/>
    <col min="7938" max="7938" width="26.85546875" bestFit="1" customWidth="1"/>
    <col min="7939" max="7939" width="20.85546875" bestFit="1" customWidth="1"/>
    <col min="7940" max="7940" width="30.42578125" bestFit="1" customWidth="1"/>
    <col min="7941" max="7941" width="19.42578125" bestFit="1" customWidth="1"/>
    <col min="7942" max="7942" width="20.28515625" bestFit="1" customWidth="1"/>
    <col min="7943" max="7944" width="12" bestFit="1" customWidth="1"/>
    <col min="7945" max="7946" width="12.5703125" bestFit="1" customWidth="1"/>
    <col min="7947" max="7947" width="11.7109375" bestFit="1" customWidth="1"/>
    <col min="7948" max="7948" width="19" bestFit="1" customWidth="1"/>
    <col min="7949" max="7949" width="12.140625" bestFit="1" customWidth="1"/>
    <col min="8179" max="8179" width="15" bestFit="1" customWidth="1"/>
    <col min="8180" max="8180" width="68.28515625" bestFit="1" customWidth="1"/>
    <col min="8181" max="8181" width="9.140625" bestFit="1" customWidth="1"/>
    <col min="8182" max="8182" width="21.42578125" bestFit="1" customWidth="1"/>
    <col min="8183" max="8185" width="15.42578125" bestFit="1" customWidth="1"/>
    <col min="8186" max="8186" width="8.85546875" bestFit="1" customWidth="1"/>
    <col min="8187" max="8187" width="10" bestFit="1" customWidth="1"/>
    <col min="8188" max="8188" width="12.7109375" bestFit="1" customWidth="1"/>
    <col min="8189" max="8189" width="8.85546875" bestFit="1" customWidth="1"/>
    <col min="8190" max="8190" width="17.7109375" bestFit="1" customWidth="1"/>
    <col min="8191" max="8191" width="13" bestFit="1" customWidth="1"/>
    <col min="8192" max="8192" width="13.42578125" bestFit="1" customWidth="1"/>
    <col min="8193" max="8193" width="10.85546875" bestFit="1" customWidth="1"/>
    <col min="8194" max="8194" width="26.85546875" bestFit="1" customWidth="1"/>
    <col min="8195" max="8195" width="20.85546875" bestFit="1" customWidth="1"/>
    <col min="8196" max="8196" width="30.42578125" bestFit="1" customWidth="1"/>
    <col min="8197" max="8197" width="19.42578125" bestFit="1" customWidth="1"/>
    <col min="8198" max="8198" width="20.28515625" bestFit="1" customWidth="1"/>
    <col min="8199" max="8200" width="12" bestFit="1" customWidth="1"/>
    <col min="8201" max="8202" width="12.5703125" bestFit="1" customWidth="1"/>
    <col min="8203" max="8203" width="11.7109375" bestFit="1" customWidth="1"/>
    <col min="8204" max="8204" width="19" bestFit="1" customWidth="1"/>
    <col min="8205" max="8205" width="12.140625" bestFit="1" customWidth="1"/>
    <col min="8435" max="8435" width="15" bestFit="1" customWidth="1"/>
    <col min="8436" max="8436" width="68.28515625" bestFit="1" customWidth="1"/>
    <col min="8437" max="8437" width="9.140625" bestFit="1" customWidth="1"/>
    <col min="8438" max="8438" width="21.42578125" bestFit="1" customWidth="1"/>
    <col min="8439" max="8441" width="15.42578125" bestFit="1" customWidth="1"/>
    <col min="8442" max="8442" width="8.85546875" bestFit="1" customWidth="1"/>
    <col min="8443" max="8443" width="10" bestFit="1" customWidth="1"/>
    <col min="8444" max="8444" width="12.7109375" bestFit="1" customWidth="1"/>
    <col min="8445" max="8445" width="8.85546875" bestFit="1" customWidth="1"/>
    <col min="8446" max="8446" width="17.7109375" bestFit="1" customWidth="1"/>
    <col min="8447" max="8447" width="13" bestFit="1" customWidth="1"/>
    <col min="8448" max="8448" width="13.42578125" bestFit="1" customWidth="1"/>
    <col min="8449" max="8449" width="10.85546875" bestFit="1" customWidth="1"/>
    <col min="8450" max="8450" width="26.85546875" bestFit="1" customWidth="1"/>
    <col min="8451" max="8451" width="20.85546875" bestFit="1" customWidth="1"/>
    <col min="8452" max="8452" width="30.42578125" bestFit="1" customWidth="1"/>
    <col min="8453" max="8453" width="19.42578125" bestFit="1" customWidth="1"/>
    <col min="8454" max="8454" width="20.28515625" bestFit="1" customWidth="1"/>
    <col min="8455" max="8456" width="12" bestFit="1" customWidth="1"/>
    <col min="8457" max="8458" width="12.5703125" bestFit="1" customWidth="1"/>
    <col min="8459" max="8459" width="11.7109375" bestFit="1" customWidth="1"/>
    <col min="8460" max="8460" width="19" bestFit="1" customWidth="1"/>
    <col min="8461" max="8461" width="12.140625" bestFit="1" customWidth="1"/>
    <col min="8691" max="8691" width="15" bestFit="1" customWidth="1"/>
    <col min="8692" max="8692" width="68.28515625" bestFit="1" customWidth="1"/>
    <col min="8693" max="8693" width="9.140625" bestFit="1" customWidth="1"/>
    <col min="8694" max="8694" width="21.42578125" bestFit="1" customWidth="1"/>
    <col min="8695" max="8697" width="15.42578125" bestFit="1" customWidth="1"/>
    <col min="8698" max="8698" width="8.85546875" bestFit="1" customWidth="1"/>
    <col min="8699" max="8699" width="10" bestFit="1" customWidth="1"/>
    <col min="8700" max="8700" width="12.7109375" bestFit="1" customWidth="1"/>
    <col min="8701" max="8701" width="8.85546875" bestFit="1" customWidth="1"/>
    <col min="8702" max="8702" width="17.7109375" bestFit="1" customWidth="1"/>
    <col min="8703" max="8703" width="13" bestFit="1" customWidth="1"/>
    <col min="8704" max="8704" width="13.42578125" bestFit="1" customWidth="1"/>
    <col min="8705" max="8705" width="10.85546875" bestFit="1" customWidth="1"/>
    <col min="8706" max="8706" width="26.85546875" bestFit="1" customWidth="1"/>
    <col min="8707" max="8707" width="20.85546875" bestFit="1" customWidth="1"/>
    <col min="8708" max="8708" width="30.42578125" bestFit="1" customWidth="1"/>
    <col min="8709" max="8709" width="19.42578125" bestFit="1" customWidth="1"/>
    <col min="8710" max="8710" width="20.28515625" bestFit="1" customWidth="1"/>
    <col min="8711" max="8712" width="12" bestFit="1" customWidth="1"/>
    <col min="8713" max="8714" width="12.5703125" bestFit="1" customWidth="1"/>
    <col min="8715" max="8715" width="11.7109375" bestFit="1" customWidth="1"/>
    <col min="8716" max="8716" width="19" bestFit="1" customWidth="1"/>
    <col min="8717" max="8717" width="12.140625" bestFit="1" customWidth="1"/>
    <col min="8947" max="8947" width="15" bestFit="1" customWidth="1"/>
    <col min="8948" max="8948" width="68.28515625" bestFit="1" customWidth="1"/>
    <col min="8949" max="8949" width="9.140625" bestFit="1" customWidth="1"/>
    <col min="8950" max="8950" width="21.42578125" bestFit="1" customWidth="1"/>
    <col min="8951" max="8953" width="15.42578125" bestFit="1" customWidth="1"/>
    <col min="8954" max="8954" width="8.85546875" bestFit="1" customWidth="1"/>
    <col min="8955" max="8955" width="10" bestFit="1" customWidth="1"/>
    <col min="8956" max="8956" width="12.7109375" bestFit="1" customWidth="1"/>
    <col min="8957" max="8957" width="8.85546875" bestFit="1" customWidth="1"/>
    <col min="8958" max="8958" width="17.7109375" bestFit="1" customWidth="1"/>
    <col min="8959" max="8959" width="13" bestFit="1" customWidth="1"/>
    <col min="8960" max="8960" width="13.42578125" bestFit="1" customWidth="1"/>
    <col min="8961" max="8961" width="10.85546875" bestFit="1" customWidth="1"/>
    <col min="8962" max="8962" width="26.85546875" bestFit="1" customWidth="1"/>
    <col min="8963" max="8963" width="20.85546875" bestFit="1" customWidth="1"/>
    <col min="8964" max="8964" width="30.42578125" bestFit="1" customWidth="1"/>
    <col min="8965" max="8965" width="19.42578125" bestFit="1" customWidth="1"/>
    <col min="8966" max="8966" width="20.28515625" bestFit="1" customWidth="1"/>
    <col min="8967" max="8968" width="12" bestFit="1" customWidth="1"/>
    <col min="8969" max="8970" width="12.5703125" bestFit="1" customWidth="1"/>
    <col min="8971" max="8971" width="11.7109375" bestFit="1" customWidth="1"/>
    <col min="8972" max="8972" width="19" bestFit="1" customWidth="1"/>
    <col min="8973" max="8973" width="12.140625" bestFit="1" customWidth="1"/>
    <col min="9203" max="9203" width="15" bestFit="1" customWidth="1"/>
    <col min="9204" max="9204" width="68.28515625" bestFit="1" customWidth="1"/>
    <col min="9205" max="9205" width="9.140625" bestFit="1" customWidth="1"/>
    <col min="9206" max="9206" width="21.42578125" bestFit="1" customWidth="1"/>
    <col min="9207" max="9209" width="15.42578125" bestFit="1" customWidth="1"/>
    <col min="9210" max="9210" width="8.85546875" bestFit="1" customWidth="1"/>
    <col min="9211" max="9211" width="10" bestFit="1" customWidth="1"/>
    <col min="9212" max="9212" width="12.7109375" bestFit="1" customWidth="1"/>
    <col min="9213" max="9213" width="8.85546875" bestFit="1" customWidth="1"/>
    <col min="9214" max="9214" width="17.7109375" bestFit="1" customWidth="1"/>
    <col min="9215" max="9215" width="13" bestFit="1" customWidth="1"/>
    <col min="9216" max="9216" width="13.42578125" bestFit="1" customWidth="1"/>
    <col min="9217" max="9217" width="10.85546875" bestFit="1" customWidth="1"/>
    <col min="9218" max="9218" width="26.85546875" bestFit="1" customWidth="1"/>
    <col min="9219" max="9219" width="20.85546875" bestFit="1" customWidth="1"/>
    <col min="9220" max="9220" width="30.42578125" bestFit="1" customWidth="1"/>
    <col min="9221" max="9221" width="19.42578125" bestFit="1" customWidth="1"/>
    <col min="9222" max="9222" width="20.28515625" bestFit="1" customWidth="1"/>
    <col min="9223" max="9224" width="12" bestFit="1" customWidth="1"/>
    <col min="9225" max="9226" width="12.5703125" bestFit="1" customWidth="1"/>
    <col min="9227" max="9227" width="11.7109375" bestFit="1" customWidth="1"/>
    <col min="9228" max="9228" width="19" bestFit="1" customWidth="1"/>
    <col min="9229" max="9229" width="12.140625" bestFit="1" customWidth="1"/>
    <col min="9459" max="9459" width="15" bestFit="1" customWidth="1"/>
    <col min="9460" max="9460" width="68.28515625" bestFit="1" customWidth="1"/>
    <col min="9461" max="9461" width="9.140625" bestFit="1" customWidth="1"/>
    <col min="9462" max="9462" width="21.42578125" bestFit="1" customWidth="1"/>
    <col min="9463" max="9465" width="15.42578125" bestFit="1" customWidth="1"/>
    <col min="9466" max="9466" width="8.85546875" bestFit="1" customWidth="1"/>
    <col min="9467" max="9467" width="10" bestFit="1" customWidth="1"/>
    <col min="9468" max="9468" width="12.7109375" bestFit="1" customWidth="1"/>
    <col min="9469" max="9469" width="8.85546875" bestFit="1" customWidth="1"/>
    <col min="9470" max="9470" width="17.7109375" bestFit="1" customWidth="1"/>
    <col min="9471" max="9471" width="13" bestFit="1" customWidth="1"/>
    <col min="9472" max="9472" width="13.42578125" bestFit="1" customWidth="1"/>
    <col min="9473" max="9473" width="10.85546875" bestFit="1" customWidth="1"/>
    <col min="9474" max="9474" width="26.85546875" bestFit="1" customWidth="1"/>
    <col min="9475" max="9475" width="20.85546875" bestFit="1" customWidth="1"/>
    <col min="9476" max="9476" width="30.42578125" bestFit="1" customWidth="1"/>
    <col min="9477" max="9477" width="19.42578125" bestFit="1" customWidth="1"/>
    <col min="9478" max="9478" width="20.28515625" bestFit="1" customWidth="1"/>
    <col min="9479" max="9480" width="12" bestFit="1" customWidth="1"/>
    <col min="9481" max="9482" width="12.5703125" bestFit="1" customWidth="1"/>
    <col min="9483" max="9483" width="11.7109375" bestFit="1" customWidth="1"/>
    <col min="9484" max="9484" width="19" bestFit="1" customWidth="1"/>
    <col min="9485" max="9485" width="12.140625" bestFit="1" customWidth="1"/>
    <col min="9715" max="9715" width="15" bestFit="1" customWidth="1"/>
    <col min="9716" max="9716" width="68.28515625" bestFit="1" customWidth="1"/>
    <col min="9717" max="9717" width="9.140625" bestFit="1" customWidth="1"/>
    <col min="9718" max="9718" width="21.42578125" bestFit="1" customWidth="1"/>
    <col min="9719" max="9721" width="15.42578125" bestFit="1" customWidth="1"/>
    <col min="9722" max="9722" width="8.85546875" bestFit="1" customWidth="1"/>
    <col min="9723" max="9723" width="10" bestFit="1" customWidth="1"/>
    <col min="9724" max="9724" width="12.7109375" bestFit="1" customWidth="1"/>
    <col min="9725" max="9725" width="8.85546875" bestFit="1" customWidth="1"/>
    <col min="9726" max="9726" width="17.7109375" bestFit="1" customWidth="1"/>
    <col min="9727" max="9727" width="13" bestFit="1" customWidth="1"/>
    <col min="9728" max="9728" width="13.42578125" bestFit="1" customWidth="1"/>
    <col min="9729" max="9729" width="10.85546875" bestFit="1" customWidth="1"/>
    <col min="9730" max="9730" width="26.85546875" bestFit="1" customWidth="1"/>
    <col min="9731" max="9731" width="20.85546875" bestFit="1" customWidth="1"/>
    <col min="9732" max="9732" width="30.42578125" bestFit="1" customWidth="1"/>
    <col min="9733" max="9733" width="19.42578125" bestFit="1" customWidth="1"/>
    <col min="9734" max="9734" width="20.28515625" bestFit="1" customWidth="1"/>
    <col min="9735" max="9736" width="12" bestFit="1" customWidth="1"/>
    <col min="9737" max="9738" width="12.5703125" bestFit="1" customWidth="1"/>
    <col min="9739" max="9739" width="11.7109375" bestFit="1" customWidth="1"/>
    <col min="9740" max="9740" width="19" bestFit="1" customWidth="1"/>
    <col min="9741" max="9741" width="12.140625" bestFit="1" customWidth="1"/>
    <col min="9971" max="9971" width="15" bestFit="1" customWidth="1"/>
    <col min="9972" max="9972" width="68.28515625" bestFit="1" customWidth="1"/>
    <col min="9973" max="9973" width="9.140625" bestFit="1" customWidth="1"/>
    <col min="9974" max="9974" width="21.42578125" bestFit="1" customWidth="1"/>
    <col min="9975" max="9977" width="15.42578125" bestFit="1" customWidth="1"/>
    <col min="9978" max="9978" width="8.85546875" bestFit="1" customWidth="1"/>
    <col min="9979" max="9979" width="10" bestFit="1" customWidth="1"/>
    <col min="9980" max="9980" width="12.7109375" bestFit="1" customWidth="1"/>
    <col min="9981" max="9981" width="8.85546875" bestFit="1" customWidth="1"/>
    <col min="9982" max="9982" width="17.7109375" bestFit="1" customWidth="1"/>
    <col min="9983" max="9983" width="13" bestFit="1" customWidth="1"/>
    <col min="9984" max="9984" width="13.42578125" bestFit="1" customWidth="1"/>
    <col min="9985" max="9985" width="10.85546875" bestFit="1" customWidth="1"/>
    <col min="9986" max="9986" width="26.85546875" bestFit="1" customWidth="1"/>
    <col min="9987" max="9987" width="20.85546875" bestFit="1" customWidth="1"/>
    <col min="9988" max="9988" width="30.42578125" bestFit="1" customWidth="1"/>
    <col min="9989" max="9989" width="19.42578125" bestFit="1" customWidth="1"/>
    <col min="9990" max="9990" width="20.28515625" bestFit="1" customWidth="1"/>
    <col min="9991" max="9992" width="12" bestFit="1" customWidth="1"/>
    <col min="9993" max="9994" width="12.5703125" bestFit="1" customWidth="1"/>
    <col min="9995" max="9995" width="11.7109375" bestFit="1" customWidth="1"/>
    <col min="9996" max="9996" width="19" bestFit="1" customWidth="1"/>
    <col min="9997" max="9997" width="12.140625" bestFit="1" customWidth="1"/>
    <col min="10227" max="10227" width="15" bestFit="1" customWidth="1"/>
    <col min="10228" max="10228" width="68.28515625" bestFit="1" customWidth="1"/>
    <col min="10229" max="10229" width="9.140625" bestFit="1" customWidth="1"/>
    <col min="10230" max="10230" width="21.42578125" bestFit="1" customWidth="1"/>
    <col min="10231" max="10233" width="15.42578125" bestFit="1" customWidth="1"/>
    <col min="10234" max="10234" width="8.85546875" bestFit="1" customWidth="1"/>
    <col min="10235" max="10235" width="10" bestFit="1" customWidth="1"/>
    <col min="10236" max="10236" width="12.7109375" bestFit="1" customWidth="1"/>
    <col min="10237" max="10237" width="8.85546875" bestFit="1" customWidth="1"/>
    <col min="10238" max="10238" width="17.7109375" bestFit="1" customWidth="1"/>
    <col min="10239" max="10239" width="13" bestFit="1" customWidth="1"/>
    <col min="10240" max="10240" width="13.42578125" bestFit="1" customWidth="1"/>
    <col min="10241" max="10241" width="10.85546875" bestFit="1" customWidth="1"/>
    <col min="10242" max="10242" width="26.85546875" bestFit="1" customWidth="1"/>
    <col min="10243" max="10243" width="20.85546875" bestFit="1" customWidth="1"/>
    <col min="10244" max="10244" width="30.42578125" bestFit="1" customWidth="1"/>
    <col min="10245" max="10245" width="19.42578125" bestFit="1" customWidth="1"/>
    <col min="10246" max="10246" width="20.28515625" bestFit="1" customWidth="1"/>
    <col min="10247" max="10248" width="12" bestFit="1" customWidth="1"/>
    <col min="10249" max="10250" width="12.5703125" bestFit="1" customWidth="1"/>
    <col min="10251" max="10251" width="11.7109375" bestFit="1" customWidth="1"/>
    <col min="10252" max="10252" width="19" bestFit="1" customWidth="1"/>
    <col min="10253" max="10253" width="12.140625" bestFit="1" customWidth="1"/>
    <col min="10483" max="10483" width="15" bestFit="1" customWidth="1"/>
    <col min="10484" max="10484" width="68.28515625" bestFit="1" customWidth="1"/>
    <col min="10485" max="10485" width="9.140625" bestFit="1" customWidth="1"/>
    <col min="10486" max="10486" width="21.42578125" bestFit="1" customWidth="1"/>
    <col min="10487" max="10489" width="15.42578125" bestFit="1" customWidth="1"/>
    <col min="10490" max="10490" width="8.85546875" bestFit="1" customWidth="1"/>
    <col min="10491" max="10491" width="10" bestFit="1" customWidth="1"/>
    <col min="10492" max="10492" width="12.7109375" bestFit="1" customWidth="1"/>
    <col min="10493" max="10493" width="8.85546875" bestFit="1" customWidth="1"/>
    <col min="10494" max="10494" width="17.7109375" bestFit="1" customWidth="1"/>
    <col min="10495" max="10495" width="13" bestFit="1" customWidth="1"/>
    <col min="10496" max="10496" width="13.42578125" bestFit="1" customWidth="1"/>
    <col min="10497" max="10497" width="10.85546875" bestFit="1" customWidth="1"/>
    <col min="10498" max="10498" width="26.85546875" bestFit="1" customWidth="1"/>
    <col min="10499" max="10499" width="20.85546875" bestFit="1" customWidth="1"/>
    <col min="10500" max="10500" width="30.42578125" bestFit="1" customWidth="1"/>
    <col min="10501" max="10501" width="19.42578125" bestFit="1" customWidth="1"/>
    <col min="10502" max="10502" width="20.28515625" bestFit="1" customWidth="1"/>
    <col min="10503" max="10504" width="12" bestFit="1" customWidth="1"/>
    <col min="10505" max="10506" width="12.5703125" bestFit="1" customWidth="1"/>
    <col min="10507" max="10507" width="11.7109375" bestFit="1" customWidth="1"/>
    <col min="10508" max="10508" width="19" bestFit="1" customWidth="1"/>
    <col min="10509" max="10509" width="12.140625" bestFit="1" customWidth="1"/>
    <col min="10739" max="10739" width="15" bestFit="1" customWidth="1"/>
    <col min="10740" max="10740" width="68.28515625" bestFit="1" customWidth="1"/>
    <col min="10741" max="10741" width="9.140625" bestFit="1" customWidth="1"/>
    <col min="10742" max="10742" width="21.42578125" bestFit="1" customWidth="1"/>
    <col min="10743" max="10745" width="15.42578125" bestFit="1" customWidth="1"/>
    <col min="10746" max="10746" width="8.85546875" bestFit="1" customWidth="1"/>
    <col min="10747" max="10747" width="10" bestFit="1" customWidth="1"/>
    <col min="10748" max="10748" width="12.7109375" bestFit="1" customWidth="1"/>
    <col min="10749" max="10749" width="8.85546875" bestFit="1" customWidth="1"/>
    <col min="10750" max="10750" width="17.7109375" bestFit="1" customWidth="1"/>
    <col min="10751" max="10751" width="13" bestFit="1" customWidth="1"/>
    <col min="10752" max="10752" width="13.42578125" bestFit="1" customWidth="1"/>
    <col min="10753" max="10753" width="10.85546875" bestFit="1" customWidth="1"/>
    <col min="10754" max="10754" width="26.85546875" bestFit="1" customWidth="1"/>
    <col min="10755" max="10755" width="20.85546875" bestFit="1" customWidth="1"/>
    <col min="10756" max="10756" width="30.42578125" bestFit="1" customWidth="1"/>
    <col min="10757" max="10757" width="19.42578125" bestFit="1" customWidth="1"/>
    <col min="10758" max="10758" width="20.28515625" bestFit="1" customWidth="1"/>
    <col min="10759" max="10760" width="12" bestFit="1" customWidth="1"/>
    <col min="10761" max="10762" width="12.5703125" bestFit="1" customWidth="1"/>
    <col min="10763" max="10763" width="11.7109375" bestFit="1" customWidth="1"/>
    <col min="10764" max="10764" width="19" bestFit="1" customWidth="1"/>
    <col min="10765" max="10765" width="12.140625" bestFit="1" customWidth="1"/>
    <col min="10995" max="10995" width="15" bestFit="1" customWidth="1"/>
    <col min="10996" max="10996" width="68.28515625" bestFit="1" customWidth="1"/>
    <col min="10997" max="10997" width="9.140625" bestFit="1" customWidth="1"/>
    <col min="10998" max="10998" width="21.42578125" bestFit="1" customWidth="1"/>
    <col min="10999" max="11001" width="15.42578125" bestFit="1" customWidth="1"/>
    <col min="11002" max="11002" width="8.85546875" bestFit="1" customWidth="1"/>
    <col min="11003" max="11003" width="10" bestFit="1" customWidth="1"/>
    <col min="11004" max="11004" width="12.7109375" bestFit="1" customWidth="1"/>
    <col min="11005" max="11005" width="8.85546875" bestFit="1" customWidth="1"/>
    <col min="11006" max="11006" width="17.7109375" bestFit="1" customWidth="1"/>
    <col min="11007" max="11007" width="13" bestFit="1" customWidth="1"/>
    <col min="11008" max="11008" width="13.42578125" bestFit="1" customWidth="1"/>
    <col min="11009" max="11009" width="10.85546875" bestFit="1" customWidth="1"/>
    <col min="11010" max="11010" width="26.85546875" bestFit="1" customWidth="1"/>
    <col min="11011" max="11011" width="20.85546875" bestFit="1" customWidth="1"/>
    <col min="11012" max="11012" width="30.42578125" bestFit="1" customWidth="1"/>
    <col min="11013" max="11013" width="19.42578125" bestFit="1" customWidth="1"/>
    <col min="11014" max="11014" width="20.28515625" bestFit="1" customWidth="1"/>
    <col min="11015" max="11016" width="12" bestFit="1" customWidth="1"/>
    <col min="11017" max="11018" width="12.5703125" bestFit="1" customWidth="1"/>
    <col min="11019" max="11019" width="11.7109375" bestFit="1" customWidth="1"/>
    <col min="11020" max="11020" width="19" bestFit="1" customWidth="1"/>
    <col min="11021" max="11021" width="12.140625" bestFit="1" customWidth="1"/>
    <col min="11251" max="11251" width="15" bestFit="1" customWidth="1"/>
    <col min="11252" max="11252" width="68.28515625" bestFit="1" customWidth="1"/>
    <col min="11253" max="11253" width="9.140625" bestFit="1" customWidth="1"/>
    <col min="11254" max="11254" width="21.42578125" bestFit="1" customWidth="1"/>
    <col min="11255" max="11257" width="15.42578125" bestFit="1" customWidth="1"/>
    <col min="11258" max="11258" width="8.85546875" bestFit="1" customWidth="1"/>
    <col min="11259" max="11259" width="10" bestFit="1" customWidth="1"/>
    <col min="11260" max="11260" width="12.7109375" bestFit="1" customWidth="1"/>
    <col min="11261" max="11261" width="8.85546875" bestFit="1" customWidth="1"/>
    <col min="11262" max="11262" width="17.7109375" bestFit="1" customWidth="1"/>
    <col min="11263" max="11263" width="13" bestFit="1" customWidth="1"/>
    <col min="11264" max="11264" width="13.42578125" bestFit="1" customWidth="1"/>
    <col min="11265" max="11265" width="10.85546875" bestFit="1" customWidth="1"/>
    <col min="11266" max="11266" width="26.85546875" bestFit="1" customWidth="1"/>
    <col min="11267" max="11267" width="20.85546875" bestFit="1" customWidth="1"/>
    <col min="11268" max="11268" width="30.42578125" bestFit="1" customWidth="1"/>
    <col min="11269" max="11269" width="19.42578125" bestFit="1" customWidth="1"/>
    <col min="11270" max="11270" width="20.28515625" bestFit="1" customWidth="1"/>
    <col min="11271" max="11272" width="12" bestFit="1" customWidth="1"/>
    <col min="11273" max="11274" width="12.5703125" bestFit="1" customWidth="1"/>
    <col min="11275" max="11275" width="11.7109375" bestFit="1" customWidth="1"/>
    <col min="11276" max="11276" width="19" bestFit="1" customWidth="1"/>
    <col min="11277" max="11277" width="12.140625" bestFit="1" customWidth="1"/>
    <col min="11507" max="11507" width="15" bestFit="1" customWidth="1"/>
    <col min="11508" max="11508" width="68.28515625" bestFit="1" customWidth="1"/>
    <col min="11509" max="11509" width="9.140625" bestFit="1" customWidth="1"/>
    <col min="11510" max="11510" width="21.42578125" bestFit="1" customWidth="1"/>
    <col min="11511" max="11513" width="15.42578125" bestFit="1" customWidth="1"/>
    <col min="11514" max="11514" width="8.85546875" bestFit="1" customWidth="1"/>
    <col min="11515" max="11515" width="10" bestFit="1" customWidth="1"/>
    <col min="11516" max="11516" width="12.7109375" bestFit="1" customWidth="1"/>
    <col min="11517" max="11517" width="8.85546875" bestFit="1" customWidth="1"/>
    <col min="11518" max="11518" width="17.7109375" bestFit="1" customWidth="1"/>
    <col min="11519" max="11519" width="13" bestFit="1" customWidth="1"/>
    <col min="11520" max="11520" width="13.42578125" bestFit="1" customWidth="1"/>
    <col min="11521" max="11521" width="10.85546875" bestFit="1" customWidth="1"/>
    <col min="11522" max="11522" width="26.85546875" bestFit="1" customWidth="1"/>
    <col min="11523" max="11523" width="20.85546875" bestFit="1" customWidth="1"/>
    <col min="11524" max="11524" width="30.42578125" bestFit="1" customWidth="1"/>
    <col min="11525" max="11525" width="19.42578125" bestFit="1" customWidth="1"/>
    <col min="11526" max="11526" width="20.28515625" bestFit="1" customWidth="1"/>
    <col min="11527" max="11528" width="12" bestFit="1" customWidth="1"/>
    <col min="11529" max="11530" width="12.5703125" bestFit="1" customWidth="1"/>
    <col min="11531" max="11531" width="11.7109375" bestFit="1" customWidth="1"/>
    <col min="11532" max="11532" width="19" bestFit="1" customWidth="1"/>
    <col min="11533" max="11533" width="12.140625" bestFit="1" customWidth="1"/>
    <col min="11763" max="11763" width="15" bestFit="1" customWidth="1"/>
    <col min="11764" max="11764" width="68.28515625" bestFit="1" customWidth="1"/>
    <col min="11765" max="11765" width="9.140625" bestFit="1" customWidth="1"/>
    <col min="11766" max="11766" width="21.42578125" bestFit="1" customWidth="1"/>
    <col min="11767" max="11769" width="15.42578125" bestFit="1" customWidth="1"/>
    <col min="11770" max="11770" width="8.85546875" bestFit="1" customWidth="1"/>
    <col min="11771" max="11771" width="10" bestFit="1" customWidth="1"/>
    <col min="11772" max="11772" width="12.7109375" bestFit="1" customWidth="1"/>
    <col min="11773" max="11773" width="8.85546875" bestFit="1" customWidth="1"/>
    <col min="11774" max="11774" width="17.7109375" bestFit="1" customWidth="1"/>
    <col min="11775" max="11775" width="13" bestFit="1" customWidth="1"/>
    <col min="11776" max="11776" width="13.42578125" bestFit="1" customWidth="1"/>
    <col min="11777" max="11777" width="10.85546875" bestFit="1" customWidth="1"/>
    <col min="11778" max="11778" width="26.85546875" bestFit="1" customWidth="1"/>
    <col min="11779" max="11779" width="20.85546875" bestFit="1" customWidth="1"/>
    <col min="11780" max="11780" width="30.42578125" bestFit="1" customWidth="1"/>
    <col min="11781" max="11781" width="19.42578125" bestFit="1" customWidth="1"/>
    <col min="11782" max="11782" width="20.28515625" bestFit="1" customWidth="1"/>
    <col min="11783" max="11784" width="12" bestFit="1" customWidth="1"/>
    <col min="11785" max="11786" width="12.5703125" bestFit="1" customWidth="1"/>
    <col min="11787" max="11787" width="11.7109375" bestFit="1" customWidth="1"/>
    <col min="11788" max="11788" width="19" bestFit="1" customWidth="1"/>
    <col min="11789" max="11789" width="12.140625" bestFit="1" customWidth="1"/>
    <col min="12019" max="12019" width="15" bestFit="1" customWidth="1"/>
    <col min="12020" max="12020" width="68.28515625" bestFit="1" customWidth="1"/>
    <col min="12021" max="12021" width="9.140625" bestFit="1" customWidth="1"/>
    <col min="12022" max="12022" width="21.42578125" bestFit="1" customWidth="1"/>
    <col min="12023" max="12025" width="15.42578125" bestFit="1" customWidth="1"/>
    <col min="12026" max="12026" width="8.85546875" bestFit="1" customWidth="1"/>
    <col min="12027" max="12027" width="10" bestFit="1" customWidth="1"/>
    <col min="12028" max="12028" width="12.7109375" bestFit="1" customWidth="1"/>
    <col min="12029" max="12029" width="8.85546875" bestFit="1" customWidth="1"/>
    <col min="12030" max="12030" width="17.7109375" bestFit="1" customWidth="1"/>
    <col min="12031" max="12031" width="13" bestFit="1" customWidth="1"/>
    <col min="12032" max="12032" width="13.42578125" bestFit="1" customWidth="1"/>
    <col min="12033" max="12033" width="10.85546875" bestFit="1" customWidth="1"/>
    <col min="12034" max="12034" width="26.85546875" bestFit="1" customWidth="1"/>
    <col min="12035" max="12035" width="20.85546875" bestFit="1" customWidth="1"/>
    <col min="12036" max="12036" width="30.42578125" bestFit="1" customWidth="1"/>
    <col min="12037" max="12037" width="19.42578125" bestFit="1" customWidth="1"/>
    <col min="12038" max="12038" width="20.28515625" bestFit="1" customWidth="1"/>
    <col min="12039" max="12040" width="12" bestFit="1" customWidth="1"/>
    <col min="12041" max="12042" width="12.5703125" bestFit="1" customWidth="1"/>
    <col min="12043" max="12043" width="11.7109375" bestFit="1" customWidth="1"/>
    <col min="12044" max="12044" width="19" bestFit="1" customWidth="1"/>
    <col min="12045" max="12045" width="12.140625" bestFit="1" customWidth="1"/>
    <col min="12275" max="12275" width="15" bestFit="1" customWidth="1"/>
    <col min="12276" max="12276" width="68.28515625" bestFit="1" customWidth="1"/>
    <col min="12277" max="12277" width="9.140625" bestFit="1" customWidth="1"/>
    <col min="12278" max="12278" width="21.42578125" bestFit="1" customWidth="1"/>
    <col min="12279" max="12281" width="15.42578125" bestFit="1" customWidth="1"/>
    <col min="12282" max="12282" width="8.85546875" bestFit="1" customWidth="1"/>
    <col min="12283" max="12283" width="10" bestFit="1" customWidth="1"/>
    <col min="12284" max="12284" width="12.7109375" bestFit="1" customWidth="1"/>
    <col min="12285" max="12285" width="8.85546875" bestFit="1" customWidth="1"/>
    <col min="12286" max="12286" width="17.7109375" bestFit="1" customWidth="1"/>
    <col min="12287" max="12287" width="13" bestFit="1" customWidth="1"/>
    <col min="12288" max="12288" width="13.42578125" bestFit="1" customWidth="1"/>
    <col min="12289" max="12289" width="10.85546875" bestFit="1" customWidth="1"/>
    <col min="12290" max="12290" width="26.85546875" bestFit="1" customWidth="1"/>
    <col min="12291" max="12291" width="20.85546875" bestFit="1" customWidth="1"/>
    <col min="12292" max="12292" width="30.42578125" bestFit="1" customWidth="1"/>
    <col min="12293" max="12293" width="19.42578125" bestFit="1" customWidth="1"/>
    <col min="12294" max="12294" width="20.28515625" bestFit="1" customWidth="1"/>
    <col min="12295" max="12296" width="12" bestFit="1" customWidth="1"/>
    <col min="12297" max="12298" width="12.5703125" bestFit="1" customWidth="1"/>
    <col min="12299" max="12299" width="11.7109375" bestFit="1" customWidth="1"/>
    <col min="12300" max="12300" width="19" bestFit="1" customWidth="1"/>
    <col min="12301" max="12301" width="12.140625" bestFit="1" customWidth="1"/>
    <col min="12531" max="12531" width="15" bestFit="1" customWidth="1"/>
    <col min="12532" max="12532" width="68.28515625" bestFit="1" customWidth="1"/>
    <col min="12533" max="12533" width="9.140625" bestFit="1" customWidth="1"/>
    <col min="12534" max="12534" width="21.42578125" bestFit="1" customWidth="1"/>
    <col min="12535" max="12537" width="15.42578125" bestFit="1" customWidth="1"/>
    <col min="12538" max="12538" width="8.85546875" bestFit="1" customWidth="1"/>
    <col min="12539" max="12539" width="10" bestFit="1" customWidth="1"/>
    <col min="12540" max="12540" width="12.7109375" bestFit="1" customWidth="1"/>
    <col min="12541" max="12541" width="8.85546875" bestFit="1" customWidth="1"/>
    <col min="12542" max="12542" width="17.7109375" bestFit="1" customWidth="1"/>
    <col min="12543" max="12543" width="13" bestFit="1" customWidth="1"/>
    <col min="12544" max="12544" width="13.42578125" bestFit="1" customWidth="1"/>
    <col min="12545" max="12545" width="10.85546875" bestFit="1" customWidth="1"/>
    <col min="12546" max="12546" width="26.85546875" bestFit="1" customWidth="1"/>
    <col min="12547" max="12547" width="20.85546875" bestFit="1" customWidth="1"/>
    <col min="12548" max="12548" width="30.42578125" bestFit="1" customWidth="1"/>
    <col min="12549" max="12549" width="19.42578125" bestFit="1" customWidth="1"/>
    <col min="12550" max="12550" width="20.28515625" bestFit="1" customWidth="1"/>
    <col min="12551" max="12552" width="12" bestFit="1" customWidth="1"/>
    <col min="12553" max="12554" width="12.5703125" bestFit="1" customWidth="1"/>
    <col min="12555" max="12555" width="11.7109375" bestFit="1" customWidth="1"/>
    <col min="12556" max="12556" width="19" bestFit="1" customWidth="1"/>
    <col min="12557" max="12557" width="12.140625" bestFit="1" customWidth="1"/>
    <col min="12787" max="12787" width="15" bestFit="1" customWidth="1"/>
    <col min="12788" max="12788" width="68.28515625" bestFit="1" customWidth="1"/>
    <col min="12789" max="12789" width="9.140625" bestFit="1" customWidth="1"/>
    <col min="12790" max="12790" width="21.42578125" bestFit="1" customWidth="1"/>
    <col min="12791" max="12793" width="15.42578125" bestFit="1" customWidth="1"/>
    <col min="12794" max="12794" width="8.85546875" bestFit="1" customWidth="1"/>
    <col min="12795" max="12795" width="10" bestFit="1" customWidth="1"/>
    <col min="12796" max="12796" width="12.7109375" bestFit="1" customWidth="1"/>
    <col min="12797" max="12797" width="8.85546875" bestFit="1" customWidth="1"/>
    <col min="12798" max="12798" width="17.7109375" bestFit="1" customWidth="1"/>
    <col min="12799" max="12799" width="13" bestFit="1" customWidth="1"/>
    <col min="12800" max="12800" width="13.42578125" bestFit="1" customWidth="1"/>
    <col min="12801" max="12801" width="10.85546875" bestFit="1" customWidth="1"/>
    <col min="12802" max="12802" width="26.85546875" bestFit="1" customWidth="1"/>
    <col min="12803" max="12803" width="20.85546875" bestFit="1" customWidth="1"/>
    <col min="12804" max="12804" width="30.42578125" bestFit="1" customWidth="1"/>
    <col min="12805" max="12805" width="19.42578125" bestFit="1" customWidth="1"/>
    <col min="12806" max="12806" width="20.28515625" bestFit="1" customWidth="1"/>
    <col min="12807" max="12808" width="12" bestFit="1" customWidth="1"/>
    <col min="12809" max="12810" width="12.5703125" bestFit="1" customWidth="1"/>
    <col min="12811" max="12811" width="11.7109375" bestFit="1" customWidth="1"/>
    <col min="12812" max="12812" width="19" bestFit="1" customWidth="1"/>
    <col min="12813" max="12813" width="12.140625" bestFit="1" customWidth="1"/>
    <col min="13043" max="13043" width="15" bestFit="1" customWidth="1"/>
    <col min="13044" max="13044" width="68.28515625" bestFit="1" customWidth="1"/>
    <col min="13045" max="13045" width="9.140625" bestFit="1" customWidth="1"/>
    <col min="13046" max="13046" width="21.42578125" bestFit="1" customWidth="1"/>
    <col min="13047" max="13049" width="15.42578125" bestFit="1" customWidth="1"/>
    <col min="13050" max="13050" width="8.85546875" bestFit="1" customWidth="1"/>
    <col min="13051" max="13051" width="10" bestFit="1" customWidth="1"/>
    <col min="13052" max="13052" width="12.7109375" bestFit="1" customWidth="1"/>
    <col min="13053" max="13053" width="8.85546875" bestFit="1" customWidth="1"/>
    <col min="13054" max="13054" width="17.7109375" bestFit="1" customWidth="1"/>
    <col min="13055" max="13055" width="13" bestFit="1" customWidth="1"/>
    <col min="13056" max="13056" width="13.42578125" bestFit="1" customWidth="1"/>
    <col min="13057" max="13057" width="10.85546875" bestFit="1" customWidth="1"/>
    <col min="13058" max="13058" width="26.85546875" bestFit="1" customWidth="1"/>
    <col min="13059" max="13059" width="20.85546875" bestFit="1" customWidth="1"/>
    <col min="13060" max="13060" width="30.42578125" bestFit="1" customWidth="1"/>
    <col min="13061" max="13061" width="19.42578125" bestFit="1" customWidth="1"/>
    <col min="13062" max="13062" width="20.28515625" bestFit="1" customWidth="1"/>
    <col min="13063" max="13064" width="12" bestFit="1" customWidth="1"/>
    <col min="13065" max="13066" width="12.5703125" bestFit="1" customWidth="1"/>
    <col min="13067" max="13067" width="11.7109375" bestFit="1" customWidth="1"/>
    <col min="13068" max="13068" width="19" bestFit="1" customWidth="1"/>
    <col min="13069" max="13069" width="12.140625" bestFit="1" customWidth="1"/>
    <col min="13299" max="13299" width="15" bestFit="1" customWidth="1"/>
    <col min="13300" max="13300" width="68.28515625" bestFit="1" customWidth="1"/>
    <col min="13301" max="13301" width="9.140625" bestFit="1" customWidth="1"/>
    <col min="13302" max="13302" width="21.42578125" bestFit="1" customWidth="1"/>
    <col min="13303" max="13305" width="15.42578125" bestFit="1" customWidth="1"/>
    <col min="13306" max="13306" width="8.85546875" bestFit="1" customWidth="1"/>
    <col min="13307" max="13307" width="10" bestFit="1" customWidth="1"/>
    <col min="13308" max="13308" width="12.7109375" bestFit="1" customWidth="1"/>
    <col min="13309" max="13309" width="8.85546875" bestFit="1" customWidth="1"/>
    <col min="13310" max="13310" width="17.7109375" bestFit="1" customWidth="1"/>
    <col min="13311" max="13311" width="13" bestFit="1" customWidth="1"/>
    <col min="13312" max="13312" width="13.42578125" bestFit="1" customWidth="1"/>
    <col min="13313" max="13313" width="10.85546875" bestFit="1" customWidth="1"/>
    <col min="13314" max="13314" width="26.85546875" bestFit="1" customWidth="1"/>
    <col min="13315" max="13315" width="20.85546875" bestFit="1" customWidth="1"/>
    <col min="13316" max="13316" width="30.42578125" bestFit="1" customWidth="1"/>
    <col min="13317" max="13317" width="19.42578125" bestFit="1" customWidth="1"/>
    <col min="13318" max="13318" width="20.28515625" bestFit="1" customWidth="1"/>
    <col min="13319" max="13320" width="12" bestFit="1" customWidth="1"/>
    <col min="13321" max="13322" width="12.5703125" bestFit="1" customWidth="1"/>
    <col min="13323" max="13323" width="11.7109375" bestFit="1" customWidth="1"/>
    <col min="13324" max="13324" width="19" bestFit="1" customWidth="1"/>
    <col min="13325" max="13325" width="12.140625" bestFit="1" customWidth="1"/>
    <col min="13555" max="13555" width="15" bestFit="1" customWidth="1"/>
    <col min="13556" max="13556" width="68.28515625" bestFit="1" customWidth="1"/>
    <col min="13557" max="13557" width="9.140625" bestFit="1" customWidth="1"/>
    <col min="13558" max="13558" width="21.42578125" bestFit="1" customWidth="1"/>
    <col min="13559" max="13561" width="15.42578125" bestFit="1" customWidth="1"/>
    <col min="13562" max="13562" width="8.85546875" bestFit="1" customWidth="1"/>
    <col min="13563" max="13563" width="10" bestFit="1" customWidth="1"/>
    <col min="13564" max="13564" width="12.7109375" bestFit="1" customWidth="1"/>
    <col min="13565" max="13565" width="8.85546875" bestFit="1" customWidth="1"/>
    <col min="13566" max="13566" width="17.7109375" bestFit="1" customWidth="1"/>
    <col min="13567" max="13567" width="13" bestFit="1" customWidth="1"/>
    <col min="13568" max="13568" width="13.42578125" bestFit="1" customWidth="1"/>
    <col min="13569" max="13569" width="10.85546875" bestFit="1" customWidth="1"/>
    <col min="13570" max="13570" width="26.85546875" bestFit="1" customWidth="1"/>
    <col min="13571" max="13571" width="20.85546875" bestFit="1" customWidth="1"/>
    <col min="13572" max="13572" width="30.42578125" bestFit="1" customWidth="1"/>
    <col min="13573" max="13573" width="19.42578125" bestFit="1" customWidth="1"/>
    <col min="13574" max="13574" width="20.28515625" bestFit="1" customWidth="1"/>
    <col min="13575" max="13576" width="12" bestFit="1" customWidth="1"/>
    <col min="13577" max="13578" width="12.5703125" bestFit="1" customWidth="1"/>
    <col min="13579" max="13579" width="11.7109375" bestFit="1" customWidth="1"/>
    <col min="13580" max="13580" width="19" bestFit="1" customWidth="1"/>
    <col min="13581" max="13581" width="12.140625" bestFit="1" customWidth="1"/>
    <col min="13811" max="13811" width="15" bestFit="1" customWidth="1"/>
    <col min="13812" max="13812" width="68.28515625" bestFit="1" customWidth="1"/>
    <col min="13813" max="13813" width="9.140625" bestFit="1" customWidth="1"/>
    <col min="13814" max="13814" width="21.42578125" bestFit="1" customWidth="1"/>
    <col min="13815" max="13817" width="15.42578125" bestFit="1" customWidth="1"/>
    <col min="13818" max="13818" width="8.85546875" bestFit="1" customWidth="1"/>
    <col min="13819" max="13819" width="10" bestFit="1" customWidth="1"/>
    <col min="13820" max="13820" width="12.7109375" bestFit="1" customWidth="1"/>
    <col min="13821" max="13821" width="8.85546875" bestFit="1" customWidth="1"/>
    <col min="13822" max="13822" width="17.7109375" bestFit="1" customWidth="1"/>
    <col min="13823" max="13823" width="13" bestFit="1" customWidth="1"/>
    <col min="13824" max="13824" width="13.42578125" bestFit="1" customWidth="1"/>
    <col min="13825" max="13825" width="10.85546875" bestFit="1" customWidth="1"/>
    <col min="13826" max="13826" width="26.85546875" bestFit="1" customWidth="1"/>
    <col min="13827" max="13827" width="20.85546875" bestFit="1" customWidth="1"/>
    <col min="13828" max="13828" width="30.42578125" bestFit="1" customWidth="1"/>
    <col min="13829" max="13829" width="19.42578125" bestFit="1" customWidth="1"/>
    <col min="13830" max="13830" width="20.28515625" bestFit="1" customWidth="1"/>
    <col min="13831" max="13832" width="12" bestFit="1" customWidth="1"/>
    <col min="13833" max="13834" width="12.5703125" bestFit="1" customWidth="1"/>
    <col min="13835" max="13835" width="11.7109375" bestFit="1" customWidth="1"/>
    <col min="13836" max="13836" width="19" bestFit="1" customWidth="1"/>
    <col min="13837" max="13837" width="12.140625" bestFit="1" customWidth="1"/>
    <col min="14067" max="14067" width="15" bestFit="1" customWidth="1"/>
    <col min="14068" max="14068" width="68.28515625" bestFit="1" customWidth="1"/>
    <col min="14069" max="14069" width="9.140625" bestFit="1" customWidth="1"/>
    <col min="14070" max="14070" width="21.42578125" bestFit="1" customWidth="1"/>
    <col min="14071" max="14073" width="15.42578125" bestFit="1" customWidth="1"/>
    <col min="14074" max="14074" width="8.85546875" bestFit="1" customWidth="1"/>
    <col min="14075" max="14075" width="10" bestFit="1" customWidth="1"/>
    <col min="14076" max="14076" width="12.7109375" bestFit="1" customWidth="1"/>
    <col min="14077" max="14077" width="8.85546875" bestFit="1" customWidth="1"/>
    <col min="14078" max="14078" width="17.7109375" bestFit="1" customWidth="1"/>
    <col min="14079" max="14079" width="13" bestFit="1" customWidth="1"/>
    <col min="14080" max="14080" width="13.42578125" bestFit="1" customWidth="1"/>
    <col min="14081" max="14081" width="10.85546875" bestFit="1" customWidth="1"/>
    <col min="14082" max="14082" width="26.85546875" bestFit="1" customWidth="1"/>
    <col min="14083" max="14083" width="20.85546875" bestFit="1" customWidth="1"/>
    <col min="14084" max="14084" width="30.42578125" bestFit="1" customWidth="1"/>
    <col min="14085" max="14085" width="19.42578125" bestFit="1" customWidth="1"/>
    <col min="14086" max="14086" width="20.28515625" bestFit="1" customWidth="1"/>
    <col min="14087" max="14088" width="12" bestFit="1" customWidth="1"/>
    <col min="14089" max="14090" width="12.5703125" bestFit="1" customWidth="1"/>
    <col min="14091" max="14091" width="11.7109375" bestFit="1" customWidth="1"/>
    <col min="14092" max="14092" width="19" bestFit="1" customWidth="1"/>
    <col min="14093" max="14093" width="12.140625" bestFit="1" customWidth="1"/>
    <col min="14323" max="14323" width="15" bestFit="1" customWidth="1"/>
    <col min="14324" max="14324" width="68.28515625" bestFit="1" customWidth="1"/>
    <col min="14325" max="14325" width="9.140625" bestFit="1" customWidth="1"/>
    <col min="14326" max="14326" width="21.42578125" bestFit="1" customWidth="1"/>
    <col min="14327" max="14329" width="15.42578125" bestFit="1" customWidth="1"/>
    <col min="14330" max="14330" width="8.85546875" bestFit="1" customWidth="1"/>
    <col min="14331" max="14331" width="10" bestFit="1" customWidth="1"/>
    <col min="14332" max="14332" width="12.7109375" bestFit="1" customWidth="1"/>
    <col min="14333" max="14333" width="8.85546875" bestFit="1" customWidth="1"/>
    <col min="14334" max="14334" width="17.7109375" bestFit="1" customWidth="1"/>
    <col min="14335" max="14335" width="13" bestFit="1" customWidth="1"/>
    <col min="14336" max="14336" width="13.42578125" bestFit="1" customWidth="1"/>
    <col min="14337" max="14337" width="10.85546875" bestFit="1" customWidth="1"/>
    <col min="14338" max="14338" width="26.85546875" bestFit="1" customWidth="1"/>
    <col min="14339" max="14339" width="20.85546875" bestFit="1" customWidth="1"/>
    <col min="14340" max="14340" width="30.42578125" bestFit="1" customWidth="1"/>
    <col min="14341" max="14341" width="19.42578125" bestFit="1" customWidth="1"/>
    <col min="14342" max="14342" width="20.28515625" bestFit="1" customWidth="1"/>
    <col min="14343" max="14344" width="12" bestFit="1" customWidth="1"/>
    <col min="14345" max="14346" width="12.5703125" bestFit="1" customWidth="1"/>
    <col min="14347" max="14347" width="11.7109375" bestFit="1" customWidth="1"/>
    <col min="14348" max="14348" width="19" bestFit="1" customWidth="1"/>
    <col min="14349" max="14349" width="12.140625" bestFit="1" customWidth="1"/>
    <col min="14579" max="14579" width="15" bestFit="1" customWidth="1"/>
    <col min="14580" max="14580" width="68.28515625" bestFit="1" customWidth="1"/>
    <col min="14581" max="14581" width="9.140625" bestFit="1" customWidth="1"/>
    <col min="14582" max="14582" width="21.42578125" bestFit="1" customWidth="1"/>
    <col min="14583" max="14585" width="15.42578125" bestFit="1" customWidth="1"/>
    <col min="14586" max="14586" width="8.85546875" bestFit="1" customWidth="1"/>
    <col min="14587" max="14587" width="10" bestFit="1" customWidth="1"/>
    <col min="14588" max="14588" width="12.7109375" bestFit="1" customWidth="1"/>
    <col min="14589" max="14589" width="8.85546875" bestFit="1" customWidth="1"/>
    <col min="14590" max="14590" width="17.7109375" bestFit="1" customWidth="1"/>
    <col min="14591" max="14591" width="13" bestFit="1" customWidth="1"/>
    <col min="14592" max="14592" width="13.42578125" bestFit="1" customWidth="1"/>
    <col min="14593" max="14593" width="10.85546875" bestFit="1" customWidth="1"/>
    <col min="14594" max="14594" width="26.85546875" bestFit="1" customWidth="1"/>
    <col min="14595" max="14595" width="20.85546875" bestFit="1" customWidth="1"/>
    <col min="14596" max="14596" width="30.42578125" bestFit="1" customWidth="1"/>
    <col min="14597" max="14597" width="19.42578125" bestFit="1" customWidth="1"/>
    <col min="14598" max="14598" width="20.28515625" bestFit="1" customWidth="1"/>
    <col min="14599" max="14600" width="12" bestFit="1" customWidth="1"/>
    <col min="14601" max="14602" width="12.5703125" bestFit="1" customWidth="1"/>
    <col min="14603" max="14603" width="11.7109375" bestFit="1" customWidth="1"/>
    <col min="14604" max="14604" width="19" bestFit="1" customWidth="1"/>
    <col min="14605" max="14605" width="12.140625" bestFit="1" customWidth="1"/>
    <col min="14835" max="14835" width="15" bestFit="1" customWidth="1"/>
    <col min="14836" max="14836" width="68.28515625" bestFit="1" customWidth="1"/>
    <col min="14837" max="14837" width="9.140625" bestFit="1" customWidth="1"/>
    <col min="14838" max="14838" width="21.42578125" bestFit="1" customWidth="1"/>
    <col min="14839" max="14841" width="15.42578125" bestFit="1" customWidth="1"/>
    <col min="14842" max="14842" width="8.85546875" bestFit="1" customWidth="1"/>
    <col min="14843" max="14843" width="10" bestFit="1" customWidth="1"/>
    <col min="14844" max="14844" width="12.7109375" bestFit="1" customWidth="1"/>
    <col min="14845" max="14845" width="8.85546875" bestFit="1" customWidth="1"/>
    <col min="14846" max="14846" width="17.7109375" bestFit="1" customWidth="1"/>
    <col min="14847" max="14847" width="13" bestFit="1" customWidth="1"/>
    <col min="14848" max="14848" width="13.42578125" bestFit="1" customWidth="1"/>
    <col min="14849" max="14849" width="10.85546875" bestFit="1" customWidth="1"/>
    <col min="14850" max="14850" width="26.85546875" bestFit="1" customWidth="1"/>
    <col min="14851" max="14851" width="20.85546875" bestFit="1" customWidth="1"/>
    <col min="14852" max="14852" width="30.42578125" bestFit="1" customWidth="1"/>
    <col min="14853" max="14853" width="19.42578125" bestFit="1" customWidth="1"/>
    <col min="14854" max="14854" width="20.28515625" bestFit="1" customWidth="1"/>
    <col min="14855" max="14856" width="12" bestFit="1" customWidth="1"/>
    <col min="14857" max="14858" width="12.5703125" bestFit="1" customWidth="1"/>
    <col min="14859" max="14859" width="11.7109375" bestFit="1" customWidth="1"/>
    <col min="14860" max="14860" width="19" bestFit="1" customWidth="1"/>
    <col min="14861" max="14861" width="12.140625" bestFit="1" customWidth="1"/>
    <col min="15091" max="15091" width="15" bestFit="1" customWidth="1"/>
    <col min="15092" max="15092" width="68.28515625" bestFit="1" customWidth="1"/>
    <col min="15093" max="15093" width="9.140625" bestFit="1" customWidth="1"/>
    <col min="15094" max="15094" width="21.42578125" bestFit="1" customWidth="1"/>
    <col min="15095" max="15097" width="15.42578125" bestFit="1" customWidth="1"/>
    <col min="15098" max="15098" width="8.85546875" bestFit="1" customWidth="1"/>
    <col min="15099" max="15099" width="10" bestFit="1" customWidth="1"/>
    <col min="15100" max="15100" width="12.7109375" bestFit="1" customWidth="1"/>
    <col min="15101" max="15101" width="8.85546875" bestFit="1" customWidth="1"/>
    <col min="15102" max="15102" width="17.7109375" bestFit="1" customWidth="1"/>
    <col min="15103" max="15103" width="13" bestFit="1" customWidth="1"/>
    <col min="15104" max="15104" width="13.42578125" bestFit="1" customWidth="1"/>
    <col min="15105" max="15105" width="10.85546875" bestFit="1" customWidth="1"/>
    <col min="15106" max="15106" width="26.85546875" bestFit="1" customWidth="1"/>
    <col min="15107" max="15107" width="20.85546875" bestFit="1" customWidth="1"/>
    <col min="15108" max="15108" width="30.42578125" bestFit="1" customWidth="1"/>
    <col min="15109" max="15109" width="19.42578125" bestFit="1" customWidth="1"/>
    <col min="15110" max="15110" width="20.28515625" bestFit="1" customWidth="1"/>
    <col min="15111" max="15112" width="12" bestFit="1" customWidth="1"/>
    <col min="15113" max="15114" width="12.5703125" bestFit="1" customWidth="1"/>
    <col min="15115" max="15115" width="11.7109375" bestFit="1" customWidth="1"/>
    <col min="15116" max="15116" width="19" bestFit="1" customWidth="1"/>
    <col min="15117" max="15117" width="12.140625" bestFit="1" customWidth="1"/>
    <col min="15347" max="15347" width="15" bestFit="1" customWidth="1"/>
    <col min="15348" max="15348" width="68.28515625" bestFit="1" customWidth="1"/>
    <col min="15349" max="15349" width="9.140625" bestFit="1" customWidth="1"/>
    <col min="15350" max="15350" width="21.42578125" bestFit="1" customWidth="1"/>
    <col min="15351" max="15353" width="15.42578125" bestFit="1" customWidth="1"/>
    <col min="15354" max="15354" width="8.85546875" bestFit="1" customWidth="1"/>
    <col min="15355" max="15355" width="10" bestFit="1" customWidth="1"/>
    <col min="15356" max="15356" width="12.7109375" bestFit="1" customWidth="1"/>
    <col min="15357" max="15357" width="8.85546875" bestFit="1" customWidth="1"/>
    <col min="15358" max="15358" width="17.7109375" bestFit="1" customWidth="1"/>
    <col min="15359" max="15359" width="13" bestFit="1" customWidth="1"/>
    <col min="15360" max="15360" width="13.42578125" bestFit="1" customWidth="1"/>
    <col min="15361" max="15361" width="10.85546875" bestFit="1" customWidth="1"/>
    <col min="15362" max="15362" width="26.85546875" bestFit="1" customWidth="1"/>
    <col min="15363" max="15363" width="20.85546875" bestFit="1" customWidth="1"/>
    <col min="15364" max="15364" width="30.42578125" bestFit="1" customWidth="1"/>
    <col min="15365" max="15365" width="19.42578125" bestFit="1" customWidth="1"/>
    <col min="15366" max="15366" width="20.28515625" bestFit="1" customWidth="1"/>
    <col min="15367" max="15368" width="12" bestFit="1" customWidth="1"/>
    <col min="15369" max="15370" width="12.5703125" bestFit="1" customWidth="1"/>
    <col min="15371" max="15371" width="11.7109375" bestFit="1" customWidth="1"/>
    <col min="15372" max="15372" width="19" bestFit="1" customWidth="1"/>
    <col min="15373" max="15373" width="12.140625" bestFit="1" customWidth="1"/>
    <col min="15603" max="15603" width="15" bestFit="1" customWidth="1"/>
    <col min="15604" max="15604" width="68.28515625" bestFit="1" customWidth="1"/>
    <col min="15605" max="15605" width="9.140625" bestFit="1" customWidth="1"/>
    <col min="15606" max="15606" width="21.42578125" bestFit="1" customWidth="1"/>
    <col min="15607" max="15609" width="15.42578125" bestFit="1" customWidth="1"/>
    <col min="15610" max="15610" width="8.85546875" bestFit="1" customWidth="1"/>
    <col min="15611" max="15611" width="10" bestFit="1" customWidth="1"/>
    <col min="15612" max="15612" width="12.7109375" bestFit="1" customWidth="1"/>
    <col min="15613" max="15613" width="8.85546875" bestFit="1" customWidth="1"/>
    <col min="15614" max="15614" width="17.7109375" bestFit="1" customWidth="1"/>
    <col min="15615" max="15615" width="13" bestFit="1" customWidth="1"/>
    <col min="15616" max="15616" width="13.42578125" bestFit="1" customWidth="1"/>
    <col min="15617" max="15617" width="10.85546875" bestFit="1" customWidth="1"/>
    <col min="15618" max="15618" width="26.85546875" bestFit="1" customWidth="1"/>
    <col min="15619" max="15619" width="20.85546875" bestFit="1" customWidth="1"/>
    <col min="15620" max="15620" width="30.42578125" bestFit="1" customWidth="1"/>
    <col min="15621" max="15621" width="19.42578125" bestFit="1" customWidth="1"/>
    <col min="15622" max="15622" width="20.28515625" bestFit="1" customWidth="1"/>
    <col min="15623" max="15624" width="12" bestFit="1" customWidth="1"/>
    <col min="15625" max="15626" width="12.5703125" bestFit="1" customWidth="1"/>
    <col min="15627" max="15627" width="11.7109375" bestFit="1" customWidth="1"/>
    <col min="15628" max="15628" width="19" bestFit="1" customWidth="1"/>
    <col min="15629" max="15629" width="12.140625" bestFit="1" customWidth="1"/>
    <col min="15859" max="15859" width="15" bestFit="1" customWidth="1"/>
    <col min="15860" max="15860" width="68.28515625" bestFit="1" customWidth="1"/>
    <col min="15861" max="15861" width="9.140625" bestFit="1" customWidth="1"/>
    <col min="15862" max="15862" width="21.42578125" bestFit="1" customWidth="1"/>
    <col min="15863" max="15865" width="15.42578125" bestFit="1" customWidth="1"/>
    <col min="15866" max="15866" width="8.85546875" bestFit="1" customWidth="1"/>
    <col min="15867" max="15867" width="10" bestFit="1" customWidth="1"/>
    <col min="15868" max="15868" width="12.7109375" bestFit="1" customWidth="1"/>
    <col min="15869" max="15869" width="8.85546875" bestFit="1" customWidth="1"/>
    <col min="15870" max="15870" width="17.7109375" bestFit="1" customWidth="1"/>
    <col min="15871" max="15871" width="13" bestFit="1" customWidth="1"/>
    <col min="15872" max="15872" width="13.42578125" bestFit="1" customWidth="1"/>
    <col min="15873" max="15873" width="10.85546875" bestFit="1" customWidth="1"/>
    <col min="15874" max="15874" width="26.85546875" bestFit="1" customWidth="1"/>
    <col min="15875" max="15875" width="20.85546875" bestFit="1" customWidth="1"/>
    <col min="15876" max="15876" width="30.42578125" bestFit="1" customWidth="1"/>
    <col min="15877" max="15877" width="19.42578125" bestFit="1" customWidth="1"/>
    <col min="15878" max="15878" width="20.28515625" bestFit="1" customWidth="1"/>
    <col min="15879" max="15880" width="12" bestFit="1" customWidth="1"/>
    <col min="15881" max="15882" width="12.5703125" bestFit="1" customWidth="1"/>
    <col min="15883" max="15883" width="11.7109375" bestFit="1" customWidth="1"/>
    <col min="15884" max="15884" width="19" bestFit="1" customWidth="1"/>
    <col min="15885" max="15885" width="12.140625" bestFit="1" customWidth="1"/>
    <col min="16115" max="16115" width="15" bestFit="1" customWidth="1"/>
    <col min="16116" max="16116" width="68.28515625" bestFit="1" customWidth="1"/>
    <col min="16117" max="16117" width="9.140625" bestFit="1" customWidth="1"/>
    <col min="16118" max="16118" width="21.42578125" bestFit="1" customWidth="1"/>
    <col min="16119" max="16121" width="15.42578125" bestFit="1" customWidth="1"/>
    <col min="16122" max="16122" width="8.85546875" bestFit="1" customWidth="1"/>
    <col min="16123" max="16123" width="10" bestFit="1" customWidth="1"/>
    <col min="16124" max="16124" width="12.7109375" bestFit="1" customWidth="1"/>
    <col min="16125" max="16125" width="8.85546875" bestFit="1" customWidth="1"/>
    <col min="16126" max="16126" width="17.7109375" bestFit="1" customWidth="1"/>
    <col min="16127" max="16127" width="13" bestFit="1" customWidth="1"/>
    <col min="16128" max="16128" width="13.42578125" bestFit="1" customWidth="1"/>
    <col min="16129" max="16129" width="10.85546875" bestFit="1" customWidth="1"/>
    <col min="16130" max="16130" width="26.85546875" bestFit="1" customWidth="1"/>
    <col min="16131" max="16131" width="20.85546875" bestFit="1" customWidth="1"/>
    <col min="16132" max="16132" width="30.42578125" bestFit="1" customWidth="1"/>
    <col min="16133" max="16133" width="19.42578125" bestFit="1" customWidth="1"/>
    <col min="16134" max="16134" width="20.28515625" bestFit="1" customWidth="1"/>
    <col min="16135" max="16136" width="12" bestFit="1" customWidth="1"/>
    <col min="16137" max="16138" width="12.5703125" bestFit="1" customWidth="1"/>
    <col min="16139" max="16139" width="11.7109375" bestFit="1" customWidth="1"/>
    <col min="16140" max="16140" width="19" bestFit="1" customWidth="1"/>
    <col min="16141" max="16141" width="12.140625" bestFit="1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118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x14ac:dyDescent="0.25">
      <c r="A2" s="24" t="s">
        <v>11447</v>
      </c>
      <c r="C2" t="str">
        <f t="shared" ref="C2:C18" si="0">CONCATENATE(LEFT(T2,3),RIGHT(A2,8))</f>
        <v>INS2001</v>
      </c>
      <c r="D2" t="s">
        <v>8689</v>
      </c>
      <c r="E2" s="1" t="s">
        <v>8704</v>
      </c>
      <c r="F2" s="61">
        <v>100</v>
      </c>
      <c r="G2" s="119">
        <v>0</v>
      </c>
      <c r="H2" s="3">
        <v>0</v>
      </c>
      <c r="I2">
        <v>100</v>
      </c>
      <c r="J2" s="54">
        <v>100</v>
      </c>
      <c r="K2" s="54"/>
      <c r="L2" s="57">
        <f>((ARTICULOS_INTERNOS[[#This Row],[P. Compra]]*(1+ARTICULOS_INTERNOS[[#This Row],[IVA]]))/ARTICULOS_INTERNOS[[#This Row],[UnidFact]])+ARTICULOS_INTERNOS[[#This Row],[CostoFlete]]</f>
        <v>1</v>
      </c>
      <c r="M2">
        <v>0</v>
      </c>
      <c r="N2" s="63">
        <f t="shared" ref="N2:N18" si="1">(L2/(1-(M2/100)))</f>
        <v>1</v>
      </c>
      <c r="O2" s="3">
        <f>MROUND((ARTICULOS_INTERNOS[[#This Row],[Precio]]/0.6),50)</f>
        <v>0</v>
      </c>
      <c r="P2" t="s">
        <v>8693</v>
      </c>
      <c r="Q2">
        <v>10</v>
      </c>
      <c r="R2" s="3">
        <f>ARTICULOS_INTERNOS[[#This Row],[Bulto]]+ARTICULOS_INTERNOS[[#This Row],[Minimo]]</f>
        <v>110</v>
      </c>
      <c r="S2" t="s">
        <v>49</v>
      </c>
      <c r="T2" t="s">
        <v>8705</v>
      </c>
      <c r="U2" t="s">
        <v>47</v>
      </c>
      <c r="V2" t="s">
        <v>8691</v>
      </c>
      <c r="W2" t="s">
        <v>8692</v>
      </c>
      <c r="X2">
        <v>1</v>
      </c>
      <c r="Z2"/>
      <c r="AB2" s="80">
        <f>ARTICULOS_OSLE[[#This Row],[Costo]]*ARTICULOS_OSLE[[#This Row],[Pedido]]</f>
        <v>0</v>
      </c>
      <c r="AD2"/>
      <c r="AF2" s="2"/>
      <c r="AG2"/>
      <c r="AH2" s="2" t="str">
        <f>IF(AND(ARTICULOS_OSLE[[#This Row],[FechaVenc]]=0,ARTICULOS_OSLE[[#This Row],[DiasVenc]]=0),"",ARTICULOS_OSLE[[#This Row],[FechaVenc]]-ARTICULOS_OSLE[[#This Row],[DiasVenc]])</f>
        <v/>
      </c>
      <c r="AI2"/>
      <c r="AO2" t="s">
        <v>8689</v>
      </c>
    </row>
    <row r="3" spans="1:43" x14ac:dyDescent="0.25">
      <c r="A3" s="24" t="s">
        <v>11448</v>
      </c>
      <c r="C3" t="str">
        <f t="shared" si="0"/>
        <v>INS2002</v>
      </c>
      <c r="D3" t="s">
        <v>8689</v>
      </c>
      <c r="E3" s="1" t="s">
        <v>8706</v>
      </c>
      <c r="F3" s="61">
        <v>100</v>
      </c>
      <c r="G3" s="119">
        <v>0</v>
      </c>
      <c r="H3" s="3">
        <v>0</v>
      </c>
      <c r="I3">
        <v>100</v>
      </c>
      <c r="J3" s="54">
        <v>100</v>
      </c>
      <c r="K3" s="54"/>
      <c r="L3" s="57">
        <f>((ARTICULOS_INTERNOS[[#This Row],[P. Compra]]*(1+ARTICULOS_INTERNOS[[#This Row],[IVA]]))/ARTICULOS_INTERNOS[[#This Row],[UnidFact]])+ARTICULOS_INTERNOS[[#This Row],[CostoFlete]]</f>
        <v>1</v>
      </c>
      <c r="M3">
        <v>0</v>
      </c>
      <c r="N3" s="63">
        <f t="shared" si="1"/>
        <v>1</v>
      </c>
      <c r="O3" s="3">
        <f>MROUND((ARTICULOS_INTERNOS[[#This Row],[Precio]]/0.6),50)</f>
        <v>0</v>
      </c>
      <c r="P3" t="s">
        <v>8693</v>
      </c>
      <c r="Q3">
        <v>10</v>
      </c>
      <c r="R3" s="3">
        <f>ARTICULOS_INTERNOS[[#This Row],[Bulto]]+ARTICULOS_INTERNOS[[#This Row],[Minimo]]</f>
        <v>110</v>
      </c>
      <c r="S3" t="s">
        <v>49</v>
      </c>
      <c r="T3" t="s">
        <v>8705</v>
      </c>
      <c r="U3" t="s">
        <v>47</v>
      </c>
      <c r="V3" t="s">
        <v>8691</v>
      </c>
      <c r="W3" t="s">
        <v>8692</v>
      </c>
      <c r="X3">
        <v>1</v>
      </c>
      <c r="Z3"/>
      <c r="AB3" s="80">
        <f>ARTICULOS_OSLE[[#This Row],[Costo]]*ARTICULOS_OSLE[[#This Row],[Pedido]]</f>
        <v>0</v>
      </c>
      <c r="AD3"/>
      <c r="AG3"/>
      <c r="AH3" s="2" t="str">
        <f>IF(AND(ARTICULOS_OSLE[[#This Row],[FechaVenc]]=0,ARTICULOS_OSLE[[#This Row],[DiasVenc]]=0),"",ARTICULOS_OSLE[[#This Row],[FechaVenc]]-ARTICULOS_OSLE[[#This Row],[DiasVenc]])</f>
        <v/>
      </c>
      <c r="AI3"/>
      <c r="AO3" t="s">
        <v>8689</v>
      </c>
    </row>
    <row r="4" spans="1:43" x14ac:dyDescent="0.25">
      <c r="A4" s="24" t="s">
        <v>11449</v>
      </c>
      <c r="C4" t="str">
        <f t="shared" si="0"/>
        <v>INS2003</v>
      </c>
      <c r="D4" t="s">
        <v>8689</v>
      </c>
      <c r="E4" s="1" t="s">
        <v>8707</v>
      </c>
      <c r="F4" s="61">
        <v>100</v>
      </c>
      <c r="G4" s="119">
        <v>0</v>
      </c>
      <c r="H4" s="3">
        <v>0</v>
      </c>
      <c r="I4">
        <v>1000</v>
      </c>
      <c r="J4" s="54">
        <v>1000</v>
      </c>
      <c r="K4" s="54"/>
      <c r="L4" s="57">
        <f>((ARTICULOS_INTERNOS[[#This Row],[P. Compra]]*(1+ARTICULOS_INTERNOS[[#This Row],[IVA]]))/ARTICULOS_INTERNOS[[#This Row],[UnidFact]])+ARTICULOS_INTERNOS[[#This Row],[CostoFlete]]</f>
        <v>0.1</v>
      </c>
      <c r="M4">
        <v>0</v>
      </c>
      <c r="N4" s="63">
        <f t="shared" si="1"/>
        <v>0.1</v>
      </c>
      <c r="O4" s="3">
        <f>MROUND((ARTICULOS_INTERNOS[[#This Row],[Precio]]/0.6),50)</f>
        <v>0</v>
      </c>
      <c r="P4" t="s">
        <v>8693</v>
      </c>
      <c r="Q4">
        <v>100</v>
      </c>
      <c r="R4" s="3">
        <f>ARTICULOS_INTERNOS[[#This Row],[Bulto]]+ARTICULOS_INTERNOS[[#This Row],[Minimo]]</f>
        <v>1100</v>
      </c>
      <c r="S4" t="s">
        <v>49</v>
      </c>
      <c r="T4" t="s">
        <v>8705</v>
      </c>
      <c r="U4" t="s">
        <v>47</v>
      </c>
      <c r="V4" t="s">
        <v>8691</v>
      </c>
      <c r="W4" t="s">
        <v>8692</v>
      </c>
      <c r="X4">
        <v>1</v>
      </c>
      <c r="Z4"/>
      <c r="AB4" s="80">
        <f>ARTICULOS_OSLE[[#This Row],[Costo]]*ARTICULOS_OSLE[[#This Row],[Pedido]]</f>
        <v>0</v>
      </c>
      <c r="AD4"/>
      <c r="AG4"/>
      <c r="AH4" s="2" t="str">
        <f>IF(AND(ARTICULOS_OSLE[[#This Row],[FechaVenc]]=0,ARTICULOS_OSLE[[#This Row],[DiasVenc]]=0),"",ARTICULOS_OSLE[[#This Row],[FechaVenc]]-ARTICULOS_OSLE[[#This Row],[DiasVenc]])</f>
        <v/>
      </c>
      <c r="AI4"/>
      <c r="AO4" t="s">
        <v>8689</v>
      </c>
    </row>
    <row r="5" spans="1:43" x14ac:dyDescent="0.25">
      <c r="A5" s="24" t="s">
        <v>11450</v>
      </c>
      <c r="B5" s="1" t="s">
        <v>11867</v>
      </c>
      <c r="C5" t="str">
        <f t="shared" si="0"/>
        <v>INS2004</v>
      </c>
      <c r="D5" t="s">
        <v>8689</v>
      </c>
      <c r="E5" s="24" t="s">
        <v>11406</v>
      </c>
      <c r="F5" s="61">
        <v>4855.2</v>
      </c>
      <c r="G5" s="119">
        <v>0</v>
      </c>
      <c r="H5" s="3">
        <v>0</v>
      </c>
      <c r="I5">
        <v>120</v>
      </c>
      <c r="J5" s="54">
        <v>120</v>
      </c>
      <c r="K5" s="54"/>
      <c r="L5" s="57">
        <f>((ARTICULOS_INTERNOS[[#This Row],[P. Compra]]*(1+ARTICULOS_INTERNOS[[#This Row],[IVA]]))/ARTICULOS_INTERNOS[[#This Row],[UnidFact]])+ARTICULOS_INTERNOS[[#This Row],[CostoFlete]]</f>
        <v>40.46</v>
      </c>
      <c r="M5">
        <v>0</v>
      </c>
      <c r="N5" s="63">
        <f t="shared" si="1"/>
        <v>40.46</v>
      </c>
      <c r="O5" s="3">
        <f>MROUND((ARTICULOS_INTERNOS[[#This Row],[Precio]]/0.6),50)</f>
        <v>50</v>
      </c>
      <c r="P5" t="s">
        <v>8693</v>
      </c>
      <c r="R5" s="23">
        <f>ARTICULOS_INTERNOS[[#This Row],[Bulto]]+ARTICULOS_INTERNOS[[#This Row],[Minimo]]</f>
        <v>120</v>
      </c>
      <c r="S5" t="s">
        <v>49</v>
      </c>
      <c r="T5" t="s">
        <v>8705</v>
      </c>
      <c r="U5" t="s">
        <v>47</v>
      </c>
      <c r="V5" t="s">
        <v>8691</v>
      </c>
      <c r="W5" t="s">
        <v>8692</v>
      </c>
      <c r="X5">
        <v>1</v>
      </c>
      <c r="Y5">
        <v>120</v>
      </c>
      <c r="AB5" s="80">
        <f>ARTICULOS_OSLE[[#This Row],[Costo]]*ARTICULOS_OSLE[[#This Row],[Pedido]]</f>
        <v>0</v>
      </c>
      <c r="AH5" s="2" t="str">
        <f>IF(AND(ARTICULOS_OSLE[[#This Row],[FechaVenc]]=0,ARTICULOS_OSLE[[#This Row],[DiasVenc]]=0),"",ARTICULOS_OSLE[[#This Row],[FechaVenc]]-ARTICULOS_OSLE[[#This Row],[DiasVenc]])</f>
        <v/>
      </c>
      <c r="AO5" t="s">
        <v>8689</v>
      </c>
    </row>
    <row r="6" spans="1:43" x14ac:dyDescent="0.25">
      <c r="A6" s="24" t="s">
        <v>11451</v>
      </c>
      <c r="C6" t="str">
        <f t="shared" si="0"/>
        <v>INS2005</v>
      </c>
      <c r="D6" t="s">
        <v>8689</v>
      </c>
      <c r="E6" s="24" t="s">
        <v>11407</v>
      </c>
      <c r="F6" s="61">
        <v>100</v>
      </c>
      <c r="G6" s="119">
        <v>0</v>
      </c>
      <c r="H6" s="3">
        <v>0</v>
      </c>
      <c r="I6">
        <v>30</v>
      </c>
      <c r="J6" s="54">
        <v>200</v>
      </c>
      <c r="K6" s="54"/>
      <c r="L6" s="57">
        <f>((ARTICULOS_INTERNOS[[#This Row],[P. Compra]]*(1+ARTICULOS_INTERNOS[[#This Row],[IVA]]))/ARTICULOS_INTERNOS[[#This Row],[UnidFact]])+ARTICULOS_INTERNOS[[#This Row],[CostoFlete]]</f>
        <v>0.5</v>
      </c>
      <c r="M6">
        <v>0</v>
      </c>
      <c r="N6" s="63">
        <f t="shared" si="1"/>
        <v>0.5</v>
      </c>
      <c r="O6" s="3">
        <f>MROUND((ARTICULOS_INTERNOS[[#This Row],[Precio]]/0.6),50)</f>
        <v>0</v>
      </c>
      <c r="P6" t="s">
        <v>8693</v>
      </c>
      <c r="R6" s="23">
        <f>ARTICULOS_INTERNOS[[#This Row],[Bulto]]+ARTICULOS_INTERNOS[[#This Row],[Minimo]]</f>
        <v>30</v>
      </c>
      <c r="S6" t="s">
        <v>49</v>
      </c>
      <c r="T6" t="s">
        <v>8705</v>
      </c>
      <c r="U6" t="s">
        <v>47</v>
      </c>
      <c r="V6" t="s">
        <v>8691</v>
      </c>
      <c r="W6" t="s">
        <v>8692</v>
      </c>
      <c r="X6">
        <v>1</v>
      </c>
      <c r="AB6" s="80">
        <f>ARTICULOS_OSLE[[#This Row],[Costo]]*ARTICULOS_OSLE[[#This Row],[Pedido]]</f>
        <v>13950</v>
      </c>
      <c r="AH6" s="2" t="str">
        <f>IF(AND(ARTICULOS_OSLE[[#This Row],[FechaVenc]]=0,ARTICULOS_OSLE[[#This Row],[DiasVenc]]=0),"",ARTICULOS_OSLE[[#This Row],[FechaVenc]]-ARTICULOS_OSLE[[#This Row],[DiasVenc]])</f>
        <v/>
      </c>
      <c r="AO6" t="s">
        <v>8689</v>
      </c>
    </row>
    <row r="7" spans="1:43" x14ac:dyDescent="0.25">
      <c r="A7" s="24" t="s">
        <v>11452</v>
      </c>
      <c r="C7" t="str">
        <f t="shared" si="0"/>
        <v>INS2006</v>
      </c>
      <c r="D7" t="s">
        <v>8689</v>
      </c>
      <c r="E7" s="24" t="s">
        <v>11408</v>
      </c>
      <c r="F7" s="61">
        <v>100</v>
      </c>
      <c r="G7" s="119">
        <v>0</v>
      </c>
      <c r="H7" s="3">
        <v>0</v>
      </c>
      <c r="I7">
        <v>1</v>
      </c>
      <c r="J7" s="54">
        <v>1</v>
      </c>
      <c r="K7" s="54"/>
      <c r="L7" s="57">
        <f>((ARTICULOS_INTERNOS[[#This Row],[P. Compra]]*(1+ARTICULOS_INTERNOS[[#This Row],[IVA]]))/ARTICULOS_INTERNOS[[#This Row],[UnidFact]])+ARTICULOS_INTERNOS[[#This Row],[CostoFlete]]</f>
        <v>100</v>
      </c>
      <c r="M7">
        <v>0</v>
      </c>
      <c r="N7" s="63">
        <f t="shared" si="1"/>
        <v>100</v>
      </c>
      <c r="O7" s="3">
        <f>MROUND((ARTICULOS_INTERNOS[[#This Row],[Precio]]/0.6),50)</f>
        <v>150</v>
      </c>
      <c r="P7" t="s">
        <v>8693</v>
      </c>
      <c r="R7" s="23">
        <f>ARTICULOS_INTERNOS[[#This Row],[Bulto]]+ARTICULOS_INTERNOS[[#This Row],[Minimo]]</f>
        <v>1</v>
      </c>
      <c r="S7" t="s">
        <v>49</v>
      </c>
      <c r="T7" t="s">
        <v>8705</v>
      </c>
      <c r="U7" t="s">
        <v>47</v>
      </c>
      <c r="V7" t="s">
        <v>8691</v>
      </c>
      <c r="W7" t="s">
        <v>8692</v>
      </c>
      <c r="X7">
        <v>1</v>
      </c>
      <c r="AB7" s="80">
        <f>ARTICULOS_OSLE[[#This Row],[Costo]]*ARTICULOS_OSLE[[#This Row],[Pedido]]</f>
        <v>18600</v>
      </c>
      <c r="AH7" s="2" t="str">
        <f>IF(AND(ARTICULOS_OSLE[[#This Row],[FechaVenc]]=0,ARTICULOS_OSLE[[#This Row],[DiasVenc]]=0),"",ARTICULOS_OSLE[[#This Row],[FechaVenc]]-ARTICULOS_OSLE[[#This Row],[DiasVenc]])</f>
        <v/>
      </c>
      <c r="AO7" t="s">
        <v>8689</v>
      </c>
    </row>
    <row r="8" spans="1:43" x14ac:dyDescent="0.25">
      <c r="A8" s="24" t="s">
        <v>11453</v>
      </c>
      <c r="B8" s="1" t="s">
        <v>11868</v>
      </c>
      <c r="C8" t="str">
        <f t="shared" si="0"/>
        <v>INS2007</v>
      </c>
      <c r="D8" t="s">
        <v>8689</v>
      </c>
      <c r="E8" s="24" t="s">
        <v>11869</v>
      </c>
      <c r="F8" s="61">
        <v>44564</v>
      </c>
      <c r="G8" s="119">
        <v>0</v>
      </c>
      <c r="H8" s="3">
        <v>0</v>
      </c>
      <c r="I8">
        <v>1300</v>
      </c>
      <c r="J8" s="54">
        <v>1300</v>
      </c>
      <c r="K8" s="54"/>
      <c r="L8" s="57">
        <f>((ARTICULOS_INTERNOS[[#This Row],[P. Compra]]*(1+ARTICULOS_INTERNOS[[#This Row],[IVA]]))/ARTICULOS_INTERNOS[[#This Row],[UnidFact]])+ARTICULOS_INTERNOS[[#This Row],[CostoFlete]]</f>
        <v>34.28</v>
      </c>
      <c r="M8">
        <v>0</v>
      </c>
      <c r="N8" s="63">
        <f t="shared" si="1"/>
        <v>34.28</v>
      </c>
      <c r="O8" s="3">
        <f>MROUND((ARTICULOS_INTERNOS[[#This Row],[Precio]]/0.6),50)</f>
        <v>50</v>
      </c>
      <c r="P8" t="s">
        <v>8693</v>
      </c>
      <c r="Q8">
        <v>10</v>
      </c>
      <c r="R8" s="23">
        <f>ARTICULOS_INTERNOS[[#This Row],[Bulto]]+ARTICULOS_INTERNOS[[#This Row],[Minimo]]</f>
        <v>1310</v>
      </c>
      <c r="S8" t="s">
        <v>49</v>
      </c>
      <c r="T8" t="s">
        <v>8705</v>
      </c>
      <c r="U8" t="s">
        <v>47</v>
      </c>
      <c r="V8" t="s">
        <v>8691</v>
      </c>
      <c r="W8" t="s">
        <v>8692</v>
      </c>
      <c r="X8">
        <v>1</v>
      </c>
      <c r="Y8">
        <v>500</v>
      </c>
      <c r="AB8" s="80">
        <f>ARTICULOS_OSLE[[#This Row],[Costo]]*ARTICULOS_OSLE[[#This Row],[Pedido]]</f>
        <v>0</v>
      </c>
      <c r="AH8" s="2" t="str">
        <f>IF(AND(ARTICULOS_OSLE[[#This Row],[FechaVenc]]=0,ARTICULOS_OSLE[[#This Row],[DiasVenc]]=0),"",ARTICULOS_OSLE[[#This Row],[FechaVenc]]-ARTICULOS_OSLE[[#This Row],[DiasVenc]])</f>
        <v/>
      </c>
      <c r="AO8" t="s">
        <v>8689</v>
      </c>
    </row>
    <row r="9" spans="1:43" x14ac:dyDescent="0.25">
      <c r="A9" s="24" t="s">
        <v>11454</v>
      </c>
      <c r="B9" s="1" t="s">
        <v>11870</v>
      </c>
      <c r="C9" t="str">
        <f t="shared" si="0"/>
        <v>INS2008</v>
      </c>
      <c r="D9" t="s">
        <v>8689</v>
      </c>
      <c r="E9" s="24" t="s">
        <v>11871</v>
      </c>
      <c r="F9" s="61">
        <v>32734</v>
      </c>
      <c r="G9" s="119">
        <v>0</v>
      </c>
      <c r="H9" s="3">
        <v>0</v>
      </c>
      <c r="I9">
        <v>1300</v>
      </c>
      <c r="J9" s="54">
        <v>1300</v>
      </c>
      <c r="K9" s="54"/>
      <c r="L9" s="57">
        <f>((ARTICULOS_INTERNOS[[#This Row],[P. Compra]]*(1+ARTICULOS_INTERNOS[[#This Row],[IVA]]))/ARTICULOS_INTERNOS[[#This Row],[UnidFact]])+ARTICULOS_INTERNOS[[#This Row],[CostoFlete]]</f>
        <v>25.18</v>
      </c>
      <c r="M9">
        <v>0</v>
      </c>
      <c r="N9" s="63">
        <f t="shared" si="1"/>
        <v>25.18</v>
      </c>
      <c r="O9" s="3">
        <f>MROUND((ARTICULOS_INTERNOS[[#This Row],[Precio]]/0.6),50)</f>
        <v>50</v>
      </c>
      <c r="R9" s="23">
        <f>ARTICULOS_INTERNOS[[#This Row],[Bulto]]+ARTICULOS_INTERNOS[[#This Row],[Minimo]]</f>
        <v>1300</v>
      </c>
      <c r="S9" t="s">
        <v>49</v>
      </c>
      <c r="T9" t="s">
        <v>8705</v>
      </c>
      <c r="U9" t="s">
        <v>47</v>
      </c>
      <c r="V9" t="s">
        <v>8691</v>
      </c>
      <c r="W9" t="s">
        <v>8692</v>
      </c>
      <c r="X9">
        <v>1</v>
      </c>
      <c r="Y9">
        <v>500</v>
      </c>
      <c r="AB9" s="80">
        <f>ARTICULOS_OSLE[[#This Row],[Costo]]*ARTICULOS_OSLE[[#This Row],[Pedido]]</f>
        <v>0</v>
      </c>
      <c r="AH9" s="2" t="str">
        <f>IF(AND(ARTICULOS_OSLE[[#This Row],[FechaVenc]]=0,ARTICULOS_OSLE[[#This Row],[DiasVenc]]=0),"",ARTICULOS_OSLE[[#This Row],[FechaVenc]]-ARTICULOS_OSLE[[#This Row],[DiasVenc]])</f>
        <v/>
      </c>
    </row>
    <row r="10" spans="1:43" x14ac:dyDescent="0.25">
      <c r="A10" s="24" t="s">
        <v>11455</v>
      </c>
      <c r="C10" t="str">
        <f t="shared" si="0"/>
        <v>INS2009</v>
      </c>
      <c r="D10" t="s">
        <v>8689</v>
      </c>
      <c r="E10" s="24" t="s">
        <v>11410</v>
      </c>
      <c r="F10" s="61">
        <v>100</v>
      </c>
      <c r="G10" s="119">
        <v>0</v>
      </c>
      <c r="H10" s="3">
        <v>0</v>
      </c>
      <c r="I10">
        <v>500</v>
      </c>
      <c r="J10" s="54">
        <v>500</v>
      </c>
      <c r="K10" s="54"/>
      <c r="L10" s="57">
        <f>((ARTICULOS_INTERNOS[[#This Row],[P. Compra]]*(1+ARTICULOS_INTERNOS[[#This Row],[IVA]]))/ARTICULOS_INTERNOS[[#This Row],[UnidFact]])+ARTICULOS_INTERNOS[[#This Row],[CostoFlete]]</f>
        <v>0.2</v>
      </c>
      <c r="M10">
        <v>0</v>
      </c>
      <c r="N10" s="63">
        <f t="shared" si="1"/>
        <v>0.2</v>
      </c>
      <c r="O10" s="3">
        <f>MROUND((ARTICULOS_INTERNOS[[#This Row],[Precio]]/0.6),50)</f>
        <v>0</v>
      </c>
      <c r="P10" t="s">
        <v>8693</v>
      </c>
      <c r="Q10">
        <v>100</v>
      </c>
      <c r="R10" s="23">
        <f>ARTICULOS_INTERNOS[[#This Row],[Bulto]]+ARTICULOS_INTERNOS[[#This Row],[Minimo]]</f>
        <v>600</v>
      </c>
      <c r="S10" t="s">
        <v>49</v>
      </c>
      <c r="T10" t="s">
        <v>8705</v>
      </c>
      <c r="U10" t="s">
        <v>47</v>
      </c>
      <c r="V10" t="s">
        <v>8691</v>
      </c>
      <c r="W10" t="s">
        <v>8692</v>
      </c>
      <c r="X10">
        <v>1</v>
      </c>
      <c r="AB10" s="80">
        <f>ARTICULOS_OSLE[[#This Row],[Costo]]*ARTICULOS_OSLE[[#This Row],[Pedido]]</f>
        <v>0</v>
      </c>
      <c r="AH10" s="2" t="str">
        <f>IF(AND(ARTICULOS_OSLE[[#This Row],[FechaVenc]]=0,ARTICULOS_OSLE[[#This Row],[DiasVenc]]=0),"",ARTICULOS_OSLE[[#This Row],[FechaVenc]]-ARTICULOS_OSLE[[#This Row],[DiasVenc]])</f>
        <v/>
      </c>
      <c r="AO10" t="s">
        <v>8689</v>
      </c>
    </row>
    <row r="11" spans="1:43" x14ac:dyDescent="0.25">
      <c r="A11" s="24" t="s">
        <v>11456</v>
      </c>
      <c r="C11" t="str">
        <f t="shared" si="0"/>
        <v>INS2010</v>
      </c>
      <c r="D11" t="s">
        <v>8689</v>
      </c>
      <c r="E11" s="24" t="s">
        <v>11411</v>
      </c>
      <c r="F11" s="61">
        <v>100</v>
      </c>
      <c r="G11" s="119">
        <v>0</v>
      </c>
      <c r="H11" s="3">
        <v>0</v>
      </c>
      <c r="I11">
        <v>500</v>
      </c>
      <c r="J11" s="54">
        <v>500</v>
      </c>
      <c r="K11" s="54"/>
      <c r="L11" s="57">
        <f>((ARTICULOS_INTERNOS[[#This Row],[P. Compra]]*(1+ARTICULOS_INTERNOS[[#This Row],[IVA]]))/ARTICULOS_INTERNOS[[#This Row],[UnidFact]])+ARTICULOS_INTERNOS[[#This Row],[CostoFlete]]</f>
        <v>0.2</v>
      </c>
      <c r="M11">
        <v>0</v>
      </c>
      <c r="N11" s="63">
        <f t="shared" si="1"/>
        <v>0.2</v>
      </c>
      <c r="O11" s="3">
        <f>MROUND((ARTICULOS_INTERNOS[[#This Row],[Precio]]/0.6),50)</f>
        <v>0</v>
      </c>
      <c r="P11" t="s">
        <v>8693</v>
      </c>
      <c r="Q11">
        <v>100</v>
      </c>
      <c r="R11" s="23">
        <f>ARTICULOS_INTERNOS[[#This Row],[Bulto]]+ARTICULOS_INTERNOS[[#This Row],[Minimo]]</f>
        <v>600</v>
      </c>
      <c r="S11" t="s">
        <v>49</v>
      </c>
      <c r="T11" t="s">
        <v>8705</v>
      </c>
      <c r="U11" t="s">
        <v>47</v>
      </c>
      <c r="V11" t="s">
        <v>8691</v>
      </c>
      <c r="W11" t="s">
        <v>8692</v>
      </c>
      <c r="X11">
        <v>1</v>
      </c>
      <c r="AB11" s="80">
        <f>ARTICULOS_OSLE[[#This Row],[Costo]]*ARTICULOS_OSLE[[#This Row],[Pedido]]</f>
        <v>0</v>
      </c>
      <c r="AH11" s="2" t="str">
        <f>IF(AND(ARTICULOS_OSLE[[#This Row],[FechaVenc]]=0,ARTICULOS_OSLE[[#This Row],[DiasVenc]]=0),"",ARTICULOS_OSLE[[#This Row],[FechaVenc]]-ARTICULOS_OSLE[[#This Row],[DiasVenc]])</f>
        <v/>
      </c>
      <c r="AO11" t="s">
        <v>8689</v>
      </c>
    </row>
    <row r="12" spans="1:43" x14ac:dyDescent="0.25">
      <c r="A12" s="24" t="s">
        <v>11457</v>
      </c>
      <c r="C12" t="str">
        <f t="shared" si="0"/>
        <v>INS2011</v>
      </c>
      <c r="D12" t="s">
        <v>8689</v>
      </c>
      <c r="E12" s="24" t="s">
        <v>11412</v>
      </c>
      <c r="F12" s="61">
        <v>100</v>
      </c>
      <c r="G12" s="119">
        <v>0</v>
      </c>
      <c r="H12" s="3">
        <v>0</v>
      </c>
      <c r="I12">
        <v>100</v>
      </c>
      <c r="J12" s="54">
        <v>100</v>
      </c>
      <c r="K12" s="54"/>
      <c r="L12" s="57">
        <f>((ARTICULOS_INTERNOS[[#This Row],[P. Compra]]*(1+ARTICULOS_INTERNOS[[#This Row],[IVA]]))/ARTICULOS_INTERNOS[[#This Row],[UnidFact]])+ARTICULOS_INTERNOS[[#This Row],[CostoFlete]]</f>
        <v>1</v>
      </c>
      <c r="M12">
        <v>0</v>
      </c>
      <c r="N12" s="63">
        <f t="shared" si="1"/>
        <v>1</v>
      </c>
      <c r="O12" s="3">
        <f>MROUND((ARTICULOS_INTERNOS[[#This Row],[Precio]]/0.6),50)</f>
        <v>0</v>
      </c>
      <c r="P12" t="s">
        <v>8693</v>
      </c>
      <c r="Q12">
        <v>10</v>
      </c>
      <c r="R12" s="23">
        <f>ARTICULOS_INTERNOS[[#This Row],[Bulto]]+ARTICULOS_INTERNOS[[#This Row],[Minimo]]</f>
        <v>110</v>
      </c>
      <c r="S12" s="19" t="s">
        <v>11415</v>
      </c>
      <c r="T12" t="s">
        <v>8705</v>
      </c>
      <c r="U12" t="s">
        <v>47</v>
      </c>
      <c r="V12" t="s">
        <v>8691</v>
      </c>
      <c r="W12" t="s">
        <v>8692</v>
      </c>
      <c r="X12">
        <v>1</v>
      </c>
      <c r="AB12" s="80">
        <f>ARTICULOS_OSLE[[#This Row],[Costo]]*ARTICULOS_OSLE[[#This Row],[Pedido]]</f>
        <v>0</v>
      </c>
      <c r="AH12" s="2" t="str">
        <f>IF(AND(ARTICULOS_OSLE[[#This Row],[FechaVenc]]=0,ARTICULOS_OSLE[[#This Row],[DiasVenc]]=0),"",ARTICULOS_OSLE[[#This Row],[FechaVenc]]-ARTICULOS_OSLE[[#This Row],[DiasVenc]])</f>
        <v/>
      </c>
      <c r="AO12" t="s">
        <v>8689</v>
      </c>
    </row>
    <row r="13" spans="1:43" x14ac:dyDescent="0.25">
      <c r="A13" s="24" t="s">
        <v>11458</v>
      </c>
      <c r="C13" t="str">
        <f t="shared" si="0"/>
        <v>INS2012</v>
      </c>
      <c r="D13" t="s">
        <v>8689</v>
      </c>
      <c r="E13" s="24" t="s">
        <v>11413</v>
      </c>
      <c r="F13" s="61">
        <v>100</v>
      </c>
      <c r="G13" s="119">
        <v>0</v>
      </c>
      <c r="H13" s="3">
        <v>0</v>
      </c>
      <c r="I13">
        <v>100</v>
      </c>
      <c r="J13" s="54">
        <v>100</v>
      </c>
      <c r="K13" s="54"/>
      <c r="L13" s="57">
        <f>((ARTICULOS_INTERNOS[[#This Row],[P. Compra]]*(1+ARTICULOS_INTERNOS[[#This Row],[IVA]]))/ARTICULOS_INTERNOS[[#This Row],[UnidFact]])+ARTICULOS_INTERNOS[[#This Row],[CostoFlete]]</f>
        <v>1</v>
      </c>
      <c r="M13">
        <v>0</v>
      </c>
      <c r="N13" s="63">
        <f t="shared" si="1"/>
        <v>1</v>
      </c>
      <c r="O13" s="3">
        <f>MROUND((ARTICULOS_INTERNOS[[#This Row],[Precio]]/0.6),50)</f>
        <v>0</v>
      </c>
      <c r="P13" t="s">
        <v>8693</v>
      </c>
      <c r="Q13">
        <v>10</v>
      </c>
      <c r="R13" s="23">
        <f>ARTICULOS_INTERNOS[[#This Row],[Bulto]]+ARTICULOS_INTERNOS[[#This Row],[Minimo]]</f>
        <v>110</v>
      </c>
      <c r="S13" s="19" t="s">
        <v>11415</v>
      </c>
      <c r="T13" t="s">
        <v>8705</v>
      </c>
      <c r="U13" t="s">
        <v>47</v>
      </c>
      <c r="V13" t="s">
        <v>8691</v>
      </c>
      <c r="W13" t="s">
        <v>8692</v>
      </c>
      <c r="X13">
        <v>1</v>
      </c>
      <c r="AB13" s="80">
        <f>ARTICULOS_OSLE[[#This Row],[Costo]]*ARTICULOS_OSLE[[#This Row],[Pedido]]</f>
        <v>27300</v>
      </c>
      <c r="AH13" s="2" t="str">
        <f>IF(AND(ARTICULOS_OSLE[[#This Row],[FechaVenc]]=0,ARTICULOS_OSLE[[#This Row],[DiasVenc]]=0),"",ARTICULOS_OSLE[[#This Row],[FechaVenc]]-ARTICULOS_OSLE[[#This Row],[DiasVenc]])</f>
        <v/>
      </c>
      <c r="AO13" t="s">
        <v>8689</v>
      </c>
    </row>
    <row r="14" spans="1:43" x14ac:dyDescent="0.25">
      <c r="A14" s="24" t="s">
        <v>11459</v>
      </c>
      <c r="C14" t="str">
        <f t="shared" si="0"/>
        <v>INS2013</v>
      </c>
      <c r="D14" t="s">
        <v>8689</v>
      </c>
      <c r="E14" s="24" t="s">
        <v>11414</v>
      </c>
      <c r="F14" s="61">
        <v>100</v>
      </c>
      <c r="G14" s="119">
        <v>0</v>
      </c>
      <c r="H14" s="3">
        <v>0</v>
      </c>
      <c r="I14">
        <v>5</v>
      </c>
      <c r="J14" s="54">
        <v>1</v>
      </c>
      <c r="K14" s="54"/>
      <c r="L14" s="57">
        <f>((ARTICULOS_INTERNOS[[#This Row],[P. Compra]]*(1+ARTICULOS_INTERNOS[[#This Row],[IVA]]))/ARTICULOS_INTERNOS[[#This Row],[UnidFact]])+ARTICULOS_INTERNOS[[#This Row],[CostoFlete]]</f>
        <v>100</v>
      </c>
      <c r="M14">
        <v>0</v>
      </c>
      <c r="N14" s="63">
        <f t="shared" si="1"/>
        <v>100</v>
      </c>
      <c r="O14" s="3">
        <f>MROUND((ARTICULOS_INTERNOS[[#This Row],[Precio]]/0.6),50)</f>
        <v>150</v>
      </c>
      <c r="P14" t="s">
        <v>8693</v>
      </c>
      <c r="Q14">
        <v>1</v>
      </c>
      <c r="R14" s="23">
        <f>ARTICULOS_INTERNOS[[#This Row],[Bulto]]+ARTICULOS_INTERNOS[[#This Row],[Minimo]]</f>
        <v>6</v>
      </c>
      <c r="S14" s="19" t="s">
        <v>35</v>
      </c>
      <c r="T14" t="s">
        <v>8705</v>
      </c>
      <c r="U14" t="s">
        <v>12046</v>
      </c>
      <c r="V14" t="s">
        <v>8691</v>
      </c>
      <c r="W14" t="s">
        <v>8692</v>
      </c>
      <c r="X14">
        <v>1</v>
      </c>
      <c r="AB14" s="80">
        <f>ARTICULOS_OSLE[[#This Row],[Costo]]*ARTICULOS_OSLE[[#This Row],[Pedido]]</f>
        <v>24000</v>
      </c>
      <c r="AH14" s="2" t="str">
        <f>IF(AND(ARTICULOS_OSLE[[#This Row],[FechaVenc]]=0,ARTICULOS_OSLE[[#This Row],[DiasVenc]]=0),"",ARTICULOS_OSLE[[#This Row],[FechaVenc]]-ARTICULOS_OSLE[[#This Row],[DiasVenc]])</f>
        <v/>
      </c>
      <c r="AO14" t="s">
        <v>8689</v>
      </c>
    </row>
    <row r="15" spans="1:43" x14ac:dyDescent="0.25">
      <c r="A15" s="24" t="s">
        <v>11460</v>
      </c>
      <c r="C15" t="str">
        <f t="shared" si="0"/>
        <v>INS2014</v>
      </c>
      <c r="D15" t="s">
        <v>8689</v>
      </c>
      <c r="E15" s="24" t="s">
        <v>12042</v>
      </c>
      <c r="F15" s="61">
        <v>100</v>
      </c>
      <c r="G15" s="119">
        <v>0</v>
      </c>
      <c r="H15" s="3">
        <v>0</v>
      </c>
      <c r="I15">
        <v>1</v>
      </c>
      <c r="J15" s="54">
        <v>1</v>
      </c>
      <c r="K15" s="54"/>
      <c r="L15" s="57">
        <f>((ARTICULOS_INTERNOS[[#This Row],[P. Compra]]*(1+ARTICULOS_INTERNOS[[#This Row],[IVA]]))/ARTICULOS_INTERNOS[[#This Row],[UnidFact]])+ARTICULOS_INTERNOS[[#This Row],[CostoFlete]]</f>
        <v>100</v>
      </c>
      <c r="M15">
        <v>0</v>
      </c>
      <c r="N15" s="63">
        <f t="shared" si="1"/>
        <v>100</v>
      </c>
      <c r="O15" s="3">
        <f>MROUND((ARTICULOS_INTERNOS[[#This Row],[Precio]]/0.6),50)</f>
        <v>150</v>
      </c>
      <c r="R15" s="23">
        <f>ARTICULOS_INTERNOS[[#This Row],[Bulto]]+ARTICULOS_INTERNOS[[#This Row],[Minimo]]</f>
        <v>1</v>
      </c>
      <c r="S15" s="19"/>
      <c r="T15" t="s">
        <v>8705</v>
      </c>
      <c r="U15" t="s">
        <v>12046</v>
      </c>
      <c r="V15" t="s">
        <v>8691</v>
      </c>
      <c r="W15" t="s">
        <v>11760</v>
      </c>
      <c r="AB15" s="80">
        <f>ARTICULOS_OSLE[[#This Row],[Costo]]*ARTICULOS_OSLE[[#This Row],[Pedido]]</f>
        <v>16200</v>
      </c>
      <c r="AH15" s="2" t="str">
        <f>IF(AND(ARTICULOS_OSLE[[#This Row],[FechaVenc]]=0,ARTICULOS_OSLE[[#This Row],[DiasVenc]]=0),"",ARTICULOS_OSLE[[#This Row],[FechaVenc]]-ARTICULOS_OSLE[[#This Row],[DiasVenc]])</f>
        <v/>
      </c>
    </row>
    <row r="16" spans="1:43" x14ac:dyDescent="0.25">
      <c r="A16" s="24" t="s">
        <v>12573</v>
      </c>
      <c r="C16" t="str">
        <f t="shared" si="0"/>
        <v>INS2015</v>
      </c>
      <c r="D16" t="s">
        <v>8689</v>
      </c>
      <c r="E16" s="24" t="s">
        <v>12043</v>
      </c>
      <c r="F16" s="61">
        <v>100</v>
      </c>
      <c r="G16" s="119">
        <v>0</v>
      </c>
      <c r="H16" s="3">
        <v>0</v>
      </c>
      <c r="I16">
        <v>30</v>
      </c>
      <c r="J16" s="54">
        <v>30</v>
      </c>
      <c r="K16" s="54"/>
      <c r="L16" s="57">
        <f>((ARTICULOS_INTERNOS[[#This Row],[P. Compra]]*(1+ARTICULOS_INTERNOS[[#This Row],[IVA]]))/ARTICULOS_INTERNOS[[#This Row],[UnidFact]])+ARTICULOS_INTERNOS[[#This Row],[CostoFlete]]</f>
        <v>3.3333333333333335</v>
      </c>
      <c r="M16">
        <v>0</v>
      </c>
      <c r="N16" s="63">
        <f t="shared" si="1"/>
        <v>3.3333333333333335</v>
      </c>
      <c r="O16" s="3">
        <f>MROUND((ARTICULOS_INTERNOS[[#This Row],[Precio]]/0.6),50)</f>
        <v>0</v>
      </c>
      <c r="R16" s="23">
        <f>ARTICULOS_INTERNOS[[#This Row],[Bulto]]+ARTICULOS_INTERNOS[[#This Row],[Minimo]]</f>
        <v>30</v>
      </c>
      <c r="S16" s="19"/>
      <c r="T16" t="s">
        <v>8705</v>
      </c>
      <c r="U16" t="s">
        <v>12046</v>
      </c>
      <c r="V16" t="s">
        <v>8691</v>
      </c>
      <c r="W16" t="s">
        <v>8692</v>
      </c>
      <c r="AB16" s="80">
        <f>ARTICULOS_OSLE[[#This Row],[Costo]]*ARTICULOS_OSLE[[#This Row],[Pedido]]</f>
        <v>27900</v>
      </c>
      <c r="AH16" s="2" t="str">
        <f>IF(AND(ARTICULOS_OSLE[[#This Row],[FechaVenc]]=0,ARTICULOS_OSLE[[#This Row],[DiasVenc]]=0),"",ARTICULOS_OSLE[[#This Row],[FechaVenc]]-ARTICULOS_OSLE[[#This Row],[DiasVenc]])</f>
        <v/>
      </c>
    </row>
    <row r="17" spans="1:34" x14ac:dyDescent="0.25">
      <c r="A17" s="24" t="s">
        <v>12574</v>
      </c>
      <c r="C17" t="str">
        <f t="shared" si="0"/>
        <v>INS2016</v>
      </c>
      <c r="D17" t="s">
        <v>8689</v>
      </c>
      <c r="E17" s="24" t="s">
        <v>12044</v>
      </c>
      <c r="F17" s="61">
        <v>100</v>
      </c>
      <c r="G17" s="119">
        <v>0</v>
      </c>
      <c r="H17" s="3">
        <v>0</v>
      </c>
      <c r="I17">
        <v>1</v>
      </c>
      <c r="J17" s="54">
        <v>100</v>
      </c>
      <c r="K17" s="54"/>
      <c r="L17" s="57">
        <f>((ARTICULOS_INTERNOS[[#This Row],[P. Compra]]*(1+ARTICULOS_INTERNOS[[#This Row],[IVA]]))/ARTICULOS_INTERNOS[[#This Row],[UnidFact]])+ARTICULOS_INTERNOS[[#This Row],[CostoFlete]]</f>
        <v>1</v>
      </c>
      <c r="M17">
        <v>0</v>
      </c>
      <c r="N17" s="63">
        <f t="shared" si="1"/>
        <v>1</v>
      </c>
      <c r="O17" s="3">
        <f>MROUND((ARTICULOS_INTERNOS[[#This Row],[Precio]]/0.6),50)</f>
        <v>0</v>
      </c>
      <c r="R17" s="23">
        <f>ARTICULOS_INTERNOS[[#This Row],[Bulto]]+ARTICULOS_INTERNOS[[#This Row],[Minimo]]</f>
        <v>1</v>
      </c>
      <c r="S17" s="19"/>
      <c r="T17" t="s">
        <v>8705</v>
      </c>
      <c r="U17" t="s">
        <v>12046</v>
      </c>
      <c r="V17" t="s">
        <v>8691</v>
      </c>
      <c r="W17" t="s">
        <v>8692</v>
      </c>
      <c r="AB17" s="80">
        <f>ARTICULOS_OSLE[[#This Row],[Costo]]*ARTICULOS_OSLE[[#This Row],[Pedido]]</f>
        <v>16700</v>
      </c>
      <c r="AH17" s="2" t="str">
        <f>IF(AND(ARTICULOS_OSLE[[#This Row],[FechaVenc]]=0,ARTICULOS_OSLE[[#This Row],[DiasVenc]]=0),"",ARTICULOS_OSLE[[#This Row],[FechaVenc]]-ARTICULOS_OSLE[[#This Row],[DiasVenc]])</f>
        <v/>
      </c>
    </row>
    <row r="18" spans="1:34" x14ac:dyDescent="0.25">
      <c r="A18" s="24" t="s">
        <v>12575</v>
      </c>
      <c r="C18" t="str">
        <f t="shared" si="0"/>
        <v>INS2017</v>
      </c>
      <c r="D18" t="s">
        <v>8689</v>
      </c>
      <c r="E18" s="24" t="s">
        <v>12045</v>
      </c>
      <c r="F18" s="61">
        <v>100</v>
      </c>
      <c r="G18" s="119">
        <v>0</v>
      </c>
      <c r="H18" s="3">
        <v>0</v>
      </c>
      <c r="I18">
        <v>1</v>
      </c>
      <c r="J18" s="54">
        <v>50</v>
      </c>
      <c r="K18" s="54"/>
      <c r="L18" s="57">
        <f>((ARTICULOS_INTERNOS[[#This Row],[P. Compra]]*(1+ARTICULOS_INTERNOS[[#This Row],[IVA]]))/ARTICULOS_INTERNOS[[#This Row],[UnidFact]])+ARTICULOS_INTERNOS[[#This Row],[CostoFlete]]</f>
        <v>2</v>
      </c>
      <c r="M18">
        <v>0</v>
      </c>
      <c r="N18" s="63">
        <f t="shared" si="1"/>
        <v>2</v>
      </c>
      <c r="O18" s="3">
        <f>MROUND((ARTICULOS_INTERNOS[[#This Row],[Precio]]/0.6),50)</f>
        <v>0</v>
      </c>
      <c r="R18" s="23">
        <f>ARTICULOS_INTERNOS[[#This Row],[Bulto]]+ARTICULOS_INTERNOS[[#This Row],[Minimo]]</f>
        <v>1</v>
      </c>
      <c r="S18" s="19"/>
      <c r="T18" t="s">
        <v>8705</v>
      </c>
      <c r="U18" t="s">
        <v>12046</v>
      </c>
      <c r="V18" t="s">
        <v>8691</v>
      </c>
      <c r="W18" t="s">
        <v>8692</v>
      </c>
      <c r="AB18" s="80">
        <f>ARTICULOS_OSLE[[#This Row],[Costo]]*ARTICULOS_OSLE[[#This Row],[Pedido]]</f>
        <v>11350</v>
      </c>
      <c r="AH18" s="2" t="str">
        <f>IF(AND(ARTICULOS_OSLE[[#This Row],[FechaVenc]]=0,ARTICULOS_OSLE[[#This Row],[DiasVenc]]=0),"",ARTICULOS_OSLE[[#This Row],[FechaVenc]]-ARTICULOS_OSLE[[#This Row],[DiasVenc]])</f>
        <v/>
      </c>
    </row>
  </sheetData>
  <phoneticPr fontId="5" type="noConversion"/>
  <conditionalFormatting sqref="A1">
    <cfRule type="duplicateValues" dxfId="231" priority="2"/>
  </conditionalFormatting>
  <conditionalFormatting sqref="A2:C1048576">
    <cfRule type="duplicateValues" dxfId="230" priority="515"/>
    <cfRule type="duplicateValues" dxfId="229" priority="516"/>
  </conditionalFormatting>
  <conditionalFormatting sqref="C1">
    <cfRule type="duplicateValues" dxfId="228" priority="1"/>
  </conditionalFormatting>
  <conditionalFormatting sqref="F19:F1048576">
    <cfRule type="cellIs" dxfId="227" priority="21" operator="greaterThan">
      <formula>0</formula>
    </cfRule>
  </conditionalFormatting>
  <conditionalFormatting sqref="L1:L18">
    <cfRule type="cellIs" dxfId="226" priority="3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E582AF5-298D-4080-8AFD-8CEF9DF0EB54}">
          <x14:formula1>
            <xm:f>LISTAS!$A:$A</xm:f>
          </x14:formula1>
          <xm:sqref>S1:S18</xm:sqref>
        </x14:dataValidation>
        <x14:dataValidation type="list" allowBlank="1" showInputMessage="1" showErrorMessage="1" xr:uid="{11391805-BB0F-4294-B6E1-D165C01A7BAF}">
          <x14:formula1>
            <xm:f>LISTAS!$E:$E</xm:f>
          </x14:formula1>
          <xm:sqref>U1:U18</xm:sqref>
        </x14:dataValidation>
        <x14:dataValidation type="list" allowBlank="1" showInputMessage="1" showErrorMessage="1" xr:uid="{6D429164-E6E8-4FF1-BFA7-6FFB0892634B}">
          <x14:formula1>
            <xm:f>LISTAS!$C:$C</xm:f>
          </x14:formula1>
          <xm:sqref>T2:T18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A4EC-F039-4E47-AB90-6E883DBAC159}">
  <sheetPr>
    <pageSetUpPr fitToPage="1"/>
  </sheetPr>
  <dimension ref="A1:AQ93"/>
  <sheetViews>
    <sheetView zoomScale="85" zoomScaleNormal="85" workbookViewId="0">
      <pane xSplit="5" topLeftCell="F1" activePane="topRight" state="frozen"/>
      <selection activeCell="AD34" sqref="AD34"/>
      <selection pane="topRight" activeCell="L9" sqref="L9"/>
    </sheetView>
  </sheetViews>
  <sheetFormatPr baseColWidth="10" defaultColWidth="11.42578125" defaultRowHeight="15.75" x14ac:dyDescent="0.25"/>
  <cols>
    <col min="1" max="1" width="6.7109375" style="1" customWidth="1"/>
    <col min="2" max="2" width="7" style="1" customWidth="1"/>
    <col min="3" max="3" width="5.28515625" style="1" customWidth="1"/>
    <col min="4" max="4" width="7.28515625" bestFit="1" customWidth="1"/>
    <col min="5" max="5" width="46.140625" style="24" bestFit="1" customWidth="1"/>
    <col min="6" max="6" width="13.140625" style="74" bestFit="1" customWidth="1"/>
    <col min="7" max="7" width="5.85546875" style="123" customWidth="1"/>
    <col min="8" max="8" width="6.28515625" customWidth="1"/>
    <col min="9" max="9" width="7.85546875" bestFit="1" customWidth="1"/>
    <col min="10" max="10" width="12.140625" bestFit="1" customWidth="1"/>
    <col min="11" max="11" width="6.7109375" style="55" bestFit="1" customWidth="1"/>
    <col min="12" max="12" width="12.28515625" style="60" bestFit="1" customWidth="1"/>
    <col min="13" max="13" width="12.140625" style="127" bestFit="1" customWidth="1"/>
    <col min="14" max="14" width="12.28515625" style="64" bestFit="1" customWidth="1"/>
    <col min="15" max="15" width="11.140625" style="56" bestFit="1" customWidth="1"/>
    <col min="19" max="19" width="23.5703125" bestFit="1" customWidth="1"/>
    <col min="20" max="20" width="13.5703125" style="9" bestFit="1" customWidth="1"/>
    <col min="23" max="23" width="10" bestFit="1" customWidth="1"/>
    <col min="24" max="24" width="11.140625" style="55" bestFit="1" customWidth="1"/>
    <col min="25" max="25" width="8.28515625" bestFit="1" customWidth="1"/>
    <col min="26" max="26" width="8.5703125" customWidth="1"/>
    <col min="27" max="27" width="8" customWidth="1"/>
    <col min="28" max="28" width="14.85546875" bestFit="1" customWidth="1"/>
    <col min="29" max="29" width="11.28515625" bestFit="1" customWidth="1"/>
    <col min="30" max="30" width="11" bestFit="1" customWidth="1"/>
    <col min="31" max="31" width="12.42578125" style="89" bestFit="1" customWidth="1"/>
    <col min="32" max="32" width="13.28515625" style="7" bestFit="1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59" t="s">
        <v>8673</v>
      </c>
      <c r="F1" s="61" t="s">
        <v>11405</v>
      </c>
      <c r="G1" s="121" t="s">
        <v>8675</v>
      </c>
      <c r="H1" s="13" t="s">
        <v>11461</v>
      </c>
      <c r="I1" s="53" t="s">
        <v>12125</v>
      </c>
      <c r="J1" s="65" t="s">
        <v>8674</v>
      </c>
      <c r="K1" s="12" t="s">
        <v>8676</v>
      </c>
      <c r="L1" s="63" t="s">
        <v>8677</v>
      </c>
      <c r="M1" s="124" t="s">
        <v>8678</v>
      </c>
      <c r="N1" s="12" t="s">
        <v>8679</v>
      </c>
      <c r="O1" s="12" t="s">
        <v>8680</v>
      </c>
      <c r="P1" s="12" t="s">
        <v>8681</v>
      </c>
      <c r="Q1" s="12" t="s">
        <v>8682</v>
      </c>
      <c r="R1" s="12" t="s">
        <v>11761</v>
      </c>
      <c r="S1" s="12" t="s">
        <v>8684</v>
      </c>
      <c r="T1" s="12" t="s">
        <v>8685</v>
      </c>
      <c r="U1" s="12" t="s">
        <v>8687</v>
      </c>
      <c r="V1" s="10" t="s">
        <v>8688</v>
      </c>
      <c r="W1" s="88" t="s">
        <v>8683</v>
      </c>
      <c r="X1" s="12" t="s">
        <v>12119</v>
      </c>
      <c r="Y1" s="12" t="s">
        <v>12118</v>
      </c>
      <c r="Z1" s="12" t="s">
        <v>8686</v>
      </c>
      <c r="AA1" s="53" t="s">
        <v>11462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x14ac:dyDescent="0.25">
      <c r="A2" s="1" t="s">
        <v>8708</v>
      </c>
      <c r="C2" t="str">
        <f t="shared" ref="C2:C33" si="0">CONCATENATE(LEFT(O2,3),RIGHT(A2,8))</f>
        <v>VEN5001</v>
      </c>
      <c r="D2" t="s">
        <v>8693</v>
      </c>
      <c r="E2" s="24" t="s">
        <v>8709</v>
      </c>
      <c r="F2" s="61">
        <v>6850</v>
      </c>
      <c r="G2" s="122">
        <v>0</v>
      </c>
      <c r="H2" s="3">
        <v>0</v>
      </c>
      <c r="I2" s="54">
        <v>0</v>
      </c>
      <c r="J2" s="66">
        <f>((ARTICULOS_VENEZOLANO[[#This Row],[P. Compra]]*(1+ARTICULOS_VENEZOLANO[[#This Row],[IVA]]))/ARTICULOS_VENEZOLANO[[#This Row],[UnidFact]])+ARTICULOS_VENEZOLANO[[#This Row],[Flete]]</f>
        <v>6850</v>
      </c>
      <c r="K2">
        <v>30</v>
      </c>
      <c r="L2" s="39">
        <f t="shared" ref="L2:L33" si="1">IF(J2&gt;=5,MROUND(J2/(1-K2/100),100),50)</f>
        <v>9800</v>
      </c>
      <c r="M2" s="125">
        <f>MROUND((ARTICULOS_VENEZOLANO[[#This Row],[Precio]]/0.6),50)</f>
        <v>16350</v>
      </c>
      <c r="N2" t="s">
        <v>61</v>
      </c>
      <c r="O2" t="s">
        <v>42</v>
      </c>
      <c r="P2" t="s">
        <v>97</v>
      </c>
      <c r="Q2" t="s">
        <v>8691</v>
      </c>
      <c r="R2" t="s">
        <v>11760</v>
      </c>
      <c r="S2">
        <v>0.1</v>
      </c>
      <c r="T2" t="s">
        <v>8693</v>
      </c>
      <c r="U2">
        <v>10</v>
      </c>
      <c r="V2" s="3">
        <f>ARTICULOS_VENEZOLANO[[#This Row],[Bulto]]+ARTICULOS_VENEZOLANO[[#This Row],[Minimo]]</f>
        <v>15</v>
      </c>
      <c r="W2" s="55">
        <v>6.96</v>
      </c>
      <c r="X2">
        <f>IF(ARTICULOS_VENEZOLANO[[#This Row],[Stock]]&lt;ARTICULOS_VENEZOLANO[[#This Row],[Minimo]],ARTICULOS_VENEZOLANO[[#This Row],[Maximo]]-ARTICULOS_VENEZOLANO[[#This Row],[Stock]],0)</f>
        <v>8.0399999999999991</v>
      </c>
      <c r="Y2">
        <f>MROUND(ARTICULOS_VENEZOLANO[[#This Row],[Pedido Unidad]]/ARTICULOS_VENEZOLANO[[#This Row],[Bulto]],1)</f>
        <v>2</v>
      </c>
      <c r="Z2">
        <v>5</v>
      </c>
      <c r="AA2" s="54">
        <v>1</v>
      </c>
      <c r="AB2" s="80">
        <f>ARTICULOS_VENEZOLANO[[#This Row],[Costo]]*ARTICULOS_VENEZOLANO[[#This Row],[Bulto]]*ARTICULOS_VENEZOLANO[[#This Row],[Pedido Bultos]]</f>
        <v>68500</v>
      </c>
      <c r="AE2"/>
      <c r="AF2"/>
      <c r="AH2" s="2" t="str">
        <f>IF(AND(ARTICULOS_VENEZOLANO[[#This Row],[FechaVenc]]=0,ARTICULOS_VENEZOLANO[[#This Row],[DiasVenc]]=0),"",ARTICULOS_VENEZOLANO[[#This Row],[FechaVenc]]-ARTICULOS_VENEZOLANO[[#This Row],[DiasVenc]])</f>
        <v/>
      </c>
      <c r="AO2" t="s">
        <v>8689</v>
      </c>
    </row>
    <row r="3" spans="1:43" ht="15" customHeight="1" x14ac:dyDescent="0.25">
      <c r="A3" s="1" t="s">
        <v>8711</v>
      </c>
      <c r="C3" t="str">
        <f t="shared" si="0"/>
        <v>VEN5002</v>
      </c>
      <c r="D3" t="s">
        <v>8693</v>
      </c>
      <c r="E3" s="24" t="s">
        <v>8712</v>
      </c>
      <c r="F3" s="61">
        <v>6450</v>
      </c>
      <c r="G3" s="122">
        <v>0</v>
      </c>
      <c r="H3" s="3">
        <v>0</v>
      </c>
      <c r="I3" s="54">
        <v>0</v>
      </c>
      <c r="J3" s="66">
        <f>((ARTICULOS_VENEZOLANO[[#This Row],[P. Compra]]*(1+ARTICULOS_VENEZOLANO[[#This Row],[IVA]]))/ARTICULOS_VENEZOLANO[[#This Row],[UnidFact]])+ARTICULOS_VENEZOLANO[[#This Row],[Flete]]</f>
        <v>6450</v>
      </c>
      <c r="K3">
        <v>30</v>
      </c>
      <c r="L3" s="39">
        <f t="shared" si="1"/>
        <v>9200</v>
      </c>
      <c r="M3" s="125">
        <f>MROUND((ARTICULOS_VENEZOLANO[[#This Row],[Precio]]/0.6),50)</f>
        <v>15350</v>
      </c>
      <c r="N3" t="s">
        <v>61</v>
      </c>
      <c r="O3" t="s">
        <v>42</v>
      </c>
      <c r="P3" t="s">
        <v>97</v>
      </c>
      <c r="Q3" t="s">
        <v>8691</v>
      </c>
      <c r="R3" t="s">
        <v>11760</v>
      </c>
      <c r="S3">
        <v>0.1</v>
      </c>
      <c r="T3" t="s">
        <v>8693</v>
      </c>
      <c r="U3">
        <v>5</v>
      </c>
      <c r="V3" s="3">
        <f>ARTICULOS_VENEZOLANO[[#This Row],[Bulto]]+ARTICULOS_VENEZOLANO[[#This Row],[Minimo]]</f>
        <v>10</v>
      </c>
      <c r="W3" s="55">
        <v>8.7899999999999991</v>
      </c>
      <c r="X3">
        <f>IF(ARTICULOS_VENEZOLANO[[#This Row],[Stock]]&lt;ARTICULOS_VENEZOLANO[[#This Row],[Minimo]],ARTICULOS_VENEZOLANO[[#This Row],[Maximo]]-ARTICULOS_VENEZOLANO[[#This Row],[Stock]],0)</f>
        <v>0</v>
      </c>
      <c r="Y3">
        <f>MROUND(ARTICULOS_VENEZOLANO[[#This Row],[Pedido Unidad]]/ARTICULOS_VENEZOLANO[[#This Row],[Bulto]],1)</f>
        <v>0</v>
      </c>
      <c r="Z3">
        <v>5</v>
      </c>
      <c r="AA3" s="54">
        <v>1</v>
      </c>
      <c r="AB3" s="80">
        <f>ARTICULOS_VENEZOLANO[[#This Row],[Costo]]*ARTICULOS_VENEZOLANO[[#This Row],[Bulto]]*ARTICULOS_VENEZOLANO[[#This Row],[Pedido Bultos]]</f>
        <v>0</v>
      </c>
      <c r="AE3"/>
      <c r="AF3"/>
      <c r="AH3" s="2" t="str">
        <f>IF(AND(ARTICULOS_VENEZOLANO[[#This Row],[FechaVenc]]=0,ARTICULOS_VENEZOLANO[[#This Row],[DiasVenc]]=0),"",ARTICULOS_VENEZOLANO[[#This Row],[FechaVenc]]-ARTICULOS_VENEZOLANO[[#This Row],[DiasVenc]])</f>
        <v/>
      </c>
      <c r="AO3" t="s">
        <v>8689</v>
      </c>
    </row>
    <row r="4" spans="1:43" x14ac:dyDescent="0.25">
      <c r="A4" s="1" t="s">
        <v>8713</v>
      </c>
      <c r="C4" t="str">
        <f t="shared" si="0"/>
        <v>VEN5003</v>
      </c>
      <c r="D4" t="s">
        <v>8693</v>
      </c>
      <c r="E4" s="24" t="s">
        <v>8714</v>
      </c>
      <c r="F4" s="61">
        <v>4950</v>
      </c>
      <c r="G4" s="122">
        <v>0</v>
      </c>
      <c r="H4" s="3">
        <v>0</v>
      </c>
      <c r="I4" s="54">
        <v>0</v>
      </c>
      <c r="J4" s="66">
        <f>((ARTICULOS_VENEZOLANO[[#This Row],[P. Compra]]*(1+ARTICULOS_VENEZOLANO[[#This Row],[IVA]]))/ARTICULOS_VENEZOLANO[[#This Row],[UnidFact]])+ARTICULOS_VENEZOLANO[[#This Row],[Flete]]</f>
        <v>4950</v>
      </c>
      <c r="K4">
        <v>30</v>
      </c>
      <c r="L4" s="39">
        <f t="shared" si="1"/>
        <v>7100</v>
      </c>
      <c r="M4" s="125">
        <f>MROUND((ARTICULOS_VENEZOLANO[[#This Row],[Precio]]/0.6),50)</f>
        <v>11850</v>
      </c>
      <c r="N4" t="s">
        <v>61</v>
      </c>
      <c r="O4" t="s">
        <v>42</v>
      </c>
      <c r="P4" t="s">
        <v>97</v>
      </c>
      <c r="Q4" t="s">
        <v>8691</v>
      </c>
      <c r="R4" t="s">
        <v>8692</v>
      </c>
      <c r="S4">
        <v>1</v>
      </c>
      <c r="T4" t="s">
        <v>8693</v>
      </c>
      <c r="U4">
        <v>1</v>
      </c>
      <c r="V4" s="3">
        <f>ARTICULOS_VENEZOLANO[[#This Row],[Bulto]]+ARTICULOS_VENEZOLANO[[#This Row],[Minimo]]</f>
        <v>6</v>
      </c>
      <c r="W4" s="55">
        <v>4</v>
      </c>
      <c r="X4">
        <f>IF(ARTICULOS_VENEZOLANO[[#This Row],[Stock]]&lt;ARTICULOS_VENEZOLANO[[#This Row],[Minimo]],ARTICULOS_VENEZOLANO[[#This Row],[Maximo]]-ARTICULOS_VENEZOLANO[[#This Row],[Stock]],0)</f>
        <v>0</v>
      </c>
      <c r="Y4">
        <f>MROUND(ARTICULOS_VENEZOLANO[[#This Row],[Pedido Unidad]]/ARTICULOS_VENEZOLANO[[#This Row],[Bulto]],1)</f>
        <v>0</v>
      </c>
      <c r="Z4">
        <v>5</v>
      </c>
      <c r="AA4" s="54">
        <v>1</v>
      </c>
      <c r="AB4" s="80">
        <f>ARTICULOS_VENEZOLANO[[#This Row],[Costo]]*ARTICULOS_VENEZOLANO[[#This Row],[Bulto]]*ARTICULOS_VENEZOLANO[[#This Row],[Pedido Bultos]]</f>
        <v>0</v>
      </c>
      <c r="AE4"/>
      <c r="AF4"/>
      <c r="AH4" s="2" t="str">
        <f>IF(AND(ARTICULOS_VENEZOLANO[[#This Row],[FechaVenc]]=0,ARTICULOS_VENEZOLANO[[#This Row],[DiasVenc]]=0),"",ARTICULOS_VENEZOLANO[[#This Row],[FechaVenc]]-ARTICULOS_VENEZOLANO[[#This Row],[DiasVenc]])</f>
        <v/>
      </c>
      <c r="AO4" t="s">
        <v>8689</v>
      </c>
    </row>
    <row r="5" spans="1:43" x14ac:dyDescent="0.25">
      <c r="A5" s="1" t="s">
        <v>8715</v>
      </c>
      <c r="C5" t="str">
        <f t="shared" si="0"/>
        <v>VEN5004</v>
      </c>
      <c r="D5" t="s">
        <v>8689</v>
      </c>
      <c r="E5" s="24" t="s">
        <v>8716</v>
      </c>
      <c r="F5" s="61">
        <v>2450</v>
      </c>
      <c r="G5" s="122">
        <v>0</v>
      </c>
      <c r="H5" s="3">
        <v>0</v>
      </c>
      <c r="I5" s="54">
        <v>0</v>
      </c>
      <c r="J5" s="66">
        <f>((ARTICULOS_VENEZOLANO[[#This Row],[P. Compra]]*(1+ARTICULOS_VENEZOLANO[[#This Row],[IVA]]))/ARTICULOS_VENEZOLANO[[#This Row],[UnidFact]])+ARTICULOS_VENEZOLANO[[#This Row],[Flete]]</f>
        <v>2450</v>
      </c>
      <c r="K5">
        <v>30</v>
      </c>
      <c r="L5" s="39">
        <f t="shared" si="1"/>
        <v>3500</v>
      </c>
      <c r="M5" s="125">
        <f>MROUND((ARTICULOS_VENEZOLANO[[#This Row],[Precio]]/0.6),50)</f>
        <v>5850</v>
      </c>
      <c r="N5" t="s">
        <v>61</v>
      </c>
      <c r="O5" t="s">
        <v>42</v>
      </c>
      <c r="P5" t="s">
        <v>79</v>
      </c>
      <c r="Q5" t="s">
        <v>8717</v>
      </c>
      <c r="R5" t="s">
        <v>8692</v>
      </c>
      <c r="S5">
        <v>1</v>
      </c>
      <c r="T5" t="s">
        <v>8693</v>
      </c>
      <c r="U5">
        <v>1</v>
      </c>
      <c r="V5" s="3">
        <f>ARTICULOS_VENEZOLANO[[#This Row],[Bulto]]+ARTICULOS_VENEZOLANO[[#This Row],[Minimo]]</f>
        <v>4</v>
      </c>
      <c r="W5" s="55">
        <v>2</v>
      </c>
      <c r="X5">
        <f>IF(ARTICULOS_VENEZOLANO[[#This Row],[Stock]]&lt;ARTICULOS_VENEZOLANO[[#This Row],[Minimo]],ARTICULOS_VENEZOLANO[[#This Row],[Maximo]]-ARTICULOS_VENEZOLANO[[#This Row],[Stock]],0)</f>
        <v>0</v>
      </c>
      <c r="Y5">
        <f>MROUND(ARTICULOS_VENEZOLANO[[#This Row],[Pedido Unidad]]/ARTICULOS_VENEZOLANO[[#This Row],[Bulto]],1)</f>
        <v>0</v>
      </c>
      <c r="Z5">
        <v>3</v>
      </c>
      <c r="AA5" s="54">
        <v>1</v>
      </c>
      <c r="AB5" s="80">
        <f>ARTICULOS_VENEZOLANO[[#This Row],[Costo]]*ARTICULOS_VENEZOLANO[[#This Row],[Bulto]]*ARTICULOS_VENEZOLANO[[#This Row],[Pedido Bultos]]</f>
        <v>0</v>
      </c>
      <c r="AE5"/>
      <c r="AF5"/>
      <c r="AH5" s="2" t="str">
        <f>IF(AND(ARTICULOS_VENEZOLANO[[#This Row],[FechaVenc]]=0,ARTICULOS_VENEZOLANO[[#This Row],[DiasVenc]]=0),"",ARTICULOS_VENEZOLANO[[#This Row],[FechaVenc]]-ARTICULOS_VENEZOLANO[[#This Row],[DiasVenc]])</f>
        <v/>
      </c>
      <c r="AO5" t="s">
        <v>8689</v>
      </c>
    </row>
    <row r="6" spans="1:43" x14ac:dyDescent="0.25">
      <c r="A6" s="1" t="s">
        <v>8718</v>
      </c>
      <c r="C6" t="str">
        <f t="shared" si="0"/>
        <v>VEN5005</v>
      </c>
      <c r="D6" t="s">
        <v>8689</v>
      </c>
      <c r="E6" s="24" t="s">
        <v>8719</v>
      </c>
      <c r="F6" s="61">
        <v>1250</v>
      </c>
      <c r="G6" s="122">
        <v>0</v>
      </c>
      <c r="H6" s="3">
        <v>0</v>
      </c>
      <c r="I6" s="54">
        <v>0</v>
      </c>
      <c r="J6" s="66">
        <f>((ARTICULOS_VENEZOLANO[[#This Row],[P. Compra]]*(1+ARTICULOS_VENEZOLANO[[#This Row],[IVA]]))/ARTICULOS_VENEZOLANO[[#This Row],[UnidFact]])+ARTICULOS_VENEZOLANO[[#This Row],[Flete]]</f>
        <v>1250</v>
      </c>
      <c r="K6">
        <v>30</v>
      </c>
      <c r="L6" s="39">
        <f t="shared" si="1"/>
        <v>1800</v>
      </c>
      <c r="M6" s="125">
        <f>MROUND((ARTICULOS_VENEZOLANO[[#This Row],[Precio]]/0.6),50)</f>
        <v>3000</v>
      </c>
      <c r="N6" t="s">
        <v>61</v>
      </c>
      <c r="O6" t="s">
        <v>42</v>
      </c>
      <c r="P6" t="s">
        <v>79</v>
      </c>
      <c r="Q6" t="s">
        <v>8720</v>
      </c>
      <c r="R6" t="s">
        <v>8692</v>
      </c>
      <c r="S6">
        <v>1</v>
      </c>
      <c r="T6" t="s">
        <v>8693</v>
      </c>
      <c r="U6">
        <v>2</v>
      </c>
      <c r="V6" s="3">
        <f>ARTICULOS_VENEZOLANO[[#This Row],[Bulto]]+ARTICULOS_VENEZOLANO[[#This Row],[Minimo]]</f>
        <v>8</v>
      </c>
      <c r="W6" s="55">
        <v>2</v>
      </c>
      <c r="X6">
        <f>IF(ARTICULOS_VENEZOLANO[[#This Row],[Stock]]&lt;ARTICULOS_VENEZOLANO[[#This Row],[Minimo]],ARTICULOS_VENEZOLANO[[#This Row],[Maximo]]-ARTICULOS_VENEZOLANO[[#This Row],[Stock]],0)</f>
        <v>0</v>
      </c>
      <c r="Y6">
        <f>MROUND(ARTICULOS_VENEZOLANO[[#This Row],[Pedido Unidad]]/ARTICULOS_VENEZOLANO[[#This Row],[Bulto]],1)</f>
        <v>0</v>
      </c>
      <c r="Z6">
        <v>6</v>
      </c>
      <c r="AA6" s="54">
        <v>1</v>
      </c>
      <c r="AB6" s="80">
        <f>ARTICULOS_VENEZOLANO[[#This Row],[Costo]]*ARTICULOS_VENEZOLANO[[#This Row],[Bulto]]*ARTICULOS_VENEZOLANO[[#This Row],[Pedido Bultos]]</f>
        <v>0</v>
      </c>
      <c r="AE6"/>
      <c r="AF6"/>
      <c r="AH6" s="2" t="str">
        <f>IF(AND(ARTICULOS_VENEZOLANO[[#This Row],[FechaVenc]]=0,ARTICULOS_VENEZOLANO[[#This Row],[DiasVenc]]=0),"",ARTICULOS_VENEZOLANO[[#This Row],[FechaVenc]]-ARTICULOS_VENEZOLANO[[#This Row],[DiasVenc]])</f>
        <v/>
      </c>
      <c r="AO6" t="s">
        <v>8689</v>
      </c>
    </row>
    <row r="7" spans="1:43" x14ac:dyDescent="0.25">
      <c r="A7" s="1" t="s">
        <v>8721</v>
      </c>
      <c r="C7" t="str">
        <f t="shared" si="0"/>
        <v>VEN20187471</v>
      </c>
      <c r="D7" t="s">
        <v>8689</v>
      </c>
      <c r="E7" s="24" t="s">
        <v>8722</v>
      </c>
      <c r="F7" s="61">
        <v>1100</v>
      </c>
      <c r="G7" s="122">
        <v>0</v>
      </c>
      <c r="H7" s="3">
        <v>0</v>
      </c>
      <c r="I7" s="54">
        <v>0</v>
      </c>
      <c r="J7" s="66">
        <f>((ARTICULOS_VENEZOLANO[[#This Row],[P. Compra]]*(1+ARTICULOS_VENEZOLANO[[#This Row],[IVA]]))/ARTICULOS_VENEZOLANO[[#This Row],[UnidFact]])+ARTICULOS_VENEZOLANO[[#This Row],[Flete]]</f>
        <v>1100</v>
      </c>
      <c r="K7">
        <v>30</v>
      </c>
      <c r="L7" s="39">
        <f t="shared" si="1"/>
        <v>1600</v>
      </c>
      <c r="M7" s="125">
        <f>MROUND((ARTICULOS_VENEZOLANO[[#This Row],[Precio]]/0.6),50)</f>
        <v>2650</v>
      </c>
      <c r="N7" t="s">
        <v>61</v>
      </c>
      <c r="O7" t="s">
        <v>42</v>
      </c>
      <c r="P7" t="s">
        <v>79</v>
      </c>
      <c r="Q7" t="s">
        <v>8723</v>
      </c>
      <c r="R7" t="s">
        <v>8692</v>
      </c>
      <c r="S7">
        <v>1</v>
      </c>
      <c r="T7" t="s">
        <v>8693</v>
      </c>
      <c r="U7">
        <v>6</v>
      </c>
      <c r="V7" s="3">
        <f>ARTICULOS_VENEZOLANO[[#This Row],[Bulto]]+ARTICULOS_VENEZOLANO[[#This Row],[Minimo]]</f>
        <v>30</v>
      </c>
      <c r="W7" s="55">
        <v>3</v>
      </c>
      <c r="X7">
        <f>IF(ARTICULOS_VENEZOLANO[[#This Row],[Stock]]&lt;ARTICULOS_VENEZOLANO[[#This Row],[Minimo]],ARTICULOS_VENEZOLANO[[#This Row],[Maximo]]-ARTICULOS_VENEZOLANO[[#This Row],[Stock]],0)</f>
        <v>27</v>
      </c>
      <c r="Y7">
        <f>MROUND(ARTICULOS_VENEZOLANO[[#This Row],[Pedido Unidad]]/ARTICULOS_VENEZOLANO[[#This Row],[Bulto]],1)</f>
        <v>1</v>
      </c>
      <c r="Z7">
        <v>24</v>
      </c>
      <c r="AA7" s="54">
        <v>1</v>
      </c>
      <c r="AB7" s="80">
        <f>ARTICULOS_VENEZOLANO[[#This Row],[Costo]]*ARTICULOS_VENEZOLANO[[#This Row],[Bulto]]*ARTICULOS_VENEZOLANO[[#This Row],[Pedido Bultos]]</f>
        <v>26400</v>
      </c>
      <c r="AE7"/>
      <c r="AF7"/>
      <c r="AH7" s="2" t="str">
        <f>IF(AND(ARTICULOS_VENEZOLANO[[#This Row],[FechaVenc]]=0,ARTICULOS_VENEZOLANO[[#This Row],[DiasVenc]]=0),"",ARTICULOS_VENEZOLANO[[#This Row],[FechaVenc]]-ARTICULOS_VENEZOLANO[[#This Row],[DiasVenc]])</f>
        <v/>
      </c>
      <c r="AO7" t="s">
        <v>8689</v>
      </c>
    </row>
    <row r="8" spans="1:43" x14ac:dyDescent="0.25">
      <c r="A8" s="1" t="s">
        <v>8724</v>
      </c>
      <c r="C8" t="str">
        <f t="shared" si="0"/>
        <v>VEN07000010</v>
      </c>
      <c r="D8" t="s">
        <v>8689</v>
      </c>
      <c r="E8" s="24" t="s">
        <v>8725</v>
      </c>
      <c r="F8" s="61">
        <v>2600</v>
      </c>
      <c r="G8" s="122">
        <v>0</v>
      </c>
      <c r="H8" s="3">
        <v>0</v>
      </c>
      <c r="I8" s="54">
        <v>0</v>
      </c>
      <c r="J8" s="66">
        <f>((ARTICULOS_VENEZOLANO[[#This Row],[P. Compra]]*(1+ARTICULOS_VENEZOLANO[[#This Row],[IVA]]))/ARTICULOS_VENEZOLANO[[#This Row],[UnidFact]])+ARTICULOS_VENEZOLANO[[#This Row],[Flete]]</f>
        <v>2600</v>
      </c>
      <c r="K8">
        <v>30</v>
      </c>
      <c r="L8" s="39">
        <f t="shared" si="1"/>
        <v>3700</v>
      </c>
      <c r="M8" s="125">
        <f>MROUND((ARTICULOS_VENEZOLANO[[#This Row],[Precio]]/0.6),50)</f>
        <v>6150</v>
      </c>
      <c r="N8" t="s">
        <v>61</v>
      </c>
      <c r="O8" t="s">
        <v>42</v>
      </c>
      <c r="P8" t="s">
        <v>69</v>
      </c>
      <c r="Q8" t="s">
        <v>8726</v>
      </c>
      <c r="R8" t="s">
        <v>8692</v>
      </c>
      <c r="S8">
        <v>1</v>
      </c>
      <c r="T8" t="s">
        <v>8693</v>
      </c>
      <c r="U8">
        <v>20</v>
      </c>
      <c r="V8" s="3">
        <f>ARTICULOS_VENEZOLANO[[#This Row],[Bulto]]+ARTICULOS_VENEZOLANO[[#This Row],[Minimo]]</f>
        <v>40</v>
      </c>
      <c r="W8" s="55">
        <v>22</v>
      </c>
      <c r="X8">
        <f>IF(ARTICULOS_VENEZOLANO[[#This Row],[Stock]]&lt;ARTICULOS_VENEZOLANO[[#This Row],[Minimo]],ARTICULOS_VENEZOLANO[[#This Row],[Maximo]]-ARTICULOS_VENEZOLANO[[#This Row],[Stock]],0)</f>
        <v>0</v>
      </c>
      <c r="Y8">
        <f>MROUND(ARTICULOS_VENEZOLANO[[#This Row],[Pedido Unidad]]/ARTICULOS_VENEZOLANO[[#This Row],[Bulto]],1)</f>
        <v>0</v>
      </c>
      <c r="Z8">
        <v>20</v>
      </c>
      <c r="AA8" s="54">
        <v>1</v>
      </c>
      <c r="AB8" s="80">
        <f>ARTICULOS_VENEZOLANO[[#This Row],[Costo]]*ARTICULOS_VENEZOLANO[[#This Row],[Bulto]]*ARTICULOS_VENEZOLANO[[#This Row],[Pedido Bultos]]</f>
        <v>0</v>
      </c>
      <c r="AE8"/>
      <c r="AF8"/>
      <c r="AH8" s="2" t="str">
        <f>IF(AND(ARTICULOS_VENEZOLANO[[#This Row],[FechaVenc]]=0,ARTICULOS_VENEZOLANO[[#This Row],[DiasVenc]]=0),"",ARTICULOS_VENEZOLANO[[#This Row],[FechaVenc]]-ARTICULOS_VENEZOLANO[[#This Row],[DiasVenc]])</f>
        <v/>
      </c>
      <c r="AO8" t="s">
        <v>8689</v>
      </c>
    </row>
    <row r="9" spans="1:43" x14ac:dyDescent="0.25">
      <c r="A9" s="1" t="s">
        <v>8727</v>
      </c>
      <c r="C9" t="str">
        <f t="shared" si="0"/>
        <v>VEN99603368</v>
      </c>
      <c r="D9" t="s">
        <v>8689</v>
      </c>
      <c r="E9" s="24" t="s">
        <v>8728</v>
      </c>
      <c r="F9" s="61">
        <v>2250</v>
      </c>
      <c r="G9" s="122">
        <v>0</v>
      </c>
      <c r="H9" s="3">
        <v>0</v>
      </c>
      <c r="I9" s="54">
        <v>0</v>
      </c>
      <c r="J9" s="66">
        <f>((ARTICULOS_VENEZOLANO[[#This Row],[P. Compra]]*(1+ARTICULOS_VENEZOLANO[[#This Row],[IVA]]))/ARTICULOS_VENEZOLANO[[#This Row],[UnidFact]])+ARTICULOS_VENEZOLANO[[#This Row],[Flete]]</f>
        <v>2250</v>
      </c>
      <c r="K9">
        <v>30</v>
      </c>
      <c r="L9" s="39">
        <f t="shared" si="1"/>
        <v>3200</v>
      </c>
      <c r="M9" s="125">
        <f>MROUND((ARTICULOS_VENEZOLANO[[#This Row],[Precio]]/0.6),50)</f>
        <v>5350</v>
      </c>
      <c r="N9" t="s">
        <v>61</v>
      </c>
      <c r="O9" t="s">
        <v>42</v>
      </c>
      <c r="P9" t="s">
        <v>69</v>
      </c>
      <c r="Q9" t="s">
        <v>8729</v>
      </c>
      <c r="R9" t="s">
        <v>8692</v>
      </c>
      <c r="S9">
        <v>1</v>
      </c>
      <c r="T9" t="s">
        <v>8693</v>
      </c>
      <c r="U9">
        <v>20</v>
      </c>
      <c r="V9" s="3">
        <f>ARTICULOS_VENEZOLANO[[#This Row],[Bulto]]+ARTICULOS_VENEZOLANO[[#This Row],[Minimo]]</f>
        <v>40</v>
      </c>
      <c r="W9" s="55">
        <f>36+12</f>
        <v>48</v>
      </c>
      <c r="X9">
        <f>IF(ARTICULOS_VENEZOLANO[[#This Row],[Stock]]&lt;ARTICULOS_VENEZOLANO[[#This Row],[Minimo]],ARTICULOS_VENEZOLANO[[#This Row],[Maximo]]-ARTICULOS_VENEZOLANO[[#This Row],[Stock]],0)</f>
        <v>0</v>
      </c>
      <c r="Y9">
        <f>MROUND(ARTICULOS_VENEZOLANO[[#This Row],[Pedido Unidad]]/ARTICULOS_VENEZOLANO[[#This Row],[Bulto]],1)</f>
        <v>0</v>
      </c>
      <c r="Z9">
        <v>20</v>
      </c>
      <c r="AA9" s="54">
        <v>1</v>
      </c>
      <c r="AB9" s="80">
        <f>ARTICULOS_VENEZOLANO[[#This Row],[Costo]]*ARTICULOS_VENEZOLANO[[#This Row],[Bulto]]*ARTICULOS_VENEZOLANO[[#This Row],[Pedido Bultos]]</f>
        <v>0</v>
      </c>
      <c r="AE9"/>
      <c r="AF9"/>
      <c r="AH9" s="2" t="str">
        <f>IF(AND(ARTICULOS_VENEZOLANO[[#This Row],[FechaVenc]]=0,ARTICULOS_VENEZOLANO[[#This Row],[DiasVenc]]=0),"",ARTICULOS_VENEZOLANO[[#This Row],[FechaVenc]]-ARTICULOS_VENEZOLANO[[#This Row],[DiasVenc]])</f>
        <v/>
      </c>
      <c r="AO9" t="s">
        <v>8689</v>
      </c>
    </row>
    <row r="10" spans="1:43" x14ac:dyDescent="0.25">
      <c r="A10" s="1" t="s">
        <v>8730</v>
      </c>
      <c r="C10" t="str">
        <f t="shared" si="0"/>
        <v>VEN80133955</v>
      </c>
      <c r="D10" t="s">
        <v>8689</v>
      </c>
      <c r="E10" s="24" t="s">
        <v>8731</v>
      </c>
      <c r="F10" s="61">
        <v>2200</v>
      </c>
      <c r="G10" s="122">
        <v>0</v>
      </c>
      <c r="H10" s="3">
        <v>0</v>
      </c>
      <c r="I10" s="54">
        <v>0</v>
      </c>
      <c r="J10" s="66">
        <f>((ARTICULOS_VENEZOLANO[[#This Row],[P. Compra]]*(1+ARTICULOS_VENEZOLANO[[#This Row],[IVA]]))/ARTICULOS_VENEZOLANO[[#This Row],[UnidFact]])+ARTICULOS_VENEZOLANO[[#This Row],[Flete]]</f>
        <v>2200</v>
      </c>
      <c r="K10">
        <v>30</v>
      </c>
      <c r="L10" s="39">
        <f t="shared" si="1"/>
        <v>3100</v>
      </c>
      <c r="M10" s="125">
        <f>MROUND((ARTICULOS_VENEZOLANO[[#This Row],[Precio]]/0.6),50)</f>
        <v>5150</v>
      </c>
      <c r="N10" t="s">
        <v>61</v>
      </c>
      <c r="O10" t="s">
        <v>42</v>
      </c>
      <c r="P10" t="s">
        <v>69</v>
      </c>
      <c r="Q10" t="s">
        <v>8732</v>
      </c>
      <c r="R10" t="s">
        <v>8692</v>
      </c>
      <c r="S10">
        <v>1</v>
      </c>
      <c r="T10" t="s">
        <v>8693</v>
      </c>
      <c r="U10">
        <v>12</v>
      </c>
      <c r="V10" s="3">
        <f>ARTICULOS_VENEZOLANO[[#This Row],[Bulto]]+ARTICULOS_VENEZOLANO[[#This Row],[Minimo]]</f>
        <v>24</v>
      </c>
      <c r="W10" s="55">
        <f>12*5+9</f>
        <v>69</v>
      </c>
      <c r="X10">
        <f>IF(ARTICULOS_VENEZOLANO[[#This Row],[Stock]]&lt;ARTICULOS_VENEZOLANO[[#This Row],[Minimo]],ARTICULOS_VENEZOLANO[[#This Row],[Maximo]]-ARTICULOS_VENEZOLANO[[#This Row],[Stock]],0)</f>
        <v>0</v>
      </c>
      <c r="Y10">
        <f>MROUND(ARTICULOS_VENEZOLANO[[#This Row],[Pedido Unidad]]/ARTICULOS_VENEZOLANO[[#This Row],[Bulto]],1)</f>
        <v>0</v>
      </c>
      <c r="Z10">
        <v>12</v>
      </c>
      <c r="AA10" s="54">
        <v>1</v>
      </c>
      <c r="AB10" s="80">
        <f>ARTICULOS_VENEZOLANO[[#This Row],[Costo]]*ARTICULOS_VENEZOLANO[[#This Row],[Bulto]]*ARTICULOS_VENEZOLANO[[#This Row],[Pedido Bultos]]</f>
        <v>0</v>
      </c>
      <c r="AE10"/>
      <c r="AF10"/>
      <c r="AH10" s="2" t="str">
        <f>IF(AND(ARTICULOS_VENEZOLANO[[#This Row],[FechaVenc]]=0,ARTICULOS_VENEZOLANO[[#This Row],[DiasVenc]]=0),"",ARTICULOS_VENEZOLANO[[#This Row],[FechaVenc]]-ARTICULOS_VENEZOLANO[[#This Row],[DiasVenc]])</f>
        <v/>
      </c>
      <c r="AO10" t="s">
        <v>8689</v>
      </c>
    </row>
    <row r="11" spans="1:43" x14ac:dyDescent="0.25">
      <c r="A11" s="1" t="s">
        <v>8733</v>
      </c>
      <c r="C11" t="str">
        <f t="shared" si="0"/>
        <v>VEN90100852</v>
      </c>
      <c r="D11" t="s">
        <v>8689</v>
      </c>
      <c r="E11" s="24" t="s">
        <v>8734</v>
      </c>
      <c r="F11" s="61">
        <v>1800</v>
      </c>
      <c r="G11" s="122">
        <v>0</v>
      </c>
      <c r="H11" s="3">
        <v>0</v>
      </c>
      <c r="I11" s="54">
        <v>0</v>
      </c>
      <c r="J11" s="66">
        <f>((ARTICULOS_VENEZOLANO[[#This Row],[P. Compra]]*(1+ARTICULOS_VENEZOLANO[[#This Row],[IVA]]))/ARTICULOS_VENEZOLANO[[#This Row],[UnidFact]])+ARTICULOS_VENEZOLANO[[#This Row],[Flete]]</f>
        <v>1800</v>
      </c>
      <c r="K11">
        <v>30</v>
      </c>
      <c r="L11" s="39">
        <f t="shared" si="1"/>
        <v>2600</v>
      </c>
      <c r="M11" s="125">
        <f>MROUND((ARTICULOS_VENEZOLANO[[#This Row],[Precio]]/0.6),50)</f>
        <v>4350</v>
      </c>
      <c r="N11" t="s">
        <v>61</v>
      </c>
      <c r="O11" t="s">
        <v>42</v>
      </c>
      <c r="P11" t="s">
        <v>69</v>
      </c>
      <c r="Q11" t="s">
        <v>8735</v>
      </c>
      <c r="R11" t="s">
        <v>8692</v>
      </c>
      <c r="S11">
        <v>1</v>
      </c>
      <c r="T11" t="s">
        <v>8693</v>
      </c>
      <c r="U11">
        <v>20</v>
      </c>
      <c r="V11" s="3">
        <f>ARTICULOS_VENEZOLANO[[#This Row],[Bulto]]+ARTICULOS_VENEZOLANO[[#This Row],[Minimo]]</f>
        <v>40</v>
      </c>
      <c r="W11" s="55">
        <v>10</v>
      </c>
      <c r="X11">
        <f>IF(ARTICULOS_VENEZOLANO[[#This Row],[Stock]]&lt;ARTICULOS_VENEZOLANO[[#This Row],[Minimo]],ARTICULOS_VENEZOLANO[[#This Row],[Maximo]]-ARTICULOS_VENEZOLANO[[#This Row],[Stock]],0)</f>
        <v>30</v>
      </c>
      <c r="Y11">
        <f>MROUND(ARTICULOS_VENEZOLANO[[#This Row],[Pedido Unidad]]/ARTICULOS_VENEZOLANO[[#This Row],[Bulto]],1)</f>
        <v>2</v>
      </c>
      <c r="Z11">
        <v>20</v>
      </c>
      <c r="AA11" s="54">
        <v>1</v>
      </c>
      <c r="AB11" s="80">
        <f>ARTICULOS_VENEZOLANO[[#This Row],[Costo]]*ARTICULOS_VENEZOLANO[[#This Row],[Bulto]]*ARTICULOS_VENEZOLANO[[#This Row],[Pedido Bultos]]</f>
        <v>72000</v>
      </c>
      <c r="AE11"/>
      <c r="AF11"/>
      <c r="AH11" s="2" t="str">
        <f>IF(AND(ARTICULOS_VENEZOLANO[[#This Row],[FechaVenc]]=0,ARTICULOS_VENEZOLANO[[#This Row],[DiasVenc]]=0),"",ARTICULOS_VENEZOLANO[[#This Row],[FechaVenc]]-ARTICULOS_VENEZOLANO[[#This Row],[DiasVenc]])</f>
        <v/>
      </c>
      <c r="AO11" t="s">
        <v>8689</v>
      </c>
    </row>
    <row r="12" spans="1:43" x14ac:dyDescent="0.25">
      <c r="A12" s="1" t="s">
        <v>8736</v>
      </c>
      <c r="C12" t="str">
        <f t="shared" si="0"/>
        <v>VEN21115501</v>
      </c>
      <c r="D12" t="s">
        <v>8689</v>
      </c>
      <c r="E12" s="24" t="s">
        <v>8737</v>
      </c>
      <c r="F12" s="61">
        <v>1700</v>
      </c>
      <c r="G12" s="122">
        <v>0</v>
      </c>
      <c r="H12" s="3">
        <v>0</v>
      </c>
      <c r="I12" s="54">
        <v>0</v>
      </c>
      <c r="J12" s="66">
        <f>((ARTICULOS_VENEZOLANO[[#This Row],[P. Compra]]*(1+ARTICULOS_VENEZOLANO[[#This Row],[IVA]]))/ARTICULOS_VENEZOLANO[[#This Row],[UnidFact]])+ARTICULOS_VENEZOLANO[[#This Row],[Flete]]</f>
        <v>1700</v>
      </c>
      <c r="K12">
        <v>30</v>
      </c>
      <c r="L12" s="39">
        <f t="shared" si="1"/>
        <v>2400</v>
      </c>
      <c r="M12" s="125">
        <f>MROUND((ARTICULOS_VENEZOLANO[[#This Row],[Precio]]/0.6),50)</f>
        <v>4000</v>
      </c>
      <c r="N12" t="s">
        <v>61</v>
      </c>
      <c r="O12" t="s">
        <v>42</v>
      </c>
      <c r="P12" t="s">
        <v>43</v>
      </c>
      <c r="Q12" t="s">
        <v>8738</v>
      </c>
      <c r="R12" t="s">
        <v>8692</v>
      </c>
      <c r="S12">
        <v>1</v>
      </c>
      <c r="T12" t="s">
        <v>8693</v>
      </c>
      <c r="U12">
        <v>2</v>
      </c>
      <c r="V12" s="3">
        <f>ARTICULOS_VENEZOLANO[[#This Row],[Bulto]]+ARTICULOS_VENEZOLANO[[#This Row],[Minimo]]</f>
        <v>7</v>
      </c>
      <c r="W12" s="55">
        <v>6</v>
      </c>
      <c r="X12">
        <f>IF(ARTICULOS_VENEZOLANO[[#This Row],[Stock]]&lt;ARTICULOS_VENEZOLANO[[#This Row],[Minimo]],ARTICULOS_VENEZOLANO[[#This Row],[Maximo]]-ARTICULOS_VENEZOLANO[[#This Row],[Stock]],0)</f>
        <v>0</v>
      </c>
      <c r="Y12">
        <f>MROUND(ARTICULOS_VENEZOLANO[[#This Row],[Pedido Unidad]]/ARTICULOS_VENEZOLANO[[#This Row],[Bulto]],1)</f>
        <v>0</v>
      </c>
      <c r="Z12">
        <v>5</v>
      </c>
      <c r="AA12" s="54">
        <v>1</v>
      </c>
      <c r="AB12" s="80">
        <f>ARTICULOS_VENEZOLANO[[#This Row],[Costo]]*ARTICULOS_VENEZOLANO[[#This Row],[Bulto]]*ARTICULOS_VENEZOLANO[[#This Row],[Pedido Bultos]]</f>
        <v>0</v>
      </c>
      <c r="AE12"/>
      <c r="AF12"/>
      <c r="AH12" s="2" t="str">
        <f>IF(AND(ARTICULOS_VENEZOLANO[[#This Row],[FechaVenc]]=0,ARTICULOS_VENEZOLANO[[#This Row],[DiasVenc]]=0),"",ARTICULOS_VENEZOLANO[[#This Row],[FechaVenc]]-ARTICULOS_VENEZOLANO[[#This Row],[DiasVenc]])</f>
        <v/>
      </c>
      <c r="AO12" t="s">
        <v>8689</v>
      </c>
    </row>
    <row r="13" spans="1:43" x14ac:dyDescent="0.25">
      <c r="A13" s="1" t="s">
        <v>8739</v>
      </c>
      <c r="C13" t="str">
        <f t="shared" si="0"/>
        <v>VEN5043</v>
      </c>
      <c r="D13" t="s">
        <v>8689</v>
      </c>
      <c r="E13" s="24" t="s">
        <v>8740</v>
      </c>
      <c r="F13" s="61">
        <v>2190</v>
      </c>
      <c r="G13" s="122">
        <v>0</v>
      </c>
      <c r="H13" s="3">
        <v>0</v>
      </c>
      <c r="I13" s="54">
        <v>0</v>
      </c>
      <c r="J13" s="66">
        <f>((ARTICULOS_VENEZOLANO[[#This Row],[P. Compra]]*(1+ARTICULOS_VENEZOLANO[[#This Row],[IVA]]))/ARTICULOS_VENEZOLANO[[#This Row],[UnidFact]])+ARTICULOS_VENEZOLANO[[#This Row],[Flete]]</f>
        <v>2190</v>
      </c>
      <c r="K13">
        <v>30</v>
      </c>
      <c r="L13" s="39">
        <f t="shared" si="1"/>
        <v>3100</v>
      </c>
      <c r="M13" s="125">
        <f>MROUND((ARTICULOS_VENEZOLANO[[#This Row],[Precio]]/0.6),50)</f>
        <v>5150</v>
      </c>
      <c r="N13" t="s">
        <v>61</v>
      </c>
      <c r="O13" t="s">
        <v>42</v>
      </c>
      <c r="P13" t="s">
        <v>89</v>
      </c>
      <c r="Q13" t="s">
        <v>8691</v>
      </c>
      <c r="R13" t="s">
        <v>8692</v>
      </c>
      <c r="S13">
        <v>1</v>
      </c>
      <c r="T13" t="s">
        <v>8693</v>
      </c>
      <c r="U13">
        <v>2</v>
      </c>
      <c r="V13" s="3">
        <f>ARTICULOS_VENEZOLANO[[#This Row],[Bulto]]+ARTICULOS_VENEZOLANO[[#This Row],[Minimo]]</f>
        <v>12</v>
      </c>
      <c r="W13" s="55">
        <v>1</v>
      </c>
      <c r="X13">
        <f>IF(ARTICULOS_VENEZOLANO[[#This Row],[Stock]]&lt;ARTICULOS_VENEZOLANO[[#This Row],[Minimo]],ARTICULOS_VENEZOLANO[[#This Row],[Maximo]]-ARTICULOS_VENEZOLANO[[#This Row],[Stock]],0)</f>
        <v>11</v>
      </c>
      <c r="Y13">
        <f>MROUND(ARTICULOS_VENEZOLANO[[#This Row],[Pedido Unidad]]/ARTICULOS_VENEZOLANO[[#This Row],[Bulto]],1)</f>
        <v>1</v>
      </c>
      <c r="Z13">
        <v>10</v>
      </c>
      <c r="AA13" s="54">
        <v>1</v>
      </c>
      <c r="AB13" s="80">
        <f>ARTICULOS_VENEZOLANO[[#This Row],[Costo]]*ARTICULOS_VENEZOLANO[[#This Row],[Bulto]]*ARTICULOS_VENEZOLANO[[#This Row],[Pedido Bultos]]</f>
        <v>21900</v>
      </c>
      <c r="AE13"/>
      <c r="AF13"/>
      <c r="AH13" s="2" t="str">
        <f>IF(AND(ARTICULOS_VENEZOLANO[[#This Row],[FechaVenc]]=0,ARTICULOS_VENEZOLANO[[#This Row],[DiasVenc]]=0),"",ARTICULOS_VENEZOLANO[[#This Row],[FechaVenc]]-ARTICULOS_VENEZOLANO[[#This Row],[DiasVenc]])</f>
        <v/>
      </c>
      <c r="AO13" t="s">
        <v>8689</v>
      </c>
    </row>
    <row r="14" spans="1:43" x14ac:dyDescent="0.25">
      <c r="A14" s="1" t="s">
        <v>8827</v>
      </c>
      <c r="C14" t="str">
        <f t="shared" si="0"/>
        <v>VEN5038</v>
      </c>
      <c r="D14" t="s">
        <v>8689</v>
      </c>
      <c r="E14" s="24" t="s">
        <v>8828</v>
      </c>
      <c r="F14" s="61">
        <v>1700</v>
      </c>
      <c r="G14" s="122">
        <v>0</v>
      </c>
      <c r="H14" s="3">
        <v>0</v>
      </c>
      <c r="I14" s="54">
        <v>0</v>
      </c>
      <c r="J14" s="66">
        <f>((ARTICULOS_VENEZOLANO[[#This Row],[P. Compra]]*(1+ARTICULOS_VENEZOLANO[[#This Row],[IVA]]))/ARTICULOS_VENEZOLANO[[#This Row],[UnidFact]])+ARTICULOS_VENEZOLANO[[#This Row],[Flete]]</f>
        <v>1700</v>
      </c>
      <c r="K14">
        <v>30</v>
      </c>
      <c r="L14" s="39">
        <f t="shared" si="1"/>
        <v>2400</v>
      </c>
      <c r="M14" s="125">
        <f>MROUND((ARTICULOS_VENEZOLANO[[#This Row],[Precio]]/0.6),50)</f>
        <v>4000</v>
      </c>
      <c r="N14" t="s">
        <v>61</v>
      </c>
      <c r="O14" t="s">
        <v>42</v>
      </c>
      <c r="P14" t="s">
        <v>60</v>
      </c>
      <c r="Q14" t="s">
        <v>8829</v>
      </c>
      <c r="R14" t="s">
        <v>8692</v>
      </c>
      <c r="S14">
        <v>1</v>
      </c>
      <c r="T14" t="s">
        <v>8693</v>
      </c>
      <c r="U14">
        <v>2</v>
      </c>
      <c r="V14" s="3">
        <f>ARTICULOS_VENEZOLANO[[#This Row],[Bulto]]+ARTICULOS_VENEZOLANO[[#This Row],[Minimo]]</f>
        <v>8</v>
      </c>
      <c r="W14" s="55">
        <v>0</v>
      </c>
      <c r="X14">
        <f>IF(ARTICULOS_VENEZOLANO[[#This Row],[Stock]]&lt;ARTICULOS_VENEZOLANO[[#This Row],[Minimo]],ARTICULOS_VENEZOLANO[[#This Row],[Maximo]]-ARTICULOS_VENEZOLANO[[#This Row],[Stock]],0)</f>
        <v>8</v>
      </c>
      <c r="Y14">
        <f>MROUND(ARTICULOS_VENEZOLANO[[#This Row],[Pedido Unidad]]/ARTICULOS_VENEZOLANO[[#This Row],[Bulto]],1)</f>
        <v>1</v>
      </c>
      <c r="Z14">
        <v>6</v>
      </c>
      <c r="AA14" s="54">
        <v>1</v>
      </c>
      <c r="AB14" s="80">
        <f>ARTICULOS_VENEZOLANO[[#This Row],[Costo]]*ARTICULOS_VENEZOLANO[[#This Row],[Bulto]]*ARTICULOS_VENEZOLANO[[#This Row],[Pedido Bultos]]</f>
        <v>10200</v>
      </c>
      <c r="AE14"/>
      <c r="AF14"/>
      <c r="AH14" s="2" t="str">
        <f>IF(AND(ARTICULOS_VENEZOLANO[[#This Row],[FechaVenc]]=0,ARTICULOS_VENEZOLANO[[#This Row],[DiasVenc]]=0),"",ARTICULOS_VENEZOLANO[[#This Row],[FechaVenc]]-ARTICULOS_VENEZOLANO[[#This Row],[DiasVenc]])</f>
        <v/>
      </c>
      <c r="AO14" t="s">
        <v>8689</v>
      </c>
    </row>
    <row r="15" spans="1:43" x14ac:dyDescent="0.25">
      <c r="A15" s="1" t="s">
        <v>12126</v>
      </c>
      <c r="C15" t="str">
        <f t="shared" si="0"/>
        <v>VEN5017</v>
      </c>
      <c r="D15" t="s">
        <v>8689</v>
      </c>
      <c r="E15" s="24" t="s">
        <v>12127</v>
      </c>
      <c r="F15" s="61">
        <v>16500</v>
      </c>
      <c r="G15" s="122">
        <v>0</v>
      </c>
      <c r="H15" s="3">
        <v>0</v>
      </c>
      <c r="I15" s="54">
        <v>0</v>
      </c>
      <c r="J15" s="66">
        <f>((ARTICULOS_VENEZOLANO[[#This Row],[P. Compra]]*(1+ARTICULOS_VENEZOLANO[[#This Row],[IVA]]))/ARTICULOS_VENEZOLANO[[#This Row],[UnidFact]])+ARTICULOS_VENEZOLANO[[#This Row],[Flete]]</f>
        <v>1100</v>
      </c>
      <c r="K15">
        <v>30</v>
      </c>
      <c r="L15" s="39">
        <f t="shared" si="1"/>
        <v>1600</v>
      </c>
      <c r="M15" s="125">
        <f>MROUND((ARTICULOS_VENEZOLANO[[#This Row],[Precio]]/0.6),50)</f>
        <v>2650</v>
      </c>
      <c r="N15" t="s">
        <v>61</v>
      </c>
      <c r="O15" t="s">
        <v>42</v>
      </c>
      <c r="P15" t="s">
        <v>60</v>
      </c>
      <c r="Q15" t="s">
        <v>8829</v>
      </c>
      <c r="R15" t="s">
        <v>8692</v>
      </c>
      <c r="S15">
        <v>1</v>
      </c>
      <c r="T15" t="s">
        <v>8693</v>
      </c>
      <c r="U15">
        <v>2</v>
      </c>
      <c r="V15" s="3">
        <f>ARTICULOS_VENEZOLANO[[#This Row],[Bulto]]+ARTICULOS_VENEZOLANO[[#This Row],[Minimo]]</f>
        <v>17</v>
      </c>
      <c r="W15" s="55">
        <v>0</v>
      </c>
      <c r="X15">
        <f>IF(ARTICULOS_VENEZOLANO[[#This Row],[Stock]]&lt;ARTICULOS_VENEZOLANO[[#This Row],[Minimo]],ARTICULOS_VENEZOLANO[[#This Row],[Maximo]]-ARTICULOS_VENEZOLANO[[#This Row],[Stock]],0)</f>
        <v>17</v>
      </c>
      <c r="Y15">
        <f>MROUND(ARTICULOS_VENEZOLANO[[#This Row],[Pedido Unidad]]/ARTICULOS_VENEZOLANO[[#This Row],[Bulto]],1)</f>
        <v>1</v>
      </c>
      <c r="Z15">
        <v>15</v>
      </c>
      <c r="AA15" s="54">
        <v>15</v>
      </c>
      <c r="AB15" s="80">
        <f>ARTICULOS_VENEZOLANO[[#This Row],[Costo]]*ARTICULOS_VENEZOLANO[[#This Row],[Bulto]]*ARTICULOS_VENEZOLANO[[#This Row],[Pedido Bultos]]</f>
        <v>16500</v>
      </c>
      <c r="AE15"/>
      <c r="AF15"/>
      <c r="AH15" s="2" t="str">
        <f>IF(AND(ARTICULOS_VENEZOLANO[[#This Row],[FechaVenc]]=0,ARTICULOS_VENEZOLANO[[#This Row],[DiasVenc]]=0),"",ARTICULOS_VENEZOLANO[[#This Row],[FechaVenc]]-ARTICULOS_VENEZOLANO[[#This Row],[DiasVenc]])</f>
        <v/>
      </c>
      <c r="AO15" t="s">
        <v>8689</v>
      </c>
    </row>
    <row r="16" spans="1:43" x14ac:dyDescent="0.25">
      <c r="A16" s="1" t="s">
        <v>8741</v>
      </c>
      <c r="C16" t="str">
        <f t="shared" si="0"/>
        <v>VEN5032</v>
      </c>
      <c r="D16" t="s">
        <v>8689</v>
      </c>
      <c r="E16" s="24" t="s">
        <v>8742</v>
      </c>
      <c r="F16" s="61">
        <v>3102</v>
      </c>
      <c r="G16" s="122">
        <v>0</v>
      </c>
      <c r="H16" s="3">
        <v>0</v>
      </c>
      <c r="I16" s="54">
        <v>0</v>
      </c>
      <c r="J16" s="66">
        <f>((ARTICULOS_VENEZOLANO[[#This Row],[P. Compra]]*(1+ARTICULOS_VENEZOLANO[[#This Row],[IVA]]))/ARTICULOS_VENEZOLANO[[#This Row],[UnidFact]])+ARTICULOS_VENEZOLANO[[#This Row],[Flete]]</f>
        <v>3102</v>
      </c>
      <c r="K16">
        <v>30</v>
      </c>
      <c r="L16" s="39">
        <f t="shared" si="1"/>
        <v>4400</v>
      </c>
      <c r="M16" s="125">
        <f>MROUND((ARTICULOS_VENEZOLANO[[#This Row],[Precio]]/0.6),50)</f>
        <v>7350</v>
      </c>
      <c r="N16" t="s">
        <v>61</v>
      </c>
      <c r="O16" t="s">
        <v>42</v>
      </c>
      <c r="P16" t="s">
        <v>56</v>
      </c>
      <c r="Q16" t="s">
        <v>8691</v>
      </c>
      <c r="R16" t="s">
        <v>8692</v>
      </c>
      <c r="S16">
        <v>1</v>
      </c>
      <c r="T16" t="s">
        <v>8693</v>
      </c>
      <c r="U16">
        <v>1</v>
      </c>
      <c r="V16" s="3">
        <f>ARTICULOS_VENEZOLANO[[#This Row],[Bulto]]+ARTICULOS_VENEZOLANO[[#This Row],[Minimo]]</f>
        <v>4</v>
      </c>
      <c r="W16" s="55">
        <v>0</v>
      </c>
      <c r="X16">
        <f>IF(ARTICULOS_VENEZOLANO[[#This Row],[Stock]]&lt;ARTICULOS_VENEZOLANO[[#This Row],[Minimo]],ARTICULOS_VENEZOLANO[[#This Row],[Maximo]]-ARTICULOS_VENEZOLANO[[#This Row],[Stock]],0)</f>
        <v>4</v>
      </c>
      <c r="Y16">
        <f>MROUND(ARTICULOS_VENEZOLANO[[#This Row],[Pedido Unidad]]/ARTICULOS_VENEZOLANO[[#This Row],[Bulto]],1)</f>
        <v>1</v>
      </c>
      <c r="Z16">
        <v>3</v>
      </c>
      <c r="AA16" s="54">
        <v>1</v>
      </c>
      <c r="AB16" s="80">
        <f>ARTICULOS_VENEZOLANO[[#This Row],[Costo]]*ARTICULOS_VENEZOLANO[[#This Row],[Bulto]]*ARTICULOS_VENEZOLANO[[#This Row],[Pedido Bultos]]</f>
        <v>9306</v>
      </c>
      <c r="AE16"/>
      <c r="AF16"/>
      <c r="AH16" s="2" t="str">
        <f>IF(AND(ARTICULOS_VENEZOLANO[[#This Row],[FechaVenc]]=0,ARTICULOS_VENEZOLANO[[#This Row],[DiasVenc]]=0),"",ARTICULOS_VENEZOLANO[[#This Row],[FechaVenc]]-ARTICULOS_VENEZOLANO[[#This Row],[DiasVenc]])</f>
        <v/>
      </c>
      <c r="AO16" t="s">
        <v>8689</v>
      </c>
    </row>
    <row r="17" spans="1:41" x14ac:dyDescent="0.25">
      <c r="A17" s="1" t="s">
        <v>8743</v>
      </c>
      <c r="C17" t="str">
        <f t="shared" si="0"/>
        <v>VEN5026</v>
      </c>
      <c r="D17" t="s">
        <v>8689</v>
      </c>
      <c r="E17" s="24" t="s">
        <v>8744</v>
      </c>
      <c r="F17" s="61">
        <v>1</v>
      </c>
      <c r="G17" s="122">
        <v>0</v>
      </c>
      <c r="H17" s="3">
        <v>0</v>
      </c>
      <c r="I17" s="54">
        <v>0</v>
      </c>
      <c r="J17" s="66">
        <f>((ARTICULOS_VENEZOLANO[[#This Row],[P. Compra]]*(1+ARTICULOS_VENEZOLANO[[#This Row],[IVA]]))/ARTICULOS_VENEZOLANO[[#This Row],[UnidFact]])+ARTICULOS_VENEZOLANO[[#This Row],[Flete]]</f>
        <v>1</v>
      </c>
      <c r="K17">
        <v>30</v>
      </c>
      <c r="L17" s="39">
        <f t="shared" si="1"/>
        <v>50</v>
      </c>
      <c r="M17" s="125">
        <f>MROUND((ARTICULOS_VENEZOLANO[[#This Row],[Precio]]/0.6),50)</f>
        <v>100</v>
      </c>
      <c r="N17" t="s">
        <v>61</v>
      </c>
      <c r="O17" t="s">
        <v>42</v>
      </c>
      <c r="P17" t="s">
        <v>79</v>
      </c>
      <c r="Q17" t="s">
        <v>8745</v>
      </c>
      <c r="R17" t="s">
        <v>8692</v>
      </c>
      <c r="S17">
        <v>1</v>
      </c>
      <c r="T17" t="s">
        <v>8693</v>
      </c>
      <c r="U17">
        <v>1</v>
      </c>
      <c r="V17" s="3">
        <f>ARTICULOS_VENEZOLANO[[#This Row],[Bulto]]+ARTICULOS_VENEZOLANO[[#This Row],[Minimo]]</f>
        <v>4</v>
      </c>
      <c r="W17" s="55">
        <v>0</v>
      </c>
      <c r="X17">
        <f>IF(ARTICULOS_VENEZOLANO[[#This Row],[Stock]]&lt;ARTICULOS_VENEZOLANO[[#This Row],[Minimo]],ARTICULOS_VENEZOLANO[[#This Row],[Maximo]]-ARTICULOS_VENEZOLANO[[#This Row],[Stock]],0)</f>
        <v>4</v>
      </c>
      <c r="Y17">
        <f>MROUND(ARTICULOS_VENEZOLANO[[#This Row],[Pedido Unidad]]/ARTICULOS_VENEZOLANO[[#This Row],[Bulto]],1)</f>
        <v>1</v>
      </c>
      <c r="Z17">
        <v>3</v>
      </c>
      <c r="AA17" s="54">
        <v>1</v>
      </c>
      <c r="AB17" s="80">
        <f>ARTICULOS_VENEZOLANO[[#This Row],[Costo]]*ARTICULOS_VENEZOLANO[[#This Row],[Bulto]]*ARTICULOS_VENEZOLANO[[#This Row],[Pedido Bultos]]</f>
        <v>3</v>
      </c>
      <c r="AE17"/>
      <c r="AF17"/>
      <c r="AH17" s="2" t="str">
        <f>IF(AND(ARTICULOS_VENEZOLANO[[#This Row],[FechaVenc]]=0,ARTICULOS_VENEZOLANO[[#This Row],[DiasVenc]]=0),"",ARTICULOS_VENEZOLANO[[#This Row],[FechaVenc]]-ARTICULOS_VENEZOLANO[[#This Row],[DiasVenc]])</f>
        <v/>
      </c>
      <c r="AO17" t="s">
        <v>8689</v>
      </c>
    </row>
    <row r="18" spans="1:41" x14ac:dyDescent="0.25">
      <c r="A18" s="1" t="s">
        <v>8746</v>
      </c>
      <c r="C18" t="str">
        <f t="shared" si="0"/>
        <v>VEN5027</v>
      </c>
      <c r="D18" t="s">
        <v>8689</v>
      </c>
      <c r="E18" s="24" t="s">
        <v>8747</v>
      </c>
      <c r="F18" s="61">
        <v>1</v>
      </c>
      <c r="G18" s="122">
        <v>0</v>
      </c>
      <c r="H18" s="3">
        <v>0</v>
      </c>
      <c r="I18" s="54">
        <v>0</v>
      </c>
      <c r="J18" s="66">
        <f>((ARTICULOS_VENEZOLANO[[#This Row],[P. Compra]]*(1+ARTICULOS_VENEZOLANO[[#This Row],[IVA]]))/ARTICULOS_VENEZOLANO[[#This Row],[UnidFact]])+ARTICULOS_VENEZOLANO[[#This Row],[Flete]]</f>
        <v>1</v>
      </c>
      <c r="K18">
        <v>30</v>
      </c>
      <c r="L18" s="39">
        <f t="shared" si="1"/>
        <v>50</v>
      </c>
      <c r="M18" s="125">
        <f>MROUND((ARTICULOS_VENEZOLANO[[#This Row],[Precio]]/0.6),50)</f>
        <v>100</v>
      </c>
      <c r="N18" t="s">
        <v>61</v>
      </c>
      <c r="O18" t="s">
        <v>42</v>
      </c>
      <c r="P18" t="s">
        <v>79</v>
      </c>
      <c r="Q18" t="s">
        <v>8745</v>
      </c>
      <c r="R18" t="s">
        <v>8692</v>
      </c>
      <c r="S18">
        <v>1</v>
      </c>
      <c r="T18" t="s">
        <v>8693</v>
      </c>
      <c r="U18">
        <v>1</v>
      </c>
      <c r="V18" s="3">
        <f>ARTICULOS_VENEZOLANO[[#This Row],[Bulto]]+ARTICULOS_VENEZOLANO[[#This Row],[Minimo]]</f>
        <v>4</v>
      </c>
      <c r="W18" s="55">
        <v>0</v>
      </c>
      <c r="X18">
        <f>IF(ARTICULOS_VENEZOLANO[[#This Row],[Stock]]&lt;ARTICULOS_VENEZOLANO[[#This Row],[Minimo]],ARTICULOS_VENEZOLANO[[#This Row],[Maximo]]-ARTICULOS_VENEZOLANO[[#This Row],[Stock]],0)</f>
        <v>4</v>
      </c>
      <c r="Y18">
        <f>MROUND(ARTICULOS_VENEZOLANO[[#This Row],[Pedido Unidad]]/ARTICULOS_VENEZOLANO[[#This Row],[Bulto]],1)</f>
        <v>1</v>
      </c>
      <c r="Z18">
        <v>3</v>
      </c>
      <c r="AA18" s="54">
        <v>1</v>
      </c>
      <c r="AB18" s="80">
        <f>ARTICULOS_VENEZOLANO[[#This Row],[Costo]]*ARTICULOS_VENEZOLANO[[#This Row],[Bulto]]*ARTICULOS_VENEZOLANO[[#This Row],[Pedido Bultos]]</f>
        <v>3</v>
      </c>
      <c r="AE18"/>
      <c r="AF18"/>
      <c r="AH18" s="2" t="str">
        <f>IF(AND(ARTICULOS_VENEZOLANO[[#This Row],[FechaVenc]]=0,ARTICULOS_VENEZOLANO[[#This Row],[DiasVenc]]=0),"",ARTICULOS_VENEZOLANO[[#This Row],[FechaVenc]]-ARTICULOS_VENEZOLANO[[#This Row],[DiasVenc]])</f>
        <v/>
      </c>
      <c r="AO18" t="s">
        <v>8689</v>
      </c>
    </row>
    <row r="19" spans="1:41" x14ac:dyDescent="0.25">
      <c r="A19" s="1" t="s">
        <v>8748</v>
      </c>
      <c r="C19" t="str">
        <f t="shared" si="0"/>
        <v>VEN5006</v>
      </c>
      <c r="D19" t="s">
        <v>8693</v>
      </c>
      <c r="E19" s="24" t="s">
        <v>8749</v>
      </c>
      <c r="F19" s="61">
        <v>5000</v>
      </c>
      <c r="G19" s="122">
        <v>0</v>
      </c>
      <c r="H19" s="3">
        <v>0</v>
      </c>
      <c r="I19" s="54">
        <v>0</v>
      </c>
      <c r="J19" s="66">
        <f>((ARTICULOS_VENEZOLANO[[#This Row],[P. Compra]]*(1+ARTICULOS_VENEZOLANO[[#This Row],[IVA]]))/ARTICULOS_VENEZOLANO[[#This Row],[UnidFact]])+ARTICULOS_VENEZOLANO[[#This Row],[Flete]]</f>
        <v>5000</v>
      </c>
      <c r="K19">
        <v>30</v>
      </c>
      <c r="L19" s="39">
        <f t="shared" si="1"/>
        <v>7100</v>
      </c>
      <c r="M19" s="125">
        <f>MROUND((ARTICULOS_VENEZOLANO[[#This Row],[Precio]]/0.6),50)</f>
        <v>11850</v>
      </c>
      <c r="N19" t="s">
        <v>61</v>
      </c>
      <c r="O19" t="s">
        <v>42</v>
      </c>
      <c r="P19" t="s">
        <v>43</v>
      </c>
      <c r="Q19" t="s">
        <v>8691</v>
      </c>
      <c r="R19" t="s">
        <v>11760</v>
      </c>
      <c r="S19">
        <v>0.1</v>
      </c>
      <c r="T19" t="s">
        <v>8693</v>
      </c>
      <c r="U19">
        <v>0.5</v>
      </c>
      <c r="V19" s="3">
        <f>ARTICULOS_VENEZOLANO[[#This Row],[Bulto]]+ARTICULOS_VENEZOLANO[[#This Row],[Minimo]]</f>
        <v>5.5</v>
      </c>
      <c r="W19" s="55">
        <v>3.18</v>
      </c>
      <c r="X19">
        <f>IF(ARTICULOS_VENEZOLANO[[#This Row],[Stock]]&lt;ARTICULOS_VENEZOLANO[[#This Row],[Minimo]],ARTICULOS_VENEZOLANO[[#This Row],[Maximo]]-ARTICULOS_VENEZOLANO[[#This Row],[Stock]],0)</f>
        <v>0</v>
      </c>
      <c r="Y19">
        <f>MROUND(ARTICULOS_VENEZOLANO[[#This Row],[Pedido Unidad]]/ARTICULOS_VENEZOLANO[[#This Row],[Bulto]],1)</f>
        <v>0</v>
      </c>
      <c r="Z19">
        <v>5</v>
      </c>
      <c r="AA19" s="54">
        <v>1</v>
      </c>
      <c r="AB19" s="80">
        <f>ARTICULOS_VENEZOLANO[[#This Row],[Costo]]*ARTICULOS_VENEZOLANO[[#This Row],[Bulto]]*ARTICULOS_VENEZOLANO[[#This Row],[Pedido Bultos]]</f>
        <v>0</v>
      </c>
      <c r="AE19"/>
      <c r="AF19"/>
      <c r="AH19" s="2" t="str">
        <f>IF(AND(ARTICULOS_VENEZOLANO[[#This Row],[FechaVenc]]=0,ARTICULOS_VENEZOLANO[[#This Row],[DiasVenc]]=0),"",ARTICULOS_VENEZOLANO[[#This Row],[FechaVenc]]-ARTICULOS_VENEZOLANO[[#This Row],[DiasVenc]])</f>
        <v/>
      </c>
      <c r="AO19" t="s">
        <v>8689</v>
      </c>
    </row>
    <row r="20" spans="1:41" x14ac:dyDescent="0.25">
      <c r="A20" s="1" t="s">
        <v>8750</v>
      </c>
      <c r="C20" t="str">
        <f t="shared" si="0"/>
        <v>VEN5007</v>
      </c>
      <c r="D20" t="s">
        <v>8693</v>
      </c>
      <c r="E20" s="24" t="s">
        <v>8751</v>
      </c>
      <c r="F20" s="61">
        <v>2150</v>
      </c>
      <c r="G20" s="122">
        <v>0</v>
      </c>
      <c r="H20" s="3">
        <v>0</v>
      </c>
      <c r="I20" s="54">
        <v>0</v>
      </c>
      <c r="J20" s="66">
        <f>((ARTICULOS_VENEZOLANO[[#This Row],[P. Compra]]*(1+ARTICULOS_VENEZOLANO[[#This Row],[IVA]]))/ARTICULOS_VENEZOLANO[[#This Row],[UnidFact]])+ARTICULOS_VENEZOLANO[[#This Row],[Flete]]</f>
        <v>2150</v>
      </c>
      <c r="K20">
        <v>30</v>
      </c>
      <c r="L20" s="39">
        <f t="shared" si="1"/>
        <v>3100</v>
      </c>
      <c r="M20" s="125">
        <f>MROUND((ARTICULOS_VENEZOLANO[[#This Row],[Precio]]/0.6),50)</f>
        <v>5150</v>
      </c>
      <c r="N20" t="s">
        <v>61</v>
      </c>
      <c r="O20" t="s">
        <v>42</v>
      </c>
      <c r="P20" t="s">
        <v>43</v>
      </c>
      <c r="Q20" t="s">
        <v>8691</v>
      </c>
      <c r="R20" t="s">
        <v>8692</v>
      </c>
      <c r="S20">
        <v>1</v>
      </c>
      <c r="T20" t="s">
        <v>8693</v>
      </c>
      <c r="U20">
        <v>1</v>
      </c>
      <c r="V20" s="3">
        <f>ARTICULOS_VENEZOLANO[[#This Row],[Bulto]]+ARTICULOS_VENEZOLANO[[#This Row],[Minimo]]</f>
        <v>6</v>
      </c>
      <c r="W20" s="55">
        <v>0</v>
      </c>
      <c r="X20">
        <f>IF(ARTICULOS_VENEZOLANO[[#This Row],[Stock]]&lt;ARTICULOS_VENEZOLANO[[#This Row],[Minimo]],ARTICULOS_VENEZOLANO[[#This Row],[Maximo]]-ARTICULOS_VENEZOLANO[[#This Row],[Stock]],0)</f>
        <v>6</v>
      </c>
      <c r="Y20">
        <f>MROUND(ARTICULOS_VENEZOLANO[[#This Row],[Pedido Unidad]]/ARTICULOS_VENEZOLANO[[#This Row],[Bulto]],1)</f>
        <v>1</v>
      </c>
      <c r="Z20">
        <v>5</v>
      </c>
      <c r="AA20" s="54">
        <v>1</v>
      </c>
      <c r="AB20" s="80">
        <f>ARTICULOS_VENEZOLANO[[#This Row],[Costo]]*ARTICULOS_VENEZOLANO[[#This Row],[Bulto]]*ARTICULOS_VENEZOLANO[[#This Row],[Pedido Bultos]]</f>
        <v>10750</v>
      </c>
      <c r="AE20"/>
      <c r="AF20"/>
      <c r="AH20" s="2" t="str">
        <f>IF(AND(ARTICULOS_VENEZOLANO[[#This Row],[FechaVenc]]=0,ARTICULOS_VENEZOLANO[[#This Row],[DiasVenc]]=0),"",ARTICULOS_VENEZOLANO[[#This Row],[FechaVenc]]-ARTICULOS_VENEZOLANO[[#This Row],[DiasVenc]])</f>
        <v/>
      </c>
      <c r="AO20" t="s">
        <v>8689</v>
      </c>
    </row>
    <row r="21" spans="1:41" x14ac:dyDescent="0.25">
      <c r="A21" s="1" t="s">
        <v>11464</v>
      </c>
      <c r="C21" t="str">
        <f t="shared" si="0"/>
        <v>VEN1000</v>
      </c>
      <c r="D21" t="s">
        <v>8689</v>
      </c>
      <c r="E21" s="24" t="s">
        <v>8752</v>
      </c>
      <c r="F21" s="61">
        <v>3100</v>
      </c>
      <c r="G21" s="122">
        <v>0</v>
      </c>
      <c r="H21" s="3">
        <v>0</v>
      </c>
      <c r="I21" s="54">
        <v>0</v>
      </c>
      <c r="J21" s="66">
        <f>((ARTICULOS_VENEZOLANO[[#This Row],[P. Compra]]*(1+ARTICULOS_VENEZOLANO[[#This Row],[IVA]]))/ARTICULOS_VENEZOLANO[[#This Row],[UnidFact]])+ARTICULOS_VENEZOLANO[[#This Row],[Flete]]</f>
        <v>258.33333333333331</v>
      </c>
      <c r="K21">
        <v>30</v>
      </c>
      <c r="L21" s="39">
        <f t="shared" si="1"/>
        <v>400</v>
      </c>
      <c r="M21" s="125">
        <f>MROUND((ARTICULOS_VENEZOLANO[[#This Row],[Precio]]/0.6),50)</f>
        <v>650</v>
      </c>
      <c r="N21" t="s">
        <v>59</v>
      </c>
      <c r="O21" t="s">
        <v>42</v>
      </c>
      <c r="P21" t="s">
        <v>43</v>
      </c>
      <c r="Q21" t="s">
        <v>59</v>
      </c>
      <c r="R21" t="s">
        <v>8692</v>
      </c>
      <c r="S21">
        <v>1</v>
      </c>
      <c r="T21" t="s">
        <v>8693</v>
      </c>
      <c r="U21">
        <v>240</v>
      </c>
      <c r="V21" s="3">
        <f>ARTICULOS_VENEZOLANO[[#This Row],[Bulto]]+ARTICULOS_VENEZOLANO[[#This Row],[Minimo]]</f>
        <v>1440</v>
      </c>
      <c r="W21" s="55">
        <f>12*86</f>
        <v>1032</v>
      </c>
      <c r="X21">
        <f>IF(ARTICULOS_VENEZOLANO[[#This Row],[Stock]]&lt;ARTICULOS_VENEZOLANO[[#This Row],[Minimo]],ARTICULOS_VENEZOLANO[[#This Row],[Maximo]]-ARTICULOS_VENEZOLANO[[#This Row],[Stock]],0)</f>
        <v>0</v>
      </c>
      <c r="Y21">
        <f>MROUND(ARTICULOS_VENEZOLANO[[#This Row],[Pedido Unidad]]/ARTICULOS_VENEZOLANO[[#This Row],[Bulto]],1)</f>
        <v>0</v>
      </c>
      <c r="Z21">
        <v>1200</v>
      </c>
      <c r="AA21" s="54">
        <v>12</v>
      </c>
      <c r="AB21" s="80">
        <f>ARTICULOS_VENEZOLANO[[#This Row],[Costo]]*ARTICULOS_VENEZOLANO[[#This Row],[Bulto]]*ARTICULOS_VENEZOLANO[[#This Row],[Pedido Bultos]]</f>
        <v>0</v>
      </c>
      <c r="AE21"/>
      <c r="AF21"/>
      <c r="AH21" s="2" t="str">
        <f>IF(AND(ARTICULOS_VENEZOLANO[[#This Row],[FechaVenc]]=0,ARTICULOS_VENEZOLANO[[#This Row],[DiasVenc]]=0),"",ARTICULOS_VENEZOLANO[[#This Row],[FechaVenc]]-ARTICULOS_VENEZOLANO[[#This Row],[DiasVenc]])</f>
        <v/>
      </c>
      <c r="AO21" t="s">
        <v>8689</v>
      </c>
    </row>
    <row r="22" spans="1:41" x14ac:dyDescent="0.25">
      <c r="A22" s="1" t="s">
        <v>12123</v>
      </c>
      <c r="C22" t="str">
        <f t="shared" si="0"/>
        <v>VEN1100</v>
      </c>
      <c r="D22" t="s">
        <v>8689</v>
      </c>
      <c r="E22" s="24" t="s">
        <v>12124</v>
      </c>
      <c r="F22" s="61">
        <v>3000</v>
      </c>
      <c r="G22" s="122">
        <v>0</v>
      </c>
      <c r="H22" s="3">
        <v>0</v>
      </c>
      <c r="I22" s="54">
        <v>0</v>
      </c>
      <c r="J22" s="66">
        <f>((ARTICULOS_VENEZOLANO[[#This Row],[P. Compra]]*(1+ARTICULOS_VENEZOLANO[[#This Row],[IVA]]))/ARTICULOS_VENEZOLANO[[#This Row],[UnidFact]])+ARTICULOS_VENEZOLANO[[#This Row],[Flete]]</f>
        <v>250</v>
      </c>
      <c r="K22">
        <v>30</v>
      </c>
      <c r="L22" s="39">
        <f t="shared" si="1"/>
        <v>400</v>
      </c>
      <c r="M22" s="125">
        <f>MROUND((ARTICULOS_VENEZOLANO[[#This Row],[Precio]]/0.6),50)</f>
        <v>650</v>
      </c>
      <c r="N22" t="s">
        <v>59</v>
      </c>
      <c r="O22" t="s">
        <v>42</v>
      </c>
      <c r="P22" t="s">
        <v>43</v>
      </c>
      <c r="Q22" t="s">
        <v>59</v>
      </c>
      <c r="R22" t="s">
        <v>8692</v>
      </c>
      <c r="S22">
        <v>1</v>
      </c>
      <c r="T22" t="s">
        <v>8693</v>
      </c>
      <c r="U22">
        <v>240</v>
      </c>
      <c r="V22" s="3">
        <f>ARTICULOS_VENEZOLANO[[#This Row],[Bulto]]+ARTICULOS_VENEZOLANO[[#This Row],[Minimo]]</f>
        <v>1440</v>
      </c>
      <c r="W22" s="55">
        <f>12*86</f>
        <v>1032</v>
      </c>
      <c r="X22">
        <f>IF(ARTICULOS_VENEZOLANO[[#This Row],[Stock]]&lt;ARTICULOS_VENEZOLANO[[#This Row],[Minimo]],ARTICULOS_VENEZOLANO[[#This Row],[Maximo]]-ARTICULOS_VENEZOLANO[[#This Row],[Stock]],0)</f>
        <v>0</v>
      </c>
      <c r="Y22">
        <f>MROUND(ARTICULOS_VENEZOLANO[[#This Row],[Pedido Unidad]]/ARTICULOS_VENEZOLANO[[#This Row],[Bulto]],1)</f>
        <v>0</v>
      </c>
      <c r="Z22">
        <v>1200</v>
      </c>
      <c r="AA22" s="54">
        <v>12</v>
      </c>
      <c r="AB22" s="80">
        <f>ARTICULOS_VENEZOLANO[[#This Row],[Costo]]*ARTICULOS_VENEZOLANO[[#This Row],[Bulto]]*ARTICULOS_VENEZOLANO[[#This Row],[Pedido Bultos]]</f>
        <v>0</v>
      </c>
      <c r="AE22"/>
      <c r="AF22"/>
      <c r="AH22" s="2" t="str">
        <f>IF(AND(ARTICULOS_VENEZOLANO[[#This Row],[FechaVenc]]=0,ARTICULOS_VENEZOLANO[[#This Row],[DiasVenc]]=0),"",ARTICULOS_VENEZOLANO[[#This Row],[FechaVenc]]-ARTICULOS_VENEZOLANO[[#This Row],[DiasVenc]])</f>
        <v/>
      </c>
      <c r="AO22" t="s">
        <v>8689</v>
      </c>
    </row>
    <row r="23" spans="1:41" x14ac:dyDescent="0.25">
      <c r="A23" s="1" t="s">
        <v>8753</v>
      </c>
      <c r="C23" t="str">
        <f t="shared" si="0"/>
        <v>VEN5041</v>
      </c>
      <c r="D23" t="s">
        <v>8689</v>
      </c>
      <c r="E23" s="24" t="s">
        <v>8754</v>
      </c>
      <c r="F23" s="61">
        <v>3390</v>
      </c>
      <c r="G23" s="122">
        <v>0</v>
      </c>
      <c r="H23" s="3">
        <v>0</v>
      </c>
      <c r="I23" s="54">
        <v>0</v>
      </c>
      <c r="J23" s="66">
        <f>((ARTICULOS_VENEZOLANO[[#This Row],[P. Compra]]*(1+ARTICULOS_VENEZOLANO[[#This Row],[IVA]]))/ARTICULOS_VENEZOLANO[[#This Row],[UnidFact]])+ARTICULOS_VENEZOLANO[[#This Row],[Flete]]</f>
        <v>3390</v>
      </c>
      <c r="K23">
        <v>30</v>
      </c>
      <c r="L23" s="39">
        <f t="shared" si="1"/>
        <v>4800</v>
      </c>
      <c r="M23" s="125">
        <f>MROUND((ARTICULOS_VENEZOLANO[[#This Row],[Precio]]/0.6),50)</f>
        <v>8000</v>
      </c>
      <c r="N23" t="s">
        <v>61</v>
      </c>
      <c r="O23" t="s">
        <v>42</v>
      </c>
      <c r="P23" t="s">
        <v>43</v>
      </c>
      <c r="Q23" t="s">
        <v>8755</v>
      </c>
      <c r="R23" t="s">
        <v>8692</v>
      </c>
      <c r="S23">
        <v>1</v>
      </c>
      <c r="T23" t="s">
        <v>8693</v>
      </c>
      <c r="U23">
        <v>2</v>
      </c>
      <c r="V23" s="3">
        <f>ARTICULOS_VENEZOLANO[[#This Row],[Bulto]]+ARTICULOS_VENEZOLANO[[#This Row],[Minimo]]</f>
        <v>8</v>
      </c>
      <c r="W23" s="55">
        <v>0</v>
      </c>
      <c r="X23">
        <f>IF(ARTICULOS_VENEZOLANO[[#This Row],[Stock]]&lt;ARTICULOS_VENEZOLANO[[#This Row],[Minimo]],ARTICULOS_VENEZOLANO[[#This Row],[Maximo]]-ARTICULOS_VENEZOLANO[[#This Row],[Stock]],0)</f>
        <v>8</v>
      </c>
      <c r="Y23">
        <f>MROUND(ARTICULOS_VENEZOLANO[[#This Row],[Pedido Unidad]]/ARTICULOS_VENEZOLANO[[#This Row],[Bulto]],1)</f>
        <v>1</v>
      </c>
      <c r="Z23">
        <v>6</v>
      </c>
      <c r="AA23" s="54">
        <v>1</v>
      </c>
      <c r="AB23" s="80">
        <f>ARTICULOS_VENEZOLANO[[#This Row],[Costo]]*ARTICULOS_VENEZOLANO[[#This Row],[Bulto]]*ARTICULOS_VENEZOLANO[[#This Row],[Pedido Bultos]]</f>
        <v>20340</v>
      </c>
      <c r="AE23"/>
      <c r="AF23"/>
      <c r="AH23" s="2" t="str">
        <f>IF(AND(ARTICULOS_VENEZOLANO[[#This Row],[FechaVenc]]=0,ARTICULOS_VENEZOLANO[[#This Row],[DiasVenc]]=0),"",ARTICULOS_VENEZOLANO[[#This Row],[FechaVenc]]-ARTICULOS_VENEZOLANO[[#This Row],[DiasVenc]])</f>
        <v/>
      </c>
      <c r="AO23" t="s">
        <v>8689</v>
      </c>
    </row>
    <row r="24" spans="1:41" x14ac:dyDescent="0.25">
      <c r="A24" s="1" t="s">
        <v>8756</v>
      </c>
      <c r="C24" t="str">
        <f t="shared" si="0"/>
        <v>VEN5009</v>
      </c>
      <c r="D24" t="s">
        <v>8693</v>
      </c>
      <c r="E24" s="24" t="s">
        <v>8757</v>
      </c>
      <c r="F24" s="61">
        <v>45000</v>
      </c>
      <c r="G24" s="122">
        <v>0</v>
      </c>
      <c r="H24" s="3">
        <v>0</v>
      </c>
      <c r="I24" s="54">
        <v>0</v>
      </c>
      <c r="J24" s="66">
        <f>((ARTICULOS_VENEZOLANO[[#This Row],[P. Compra]]*(1+ARTICULOS_VENEZOLANO[[#This Row],[IVA]]))/ARTICULOS_VENEZOLANO[[#This Row],[UnidFact]])+ARTICULOS_VENEZOLANO[[#This Row],[Flete]]</f>
        <v>2250</v>
      </c>
      <c r="K24">
        <v>30</v>
      </c>
      <c r="L24" s="39">
        <f t="shared" si="1"/>
        <v>3200</v>
      </c>
      <c r="M24" s="125">
        <f>MROUND((ARTICULOS_VENEZOLANO[[#This Row],[Precio]]/0.6),50)</f>
        <v>5350</v>
      </c>
      <c r="N24" t="s">
        <v>61</v>
      </c>
      <c r="O24" t="s">
        <v>42</v>
      </c>
      <c r="P24" t="s">
        <v>93</v>
      </c>
      <c r="Q24" t="s">
        <v>8691</v>
      </c>
      <c r="R24" t="s">
        <v>11760</v>
      </c>
      <c r="S24">
        <v>0.1</v>
      </c>
      <c r="T24" t="s">
        <v>8693</v>
      </c>
      <c r="U24">
        <v>10</v>
      </c>
      <c r="V24" s="3">
        <f>ARTICULOS_VENEZOLANO[[#This Row],[Bulto]]+ARTICULOS_VENEZOLANO[[#This Row],[Minimo]]</f>
        <v>30</v>
      </c>
      <c r="W24" s="55">
        <f>4.12+4.12+1.735</f>
        <v>9.9749999999999996</v>
      </c>
      <c r="X24">
        <f>IF(ARTICULOS_VENEZOLANO[[#This Row],[Stock]]&lt;ARTICULOS_VENEZOLANO[[#This Row],[Minimo]],ARTICULOS_VENEZOLANO[[#This Row],[Maximo]]-ARTICULOS_VENEZOLANO[[#This Row],[Stock]],0)</f>
        <v>20.024999999999999</v>
      </c>
      <c r="Y24">
        <f>MROUND(ARTICULOS_VENEZOLANO[[#This Row],[Pedido Unidad]]/ARTICULOS_VENEZOLANO[[#This Row],[Bulto]],1)</f>
        <v>1</v>
      </c>
      <c r="Z24">
        <v>20</v>
      </c>
      <c r="AA24" s="54">
        <v>20</v>
      </c>
      <c r="AB24" s="80">
        <f>ARTICULOS_VENEZOLANO[[#This Row],[Costo]]*ARTICULOS_VENEZOLANO[[#This Row],[Bulto]]*ARTICULOS_VENEZOLANO[[#This Row],[Pedido Bultos]]</f>
        <v>45000</v>
      </c>
      <c r="AE24"/>
      <c r="AF24"/>
      <c r="AH24" s="2" t="str">
        <f>IF(AND(ARTICULOS_VENEZOLANO[[#This Row],[FechaVenc]]=0,ARTICULOS_VENEZOLANO[[#This Row],[DiasVenc]]=0),"",ARTICULOS_VENEZOLANO[[#This Row],[FechaVenc]]-ARTICULOS_VENEZOLANO[[#This Row],[DiasVenc]])</f>
        <v/>
      </c>
      <c r="AO24" t="s">
        <v>8689</v>
      </c>
    </row>
    <row r="25" spans="1:41" x14ac:dyDescent="0.25">
      <c r="A25" s="24" t="s">
        <v>8758</v>
      </c>
      <c r="C25" t="str">
        <f t="shared" si="0"/>
        <v>VEN5091</v>
      </c>
      <c r="D25" t="s">
        <v>8689</v>
      </c>
      <c r="E25" s="24" t="s">
        <v>8759</v>
      </c>
      <c r="F25" s="61">
        <v>950</v>
      </c>
      <c r="G25" s="122">
        <v>0</v>
      </c>
      <c r="H25" s="3">
        <v>0</v>
      </c>
      <c r="I25" s="54">
        <v>0</v>
      </c>
      <c r="J25" s="66">
        <f>((ARTICULOS_VENEZOLANO[[#This Row],[P. Compra]]*(1+ARTICULOS_VENEZOLANO[[#This Row],[IVA]]))/ARTICULOS_VENEZOLANO[[#This Row],[UnidFact]])+ARTICULOS_VENEZOLANO[[#This Row],[Flete]]</f>
        <v>950</v>
      </c>
      <c r="K25">
        <v>30</v>
      </c>
      <c r="L25" s="39">
        <f t="shared" si="1"/>
        <v>1400</v>
      </c>
      <c r="M25" s="125">
        <f>MROUND((ARTICULOS_VENEZOLANO[[#This Row],[Precio]]/0.6),50)</f>
        <v>2350</v>
      </c>
      <c r="N25" t="s">
        <v>35</v>
      </c>
      <c r="O25" t="s">
        <v>42</v>
      </c>
      <c r="P25" t="s">
        <v>65</v>
      </c>
      <c r="Q25" t="s">
        <v>8760</v>
      </c>
      <c r="R25" t="s">
        <v>8692</v>
      </c>
      <c r="S25">
        <v>1</v>
      </c>
      <c r="T25" t="s">
        <v>8693</v>
      </c>
      <c r="U25">
        <v>2</v>
      </c>
      <c r="V25" s="3">
        <f>ARTICULOS_VENEZOLANO[[#This Row],[Bulto]]+ARTICULOS_VENEZOLANO[[#This Row],[Minimo]]</f>
        <v>14</v>
      </c>
      <c r="W25" s="55">
        <v>7</v>
      </c>
      <c r="X25">
        <f>IF(ARTICULOS_VENEZOLANO[[#This Row],[Stock]]&lt;ARTICULOS_VENEZOLANO[[#This Row],[Minimo]],ARTICULOS_VENEZOLANO[[#This Row],[Maximo]]-ARTICULOS_VENEZOLANO[[#This Row],[Stock]],0)</f>
        <v>0</v>
      </c>
      <c r="Y25">
        <f>MROUND(ARTICULOS_VENEZOLANO[[#This Row],[Pedido Unidad]]/ARTICULOS_VENEZOLANO[[#This Row],[Bulto]],1)</f>
        <v>0</v>
      </c>
      <c r="Z25">
        <v>12</v>
      </c>
      <c r="AA25" s="54">
        <v>1</v>
      </c>
      <c r="AB25" s="80">
        <f>ARTICULOS_VENEZOLANO[[#This Row],[Costo]]*ARTICULOS_VENEZOLANO[[#This Row],[Bulto]]*ARTICULOS_VENEZOLANO[[#This Row],[Pedido Bultos]]</f>
        <v>0</v>
      </c>
      <c r="AE25"/>
      <c r="AF25"/>
      <c r="AH25" s="2" t="str">
        <f>IF(AND(ARTICULOS_VENEZOLANO[[#This Row],[FechaVenc]]=0,ARTICULOS_VENEZOLANO[[#This Row],[DiasVenc]]=0),"",ARTICULOS_VENEZOLANO[[#This Row],[FechaVenc]]-ARTICULOS_VENEZOLANO[[#This Row],[DiasVenc]])</f>
        <v/>
      </c>
      <c r="AO25" t="s">
        <v>8689</v>
      </c>
    </row>
    <row r="26" spans="1:41" x14ac:dyDescent="0.25">
      <c r="A26" s="24" t="s">
        <v>8761</v>
      </c>
      <c r="C26" t="str">
        <f t="shared" si="0"/>
        <v>VEN5092</v>
      </c>
      <c r="D26" t="s">
        <v>8689</v>
      </c>
      <c r="E26" s="24" t="s">
        <v>11762</v>
      </c>
      <c r="F26" s="61">
        <v>700</v>
      </c>
      <c r="G26" s="122">
        <v>0</v>
      </c>
      <c r="H26" s="3">
        <v>0</v>
      </c>
      <c r="I26" s="54">
        <v>0</v>
      </c>
      <c r="J26" s="66">
        <f>((ARTICULOS_VENEZOLANO[[#This Row],[P. Compra]]*(1+ARTICULOS_VENEZOLANO[[#This Row],[IVA]]))/ARTICULOS_VENEZOLANO[[#This Row],[UnidFact]])+ARTICULOS_VENEZOLANO[[#This Row],[Flete]]</f>
        <v>700</v>
      </c>
      <c r="K26">
        <v>30</v>
      </c>
      <c r="L26" s="39">
        <f t="shared" si="1"/>
        <v>1000</v>
      </c>
      <c r="M26" s="125">
        <f>MROUND((ARTICULOS_VENEZOLANO[[#This Row],[Precio]]/0.6),50)</f>
        <v>1650</v>
      </c>
      <c r="N26" t="s">
        <v>35</v>
      </c>
      <c r="O26" t="s">
        <v>42</v>
      </c>
      <c r="P26" t="s">
        <v>65</v>
      </c>
      <c r="Q26" t="s">
        <v>8760</v>
      </c>
      <c r="R26" t="s">
        <v>8692</v>
      </c>
      <c r="S26">
        <v>1</v>
      </c>
      <c r="T26" t="s">
        <v>8693</v>
      </c>
      <c r="U26">
        <v>2</v>
      </c>
      <c r="V26" s="3">
        <f>ARTICULOS_VENEZOLANO[[#This Row],[Bulto]]+ARTICULOS_VENEZOLANO[[#This Row],[Minimo]]</f>
        <v>14</v>
      </c>
      <c r="W26" s="55">
        <v>0</v>
      </c>
      <c r="X26">
        <f>IF(ARTICULOS_VENEZOLANO[[#This Row],[Stock]]&lt;ARTICULOS_VENEZOLANO[[#This Row],[Minimo]],ARTICULOS_VENEZOLANO[[#This Row],[Maximo]]-ARTICULOS_VENEZOLANO[[#This Row],[Stock]],0)</f>
        <v>14</v>
      </c>
      <c r="Y26">
        <f>MROUND(ARTICULOS_VENEZOLANO[[#This Row],[Pedido Unidad]]/ARTICULOS_VENEZOLANO[[#This Row],[Bulto]],1)</f>
        <v>1</v>
      </c>
      <c r="Z26">
        <v>12</v>
      </c>
      <c r="AA26" s="54">
        <v>1</v>
      </c>
      <c r="AB26" s="80">
        <f>ARTICULOS_VENEZOLANO[[#This Row],[Costo]]*ARTICULOS_VENEZOLANO[[#This Row],[Bulto]]*ARTICULOS_VENEZOLANO[[#This Row],[Pedido Bultos]]</f>
        <v>8400</v>
      </c>
      <c r="AE26"/>
      <c r="AF26"/>
      <c r="AH26" s="2" t="str">
        <f>IF(AND(ARTICULOS_VENEZOLANO[[#This Row],[FechaVenc]]=0,ARTICULOS_VENEZOLANO[[#This Row],[DiasVenc]]=0),"",ARTICULOS_VENEZOLANO[[#This Row],[FechaVenc]]-ARTICULOS_VENEZOLANO[[#This Row],[DiasVenc]])</f>
        <v/>
      </c>
      <c r="AO26" t="s">
        <v>8689</v>
      </c>
    </row>
    <row r="27" spans="1:41" x14ac:dyDescent="0.25">
      <c r="A27" s="24" t="s">
        <v>8762</v>
      </c>
      <c r="C27" t="str">
        <f t="shared" si="0"/>
        <v>VEN5093</v>
      </c>
      <c r="D27" t="s">
        <v>8689</v>
      </c>
      <c r="E27" s="24" t="s">
        <v>8763</v>
      </c>
      <c r="F27" s="61">
        <v>800</v>
      </c>
      <c r="G27" s="122">
        <v>0</v>
      </c>
      <c r="H27" s="3">
        <v>0</v>
      </c>
      <c r="I27" s="54">
        <v>0</v>
      </c>
      <c r="J27" s="66">
        <f>((ARTICULOS_VENEZOLANO[[#This Row],[P. Compra]]*(1+ARTICULOS_VENEZOLANO[[#This Row],[IVA]]))/ARTICULOS_VENEZOLANO[[#This Row],[UnidFact]])+ARTICULOS_VENEZOLANO[[#This Row],[Flete]]</f>
        <v>800</v>
      </c>
      <c r="K27">
        <v>30</v>
      </c>
      <c r="L27" s="39">
        <f t="shared" si="1"/>
        <v>1100</v>
      </c>
      <c r="M27" s="125">
        <f>MROUND((ARTICULOS_VENEZOLANO[[#This Row],[Precio]]/0.6),50)</f>
        <v>1850</v>
      </c>
      <c r="N27" t="s">
        <v>35</v>
      </c>
      <c r="O27" t="s">
        <v>42</v>
      </c>
      <c r="P27" t="s">
        <v>65</v>
      </c>
      <c r="Q27" t="s">
        <v>8760</v>
      </c>
      <c r="R27" t="s">
        <v>8692</v>
      </c>
      <c r="S27">
        <v>1</v>
      </c>
      <c r="T27" t="s">
        <v>8693</v>
      </c>
      <c r="U27">
        <v>2</v>
      </c>
      <c r="V27" s="3">
        <f>ARTICULOS_VENEZOLANO[[#This Row],[Bulto]]+ARTICULOS_VENEZOLANO[[#This Row],[Minimo]]</f>
        <v>14</v>
      </c>
      <c r="W27" s="55">
        <v>7</v>
      </c>
      <c r="X27">
        <f>IF(ARTICULOS_VENEZOLANO[[#This Row],[Stock]]&lt;ARTICULOS_VENEZOLANO[[#This Row],[Minimo]],ARTICULOS_VENEZOLANO[[#This Row],[Maximo]]-ARTICULOS_VENEZOLANO[[#This Row],[Stock]],0)</f>
        <v>0</v>
      </c>
      <c r="Y27">
        <f>MROUND(ARTICULOS_VENEZOLANO[[#This Row],[Pedido Unidad]]/ARTICULOS_VENEZOLANO[[#This Row],[Bulto]],1)</f>
        <v>0</v>
      </c>
      <c r="Z27">
        <v>12</v>
      </c>
      <c r="AA27" s="54">
        <v>1</v>
      </c>
      <c r="AB27" s="80">
        <f>ARTICULOS_VENEZOLANO[[#This Row],[Costo]]*ARTICULOS_VENEZOLANO[[#This Row],[Bulto]]*ARTICULOS_VENEZOLANO[[#This Row],[Pedido Bultos]]</f>
        <v>0</v>
      </c>
      <c r="AE27"/>
      <c r="AF27"/>
      <c r="AH27" s="2" t="str">
        <f>IF(AND(ARTICULOS_VENEZOLANO[[#This Row],[FechaVenc]]=0,ARTICULOS_VENEZOLANO[[#This Row],[DiasVenc]]=0),"",ARTICULOS_VENEZOLANO[[#This Row],[FechaVenc]]-ARTICULOS_VENEZOLANO[[#This Row],[DiasVenc]])</f>
        <v/>
      </c>
      <c r="AO27" t="s">
        <v>8689</v>
      </c>
    </row>
    <row r="28" spans="1:41" x14ac:dyDescent="0.25">
      <c r="A28" s="24" t="s">
        <v>8764</v>
      </c>
      <c r="C28" t="str">
        <f t="shared" si="0"/>
        <v>VEN5094</v>
      </c>
      <c r="D28" t="s">
        <v>8689</v>
      </c>
      <c r="E28" s="24" t="s">
        <v>8765</v>
      </c>
      <c r="F28" s="61">
        <v>905</v>
      </c>
      <c r="G28" s="122">
        <v>0</v>
      </c>
      <c r="H28" s="3">
        <v>0</v>
      </c>
      <c r="I28" s="54">
        <v>0</v>
      </c>
      <c r="J28" s="66">
        <f>((ARTICULOS_VENEZOLANO[[#This Row],[P. Compra]]*(1+ARTICULOS_VENEZOLANO[[#This Row],[IVA]]))/ARTICULOS_VENEZOLANO[[#This Row],[UnidFact]])+ARTICULOS_VENEZOLANO[[#This Row],[Flete]]</f>
        <v>905</v>
      </c>
      <c r="K28">
        <v>30</v>
      </c>
      <c r="L28" s="39">
        <f t="shared" si="1"/>
        <v>1300</v>
      </c>
      <c r="M28" s="125">
        <f>MROUND((ARTICULOS_VENEZOLANO[[#This Row],[Precio]]/0.6),50)</f>
        <v>2150</v>
      </c>
      <c r="N28" t="s">
        <v>35</v>
      </c>
      <c r="O28" t="s">
        <v>42</v>
      </c>
      <c r="P28" t="s">
        <v>65</v>
      </c>
      <c r="Q28" t="s">
        <v>8760</v>
      </c>
      <c r="R28" t="s">
        <v>8692</v>
      </c>
      <c r="S28">
        <v>1</v>
      </c>
      <c r="T28" t="s">
        <v>8693</v>
      </c>
      <c r="U28">
        <v>2</v>
      </c>
      <c r="V28" s="3">
        <f>ARTICULOS_VENEZOLANO[[#This Row],[Bulto]]+ARTICULOS_VENEZOLANO[[#This Row],[Minimo]]</f>
        <v>14</v>
      </c>
      <c r="W28" s="55">
        <v>5</v>
      </c>
      <c r="X28">
        <f>IF(ARTICULOS_VENEZOLANO[[#This Row],[Stock]]&lt;ARTICULOS_VENEZOLANO[[#This Row],[Minimo]],ARTICULOS_VENEZOLANO[[#This Row],[Maximo]]-ARTICULOS_VENEZOLANO[[#This Row],[Stock]],0)</f>
        <v>0</v>
      </c>
      <c r="Y28">
        <f>MROUND(ARTICULOS_VENEZOLANO[[#This Row],[Pedido Unidad]]/ARTICULOS_VENEZOLANO[[#This Row],[Bulto]],1)</f>
        <v>0</v>
      </c>
      <c r="Z28">
        <v>12</v>
      </c>
      <c r="AA28" s="54">
        <v>1</v>
      </c>
      <c r="AB28" s="80">
        <f>ARTICULOS_VENEZOLANO[[#This Row],[Costo]]*ARTICULOS_VENEZOLANO[[#This Row],[Bulto]]*ARTICULOS_VENEZOLANO[[#This Row],[Pedido Bultos]]</f>
        <v>0</v>
      </c>
      <c r="AE28"/>
      <c r="AF28"/>
      <c r="AH28" s="2" t="str">
        <f>IF(AND(ARTICULOS_VENEZOLANO[[#This Row],[FechaVenc]]=0,ARTICULOS_VENEZOLANO[[#This Row],[DiasVenc]]=0),"",ARTICULOS_VENEZOLANO[[#This Row],[FechaVenc]]-ARTICULOS_VENEZOLANO[[#This Row],[DiasVenc]])</f>
        <v/>
      </c>
      <c r="AO28" t="s">
        <v>8689</v>
      </c>
    </row>
    <row r="29" spans="1:41" x14ac:dyDescent="0.25">
      <c r="A29" s="1" t="s">
        <v>8766</v>
      </c>
      <c r="C29" t="str">
        <f t="shared" si="0"/>
        <v>VEN48720907</v>
      </c>
      <c r="D29" t="s">
        <v>8689</v>
      </c>
      <c r="E29" s="24" t="s">
        <v>8767</v>
      </c>
      <c r="F29" s="61">
        <v>630</v>
      </c>
      <c r="G29" s="122">
        <v>0</v>
      </c>
      <c r="H29" s="3">
        <v>0</v>
      </c>
      <c r="I29" s="54">
        <v>0</v>
      </c>
      <c r="J29" s="66">
        <f>((ARTICULOS_VENEZOLANO[[#This Row],[P. Compra]]*(1+ARTICULOS_VENEZOLANO[[#This Row],[IVA]]))/ARTICULOS_VENEZOLANO[[#This Row],[UnidFact]])+ARTICULOS_VENEZOLANO[[#This Row],[Flete]]</f>
        <v>630</v>
      </c>
      <c r="K29">
        <v>30</v>
      </c>
      <c r="L29" s="39">
        <f t="shared" si="1"/>
        <v>900</v>
      </c>
      <c r="M29" s="125">
        <f>MROUND((ARTICULOS_VENEZOLANO[[#This Row],[Precio]]/0.6),50)</f>
        <v>1500</v>
      </c>
      <c r="N29" t="s">
        <v>35</v>
      </c>
      <c r="O29" t="s">
        <v>42</v>
      </c>
      <c r="P29" t="s">
        <v>65</v>
      </c>
      <c r="Q29" t="s">
        <v>8760</v>
      </c>
      <c r="R29" t="s">
        <v>8692</v>
      </c>
      <c r="S29">
        <v>1</v>
      </c>
      <c r="T29" t="s">
        <v>8693</v>
      </c>
      <c r="U29">
        <v>2</v>
      </c>
      <c r="V29" s="3">
        <f>ARTICULOS_VENEZOLANO[[#This Row],[Bulto]]+ARTICULOS_VENEZOLANO[[#This Row],[Minimo]]</f>
        <v>14</v>
      </c>
      <c r="W29" s="55">
        <v>0</v>
      </c>
      <c r="X29">
        <f>IF(ARTICULOS_VENEZOLANO[[#This Row],[Stock]]&lt;ARTICULOS_VENEZOLANO[[#This Row],[Minimo]],ARTICULOS_VENEZOLANO[[#This Row],[Maximo]]-ARTICULOS_VENEZOLANO[[#This Row],[Stock]],0)</f>
        <v>14</v>
      </c>
      <c r="Y29">
        <f>MROUND(ARTICULOS_VENEZOLANO[[#This Row],[Pedido Unidad]]/ARTICULOS_VENEZOLANO[[#This Row],[Bulto]],1)</f>
        <v>1</v>
      </c>
      <c r="Z29">
        <v>12</v>
      </c>
      <c r="AA29" s="54">
        <v>1</v>
      </c>
      <c r="AB29" s="80">
        <f>ARTICULOS_VENEZOLANO[[#This Row],[Costo]]*ARTICULOS_VENEZOLANO[[#This Row],[Bulto]]*ARTICULOS_VENEZOLANO[[#This Row],[Pedido Bultos]]</f>
        <v>7560</v>
      </c>
      <c r="AE29"/>
      <c r="AF29"/>
      <c r="AH29" s="2" t="str">
        <f>IF(AND(ARTICULOS_VENEZOLANO[[#This Row],[FechaVenc]]=0,ARTICULOS_VENEZOLANO[[#This Row],[DiasVenc]]=0),"",ARTICULOS_VENEZOLANO[[#This Row],[FechaVenc]]-ARTICULOS_VENEZOLANO[[#This Row],[DiasVenc]])</f>
        <v/>
      </c>
      <c r="AO29" t="s">
        <v>8689</v>
      </c>
    </row>
    <row r="30" spans="1:41" x14ac:dyDescent="0.25">
      <c r="A30" s="1" t="s">
        <v>8773</v>
      </c>
      <c r="C30" t="str">
        <f t="shared" si="0"/>
        <v>VEN47670019</v>
      </c>
      <c r="D30" t="s">
        <v>8689</v>
      </c>
      <c r="E30" s="24" t="s">
        <v>8774</v>
      </c>
      <c r="F30" s="61">
        <v>8600</v>
      </c>
      <c r="G30" s="122">
        <v>0</v>
      </c>
      <c r="H30" s="3">
        <v>0</v>
      </c>
      <c r="I30" s="54">
        <v>0</v>
      </c>
      <c r="J30" s="66">
        <f>((ARTICULOS_VENEZOLANO[[#This Row],[P. Compra]]*(1+ARTICULOS_VENEZOLANO[[#This Row],[IVA]]))/ARTICULOS_VENEZOLANO[[#This Row],[UnidFact]])+ARTICULOS_VENEZOLANO[[#This Row],[Flete]]</f>
        <v>716.66666666666663</v>
      </c>
      <c r="K30">
        <v>30</v>
      </c>
      <c r="L30" s="39">
        <f t="shared" si="1"/>
        <v>1000</v>
      </c>
      <c r="M30" s="125">
        <f>MROUND((ARTICULOS_VENEZOLANO[[#This Row],[Precio]]/0.6),50)</f>
        <v>1650</v>
      </c>
      <c r="N30" t="s">
        <v>61</v>
      </c>
      <c r="O30" t="s">
        <v>42</v>
      </c>
      <c r="P30" t="s">
        <v>62</v>
      </c>
      <c r="Q30" t="s">
        <v>8770</v>
      </c>
      <c r="R30" t="s">
        <v>8692</v>
      </c>
      <c r="S30">
        <v>1</v>
      </c>
      <c r="T30" t="s">
        <v>8693</v>
      </c>
      <c r="U30">
        <v>4</v>
      </c>
      <c r="V30" s="3">
        <f>ARTICULOS_VENEZOLANO[[#This Row],[Bulto]]+ARTICULOS_VENEZOLANO[[#This Row],[Minimo]]</f>
        <v>16</v>
      </c>
      <c r="W30" s="55">
        <v>13</v>
      </c>
      <c r="X30">
        <f>IF(ARTICULOS_VENEZOLANO[[#This Row],[Stock]]&lt;ARTICULOS_VENEZOLANO[[#This Row],[Minimo]],ARTICULOS_VENEZOLANO[[#This Row],[Maximo]]-ARTICULOS_VENEZOLANO[[#This Row],[Stock]],0)</f>
        <v>0</v>
      </c>
      <c r="Y30">
        <f>MROUND(ARTICULOS_VENEZOLANO[[#This Row],[Pedido Unidad]]/ARTICULOS_VENEZOLANO[[#This Row],[Bulto]],1)</f>
        <v>0</v>
      </c>
      <c r="Z30">
        <v>12</v>
      </c>
      <c r="AA30" s="54">
        <v>12</v>
      </c>
      <c r="AB30" s="80">
        <f>ARTICULOS_VENEZOLANO[[#This Row],[Costo]]*ARTICULOS_VENEZOLANO[[#This Row],[Bulto]]*ARTICULOS_VENEZOLANO[[#This Row],[Pedido Bultos]]</f>
        <v>0</v>
      </c>
      <c r="AE30"/>
      <c r="AF30"/>
      <c r="AH30" s="2" t="str">
        <f>IF(AND(ARTICULOS_VENEZOLANO[[#This Row],[FechaVenc]]=0,ARTICULOS_VENEZOLANO[[#This Row],[DiasVenc]]=0),"",ARTICULOS_VENEZOLANO[[#This Row],[FechaVenc]]-ARTICULOS_VENEZOLANO[[#This Row],[DiasVenc]])</f>
        <v/>
      </c>
      <c r="AO30" t="s">
        <v>8689</v>
      </c>
    </row>
    <row r="31" spans="1:41" x14ac:dyDescent="0.25">
      <c r="A31" s="1" t="s">
        <v>8775</v>
      </c>
      <c r="C31" t="str">
        <f t="shared" si="0"/>
        <v>VEN47670033</v>
      </c>
      <c r="D31" t="s">
        <v>8689</v>
      </c>
      <c r="E31" s="24" t="s">
        <v>8776</v>
      </c>
      <c r="F31" s="61">
        <f>F30</f>
        <v>8600</v>
      </c>
      <c r="G31" s="122">
        <v>0</v>
      </c>
      <c r="H31" s="3">
        <v>0</v>
      </c>
      <c r="I31" s="54">
        <v>0</v>
      </c>
      <c r="J31" s="66">
        <f>((ARTICULOS_VENEZOLANO[[#This Row],[P. Compra]]*(1+ARTICULOS_VENEZOLANO[[#This Row],[IVA]]))/ARTICULOS_VENEZOLANO[[#This Row],[UnidFact]])+ARTICULOS_VENEZOLANO[[#This Row],[Flete]]</f>
        <v>716.66666666666663</v>
      </c>
      <c r="K31">
        <v>30</v>
      </c>
      <c r="L31" s="39">
        <f t="shared" si="1"/>
        <v>1000</v>
      </c>
      <c r="M31" s="125">
        <f>MROUND((ARTICULOS_VENEZOLANO[[#This Row],[Precio]]/0.6),50)</f>
        <v>1650</v>
      </c>
      <c r="N31" t="s">
        <v>61</v>
      </c>
      <c r="O31" t="s">
        <v>42</v>
      </c>
      <c r="P31" t="s">
        <v>62</v>
      </c>
      <c r="Q31" t="s">
        <v>8770</v>
      </c>
      <c r="R31" t="s">
        <v>8692</v>
      </c>
      <c r="S31">
        <v>1</v>
      </c>
      <c r="T31" t="s">
        <v>8693</v>
      </c>
      <c r="U31">
        <v>4</v>
      </c>
      <c r="V31" s="3">
        <f>ARTICULOS_VENEZOLANO[[#This Row],[Bulto]]+ARTICULOS_VENEZOLANO[[#This Row],[Minimo]]</f>
        <v>16</v>
      </c>
      <c r="W31" s="55">
        <v>7</v>
      </c>
      <c r="X31">
        <f>IF(ARTICULOS_VENEZOLANO[[#This Row],[Stock]]&lt;ARTICULOS_VENEZOLANO[[#This Row],[Minimo]],ARTICULOS_VENEZOLANO[[#This Row],[Maximo]]-ARTICULOS_VENEZOLANO[[#This Row],[Stock]],0)</f>
        <v>0</v>
      </c>
      <c r="Y31">
        <f>MROUND(ARTICULOS_VENEZOLANO[[#This Row],[Pedido Unidad]]/ARTICULOS_VENEZOLANO[[#This Row],[Bulto]],1)</f>
        <v>0</v>
      </c>
      <c r="Z31">
        <v>12</v>
      </c>
      <c r="AA31" s="54">
        <v>12</v>
      </c>
      <c r="AB31" s="80">
        <f>ARTICULOS_VENEZOLANO[[#This Row],[Costo]]*ARTICULOS_VENEZOLANO[[#This Row],[Bulto]]*ARTICULOS_VENEZOLANO[[#This Row],[Pedido Bultos]]</f>
        <v>0</v>
      </c>
      <c r="AE31"/>
      <c r="AF31"/>
      <c r="AH31" s="2" t="str">
        <f>IF(AND(ARTICULOS_VENEZOLANO[[#This Row],[FechaVenc]]=0,ARTICULOS_VENEZOLANO[[#This Row],[DiasVenc]]=0),"",ARTICULOS_VENEZOLANO[[#This Row],[FechaVenc]]-ARTICULOS_VENEZOLANO[[#This Row],[DiasVenc]])</f>
        <v/>
      </c>
      <c r="AO31" t="s">
        <v>8689</v>
      </c>
    </row>
    <row r="32" spans="1:41" x14ac:dyDescent="0.25">
      <c r="A32" s="1" t="s">
        <v>8777</v>
      </c>
      <c r="C32" t="str">
        <f t="shared" si="0"/>
        <v>VEN47670057</v>
      </c>
      <c r="D32" t="s">
        <v>8689</v>
      </c>
      <c r="E32" s="24" t="s">
        <v>8778</v>
      </c>
      <c r="F32" s="61">
        <f>F31</f>
        <v>8600</v>
      </c>
      <c r="G32" s="122">
        <v>0</v>
      </c>
      <c r="H32" s="3">
        <v>0</v>
      </c>
      <c r="I32" s="54">
        <v>0</v>
      </c>
      <c r="J32" s="66">
        <f>((ARTICULOS_VENEZOLANO[[#This Row],[P. Compra]]*(1+ARTICULOS_VENEZOLANO[[#This Row],[IVA]]))/ARTICULOS_VENEZOLANO[[#This Row],[UnidFact]])+ARTICULOS_VENEZOLANO[[#This Row],[Flete]]</f>
        <v>716.66666666666663</v>
      </c>
      <c r="K32">
        <v>30</v>
      </c>
      <c r="L32" s="39">
        <f t="shared" si="1"/>
        <v>1000</v>
      </c>
      <c r="M32" s="125">
        <f>MROUND((ARTICULOS_VENEZOLANO[[#This Row],[Precio]]/0.6),50)</f>
        <v>1650</v>
      </c>
      <c r="N32" t="s">
        <v>61</v>
      </c>
      <c r="O32" t="s">
        <v>42</v>
      </c>
      <c r="P32" t="s">
        <v>62</v>
      </c>
      <c r="Q32" t="s">
        <v>8770</v>
      </c>
      <c r="R32" t="s">
        <v>8692</v>
      </c>
      <c r="S32">
        <v>1</v>
      </c>
      <c r="T32" t="s">
        <v>8693</v>
      </c>
      <c r="U32">
        <v>4</v>
      </c>
      <c r="V32" s="3">
        <f>ARTICULOS_VENEZOLANO[[#This Row],[Bulto]]+ARTICULOS_VENEZOLANO[[#This Row],[Minimo]]</f>
        <v>16</v>
      </c>
      <c r="W32" s="55">
        <v>0</v>
      </c>
      <c r="X32">
        <f>IF(ARTICULOS_VENEZOLANO[[#This Row],[Stock]]&lt;ARTICULOS_VENEZOLANO[[#This Row],[Minimo]],ARTICULOS_VENEZOLANO[[#This Row],[Maximo]]-ARTICULOS_VENEZOLANO[[#This Row],[Stock]],0)</f>
        <v>16</v>
      </c>
      <c r="Y32">
        <f>MROUND(ARTICULOS_VENEZOLANO[[#This Row],[Pedido Unidad]]/ARTICULOS_VENEZOLANO[[#This Row],[Bulto]],1)</f>
        <v>1</v>
      </c>
      <c r="Z32">
        <v>12</v>
      </c>
      <c r="AA32" s="54">
        <v>12</v>
      </c>
      <c r="AB32" s="80">
        <f>ARTICULOS_VENEZOLANO[[#This Row],[Costo]]*ARTICULOS_VENEZOLANO[[#This Row],[Bulto]]*ARTICULOS_VENEZOLANO[[#This Row],[Pedido Bultos]]</f>
        <v>8600</v>
      </c>
      <c r="AE32"/>
      <c r="AF32"/>
      <c r="AH32" s="2" t="str">
        <f>IF(AND(ARTICULOS_VENEZOLANO[[#This Row],[FechaVenc]]=0,ARTICULOS_VENEZOLANO[[#This Row],[DiasVenc]]=0),"",ARTICULOS_VENEZOLANO[[#This Row],[FechaVenc]]-ARTICULOS_VENEZOLANO[[#This Row],[DiasVenc]])</f>
        <v/>
      </c>
      <c r="AO32" t="s">
        <v>8689</v>
      </c>
    </row>
    <row r="33" spans="1:41" x14ac:dyDescent="0.25">
      <c r="A33" s="1" t="s">
        <v>8768</v>
      </c>
      <c r="C33" t="str">
        <f t="shared" si="0"/>
        <v>VEN47670026</v>
      </c>
      <c r="D33" t="s">
        <v>8689</v>
      </c>
      <c r="E33" s="24" t="s">
        <v>8769</v>
      </c>
      <c r="F33" s="61">
        <v>8200</v>
      </c>
      <c r="G33" s="122">
        <v>0</v>
      </c>
      <c r="H33" s="3">
        <v>0</v>
      </c>
      <c r="I33" s="54">
        <v>0</v>
      </c>
      <c r="J33" s="66">
        <f>((ARTICULOS_VENEZOLANO[[#This Row],[P. Compra]]*(1+ARTICULOS_VENEZOLANO[[#This Row],[IVA]]))/ARTICULOS_VENEZOLANO[[#This Row],[UnidFact]])+ARTICULOS_VENEZOLANO[[#This Row],[Flete]]</f>
        <v>1366.6666666666667</v>
      </c>
      <c r="K33">
        <v>30</v>
      </c>
      <c r="L33" s="39">
        <f t="shared" si="1"/>
        <v>2000</v>
      </c>
      <c r="M33" s="125">
        <f>MROUND((ARTICULOS_VENEZOLANO[[#This Row],[Precio]]/0.6),50)</f>
        <v>3350</v>
      </c>
      <c r="N33" t="s">
        <v>61</v>
      </c>
      <c r="O33" t="s">
        <v>42</v>
      </c>
      <c r="P33" t="s">
        <v>62</v>
      </c>
      <c r="Q33" t="s">
        <v>8770</v>
      </c>
      <c r="R33" t="s">
        <v>8692</v>
      </c>
      <c r="S33">
        <v>1</v>
      </c>
      <c r="T33" t="s">
        <v>8693</v>
      </c>
      <c r="U33">
        <v>4</v>
      </c>
      <c r="V33" s="3">
        <f>ARTICULOS_VENEZOLANO[[#This Row],[Bulto]]+ARTICULOS_VENEZOLANO[[#This Row],[Minimo]]</f>
        <v>10</v>
      </c>
      <c r="W33" s="55">
        <v>5</v>
      </c>
      <c r="X33">
        <f>IF(ARTICULOS_VENEZOLANO[[#This Row],[Stock]]&lt;ARTICULOS_VENEZOLANO[[#This Row],[Minimo]],ARTICULOS_VENEZOLANO[[#This Row],[Maximo]]-ARTICULOS_VENEZOLANO[[#This Row],[Stock]],0)</f>
        <v>0</v>
      </c>
      <c r="Y33">
        <f>MROUND(ARTICULOS_VENEZOLANO[[#This Row],[Pedido Unidad]]/ARTICULOS_VENEZOLANO[[#This Row],[Bulto]],1)</f>
        <v>0</v>
      </c>
      <c r="Z33">
        <v>6</v>
      </c>
      <c r="AA33" s="54">
        <v>6</v>
      </c>
      <c r="AB33" s="80">
        <f>ARTICULOS_VENEZOLANO[[#This Row],[Costo]]*ARTICULOS_VENEZOLANO[[#This Row],[Bulto]]*ARTICULOS_VENEZOLANO[[#This Row],[Pedido Bultos]]</f>
        <v>0</v>
      </c>
      <c r="AE33"/>
      <c r="AF33"/>
      <c r="AH33" s="2" t="str">
        <f>IF(AND(ARTICULOS_VENEZOLANO[[#This Row],[FechaVenc]]=0,ARTICULOS_VENEZOLANO[[#This Row],[DiasVenc]]=0),"",ARTICULOS_VENEZOLANO[[#This Row],[FechaVenc]]-ARTICULOS_VENEZOLANO[[#This Row],[DiasVenc]])</f>
        <v/>
      </c>
      <c r="AO33" t="s">
        <v>8689</v>
      </c>
    </row>
    <row r="34" spans="1:41" x14ac:dyDescent="0.25">
      <c r="A34" s="24" t="s">
        <v>8771</v>
      </c>
      <c r="C34" t="str">
        <f t="shared" ref="C34:C57" si="2">CONCATENATE(LEFT(O34,3),RIGHT(A34,8))</f>
        <v>VEN47670132</v>
      </c>
      <c r="D34" t="s">
        <v>8689</v>
      </c>
      <c r="E34" s="24" t="s">
        <v>8772</v>
      </c>
      <c r="F34" s="61">
        <f>F33</f>
        <v>8200</v>
      </c>
      <c r="G34" s="122">
        <v>0</v>
      </c>
      <c r="H34" s="3">
        <v>0</v>
      </c>
      <c r="I34" s="54">
        <v>0</v>
      </c>
      <c r="J34" s="66">
        <f>((ARTICULOS_VENEZOLANO[[#This Row],[P. Compra]]*(1+ARTICULOS_VENEZOLANO[[#This Row],[IVA]]))/ARTICULOS_VENEZOLANO[[#This Row],[UnidFact]])+ARTICULOS_VENEZOLANO[[#This Row],[Flete]]</f>
        <v>1366.6666666666667</v>
      </c>
      <c r="K34">
        <v>30</v>
      </c>
      <c r="L34" s="39">
        <f t="shared" ref="L34:L65" si="3">IF(J34&gt;=5,MROUND(J34/(1-K34/100),100),50)</f>
        <v>2000</v>
      </c>
      <c r="M34" s="125">
        <f>MROUND((ARTICULOS_VENEZOLANO[[#This Row],[Precio]]/0.6),50)</f>
        <v>3350</v>
      </c>
      <c r="N34" t="s">
        <v>61</v>
      </c>
      <c r="O34" t="s">
        <v>42</v>
      </c>
      <c r="P34" t="s">
        <v>62</v>
      </c>
      <c r="Q34" t="s">
        <v>8770</v>
      </c>
      <c r="R34" t="s">
        <v>8692</v>
      </c>
      <c r="S34">
        <v>1</v>
      </c>
      <c r="T34" t="s">
        <v>8693</v>
      </c>
      <c r="U34">
        <v>4</v>
      </c>
      <c r="V34" s="3">
        <f>ARTICULOS_VENEZOLANO[[#This Row],[Bulto]]+ARTICULOS_VENEZOLANO[[#This Row],[Minimo]]</f>
        <v>10</v>
      </c>
      <c r="W34" s="55">
        <v>11</v>
      </c>
      <c r="X34">
        <f>IF(ARTICULOS_VENEZOLANO[[#This Row],[Stock]]&lt;ARTICULOS_VENEZOLANO[[#This Row],[Minimo]],ARTICULOS_VENEZOLANO[[#This Row],[Maximo]]-ARTICULOS_VENEZOLANO[[#This Row],[Stock]],0)</f>
        <v>0</v>
      </c>
      <c r="Y34">
        <f>MROUND(ARTICULOS_VENEZOLANO[[#This Row],[Pedido Unidad]]/ARTICULOS_VENEZOLANO[[#This Row],[Bulto]],1)</f>
        <v>0</v>
      </c>
      <c r="Z34">
        <v>6</v>
      </c>
      <c r="AA34" s="54">
        <v>6</v>
      </c>
      <c r="AB34" s="80">
        <f>ARTICULOS_VENEZOLANO[[#This Row],[Costo]]*ARTICULOS_VENEZOLANO[[#This Row],[Bulto]]*ARTICULOS_VENEZOLANO[[#This Row],[Pedido Bultos]]</f>
        <v>0</v>
      </c>
      <c r="AE34"/>
      <c r="AF34"/>
      <c r="AH34" s="2" t="str">
        <f>IF(AND(ARTICULOS_VENEZOLANO[[#This Row],[FechaVenc]]=0,ARTICULOS_VENEZOLANO[[#This Row],[DiasVenc]]=0),"",ARTICULOS_VENEZOLANO[[#This Row],[FechaVenc]]-ARTICULOS_VENEZOLANO[[#This Row],[DiasVenc]])</f>
        <v/>
      </c>
      <c r="AO34" t="s">
        <v>8689</v>
      </c>
    </row>
    <row r="35" spans="1:41" x14ac:dyDescent="0.25">
      <c r="A35" s="24" t="s">
        <v>11476</v>
      </c>
      <c r="C35" t="str">
        <f t="shared" si="2"/>
        <v>VEN47670071</v>
      </c>
      <c r="D35" t="s">
        <v>8689</v>
      </c>
      <c r="E35" s="24" t="s">
        <v>12128</v>
      </c>
      <c r="F35" s="61">
        <v>25440</v>
      </c>
      <c r="G35" s="122">
        <v>0</v>
      </c>
      <c r="H35" s="3">
        <v>0</v>
      </c>
      <c r="I35" s="54">
        <v>0</v>
      </c>
      <c r="J35" s="66">
        <f>((ARTICULOS_VENEZOLANO[[#This Row],[P. Compra]]*(1+ARTICULOS_VENEZOLANO[[#This Row],[IVA]]))/ARTICULOS_VENEZOLANO[[#This Row],[UnidFact]])+ARTICULOS_VENEZOLANO[[#This Row],[Flete]]</f>
        <v>1060</v>
      </c>
      <c r="K35">
        <v>30</v>
      </c>
      <c r="L35" s="39">
        <f t="shared" si="3"/>
        <v>1500</v>
      </c>
      <c r="M35" s="125">
        <f>MROUND((ARTICULOS_VENEZOLANO[[#This Row],[Precio]]/0.6),50)</f>
        <v>2500</v>
      </c>
      <c r="N35" t="s">
        <v>61</v>
      </c>
      <c r="O35" t="s">
        <v>42</v>
      </c>
      <c r="P35" t="s">
        <v>62</v>
      </c>
      <c r="Q35" t="s">
        <v>8770</v>
      </c>
      <c r="R35" t="s">
        <v>8692</v>
      </c>
      <c r="S35">
        <v>1</v>
      </c>
      <c r="T35" t="s">
        <v>8693</v>
      </c>
      <c r="U35">
        <v>6</v>
      </c>
      <c r="V35" s="23">
        <f>ARTICULOS_VENEZOLANO[[#This Row],[Bulto]]+ARTICULOS_VENEZOLANO[[#This Row],[Minimo]]</f>
        <v>30</v>
      </c>
      <c r="W35" s="55">
        <v>24</v>
      </c>
      <c r="X35">
        <f>IF(ARTICULOS_VENEZOLANO[[#This Row],[Stock]]&lt;ARTICULOS_VENEZOLANO[[#This Row],[Minimo]],ARTICULOS_VENEZOLANO[[#This Row],[Maximo]]-ARTICULOS_VENEZOLANO[[#This Row],[Stock]],0)</f>
        <v>0</v>
      </c>
      <c r="Y35">
        <f>MROUND(ARTICULOS_VENEZOLANO[[#This Row],[Pedido Unidad]]/ARTICULOS_VENEZOLANO[[#This Row],[Bulto]],1)</f>
        <v>0</v>
      </c>
      <c r="Z35">
        <v>24</v>
      </c>
      <c r="AA35" s="54">
        <v>24</v>
      </c>
      <c r="AB35" s="80">
        <f>ARTICULOS_VENEZOLANO[[#This Row],[Costo]]*ARTICULOS_VENEZOLANO[[#This Row],[Bulto]]*ARTICULOS_VENEZOLANO[[#This Row],[Pedido Bultos]]</f>
        <v>0</v>
      </c>
      <c r="AE35"/>
      <c r="AF35"/>
      <c r="AH35" s="2" t="str">
        <f>IF(AND(ARTICULOS_VENEZOLANO[[#This Row],[FechaVenc]]=0,ARTICULOS_VENEZOLANO[[#This Row],[DiasVenc]]=0),"",ARTICULOS_VENEZOLANO[[#This Row],[FechaVenc]]-ARTICULOS_VENEZOLANO[[#This Row],[DiasVenc]])</f>
        <v/>
      </c>
      <c r="AO35" t="s">
        <v>8689</v>
      </c>
    </row>
    <row r="36" spans="1:41" x14ac:dyDescent="0.25">
      <c r="A36" s="24" t="s">
        <v>11477</v>
      </c>
      <c r="C36" t="str">
        <f t="shared" si="2"/>
        <v>VEN47670125</v>
      </c>
      <c r="D36" t="s">
        <v>8689</v>
      </c>
      <c r="E36" s="24" t="s">
        <v>12129</v>
      </c>
      <c r="F36" s="61">
        <v>20400</v>
      </c>
      <c r="G36" s="122">
        <v>0</v>
      </c>
      <c r="H36" s="3">
        <v>0</v>
      </c>
      <c r="I36" s="54">
        <v>0</v>
      </c>
      <c r="J36" s="66">
        <f>((ARTICULOS_VENEZOLANO[[#This Row],[P. Compra]]*(1+ARTICULOS_VENEZOLANO[[#This Row],[IVA]]))/ARTICULOS_VENEZOLANO[[#This Row],[UnidFact]])+ARTICULOS_VENEZOLANO[[#This Row],[Flete]]</f>
        <v>850</v>
      </c>
      <c r="K36">
        <v>30</v>
      </c>
      <c r="L36" s="39">
        <f t="shared" si="3"/>
        <v>1200</v>
      </c>
      <c r="M36" s="125">
        <f>MROUND((ARTICULOS_VENEZOLANO[[#This Row],[Precio]]/0.6),50)</f>
        <v>2000</v>
      </c>
      <c r="N36" t="s">
        <v>61</v>
      </c>
      <c r="O36" t="s">
        <v>42</v>
      </c>
      <c r="P36" t="s">
        <v>62</v>
      </c>
      <c r="Q36" t="s">
        <v>8770</v>
      </c>
      <c r="R36" t="s">
        <v>8692</v>
      </c>
      <c r="S36">
        <v>1</v>
      </c>
      <c r="T36" t="s">
        <v>8693</v>
      </c>
      <c r="U36">
        <v>6</v>
      </c>
      <c r="V36" s="23">
        <f>ARTICULOS_VENEZOLANO[[#This Row],[Bulto]]+ARTICULOS_VENEZOLANO[[#This Row],[Minimo]]</f>
        <v>30</v>
      </c>
      <c r="W36" s="55">
        <v>9</v>
      </c>
      <c r="X36">
        <f>IF(ARTICULOS_VENEZOLANO[[#This Row],[Stock]]&lt;ARTICULOS_VENEZOLANO[[#This Row],[Minimo]],ARTICULOS_VENEZOLANO[[#This Row],[Maximo]]-ARTICULOS_VENEZOLANO[[#This Row],[Stock]],0)</f>
        <v>0</v>
      </c>
      <c r="Y36">
        <f>MROUND(ARTICULOS_VENEZOLANO[[#This Row],[Pedido Unidad]]/ARTICULOS_VENEZOLANO[[#This Row],[Bulto]],1)</f>
        <v>0</v>
      </c>
      <c r="Z36">
        <v>24</v>
      </c>
      <c r="AA36" s="54">
        <v>24</v>
      </c>
      <c r="AB36" s="80">
        <f>ARTICULOS_VENEZOLANO[[#This Row],[Costo]]*ARTICULOS_VENEZOLANO[[#This Row],[Bulto]]*ARTICULOS_VENEZOLANO[[#This Row],[Pedido Bultos]]</f>
        <v>0</v>
      </c>
      <c r="AE36"/>
      <c r="AF36"/>
      <c r="AH36" s="2" t="str">
        <f>IF(AND(ARTICULOS_VENEZOLANO[[#This Row],[FechaVenc]]=0,ARTICULOS_VENEZOLANO[[#This Row],[DiasVenc]]=0),"",ARTICULOS_VENEZOLANO[[#This Row],[FechaVenc]]-ARTICULOS_VENEZOLANO[[#This Row],[DiasVenc]])</f>
        <v/>
      </c>
      <c r="AO36" t="s">
        <v>8689</v>
      </c>
    </row>
    <row r="37" spans="1:41" x14ac:dyDescent="0.25">
      <c r="A37" s="1" t="s">
        <v>8779</v>
      </c>
      <c r="C37" t="str">
        <f t="shared" si="2"/>
        <v>VEN44600170</v>
      </c>
      <c r="D37" t="s">
        <v>8689</v>
      </c>
      <c r="E37" s="24" t="s">
        <v>8780</v>
      </c>
      <c r="F37" s="61">
        <v>1270</v>
      </c>
      <c r="G37" s="122">
        <v>0</v>
      </c>
      <c r="H37" s="3">
        <v>0</v>
      </c>
      <c r="I37" s="54">
        <v>0</v>
      </c>
      <c r="J37" s="66">
        <f>((ARTICULOS_VENEZOLANO[[#This Row],[P. Compra]]*(1+ARTICULOS_VENEZOLANO[[#This Row],[IVA]]))/ARTICULOS_VENEZOLANO[[#This Row],[UnidFact]])+ARTICULOS_VENEZOLANO[[#This Row],[Flete]]</f>
        <v>1270</v>
      </c>
      <c r="K37">
        <v>30</v>
      </c>
      <c r="L37" s="39">
        <f t="shared" si="3"/>
        <v>1800</v>
      </c>
      <c r="M37" s="125">
        <f>MROUND((ARTICULOS_VENEZOLANO[[#This Row],[Precio]]/0.6),50)</f>
        <v>3000</v>
      </c>
      <c r="N37" t="s">
        <v>3</v>
      </c>
      <c r="O37" t="s">
        <v>42</v>
      </c>
      <c r="P37" t="s">
        <v>62</v>
      </c>
      <c r="Q37" t="s">
        <v>8781</v>
      </c>
      <c r="R37" t="s">
        <v>8692</v>
      </c>
      <c r="S37">
        <v>1</v>
      </c>
      <c r="T37" t="s">
        <v>8693</v>
      </c>
      <c r="U37">
        <v>12</v>
      </c>
      <c r="V37" s="3">
        <f>ARTICULOS_VENEZOLANO[[#This Row],[Bulto]]+ARTICULOS_VENEZOLANO[[#This Row],[Minimo]]</f>
        <v>60</v>
      </c>
      <c r="W37" s="55">
        <v>0</v>
      </c>
      <c r="X37">
        <f>IF(ARTICULOS_VENEZOLANO[[#This Row],[Stock]]&lt;ARTICULOS_VENEZOLANO[[#This Row],[Minimo]],ARTICULOS_VENEZOLANO[[#This Row],[Maximo]]-ARTICULOS_VENEZOLANO[[#This Row],[Stock]],0)</f>
        <v>60</v>
      </c>
      <c r="Y37">
        <f>MROUND(ARTICULOS_VENEZOLANO[[#This Row],[Pedido Unidad]]/ARTICULOS_VENEZOLANO[[#This Row],[Bulto]],1)</f>
        <v>1</v>
      </c>
      <c r="Z37">
        <v>48</v>
      </c>
      <c r="AA37" s="54">
        <v>1</v>
      </c>
      <c r="AB37" s="80">
        <f>ARTICULOS_VENEZOLANO[[#This Row],[Costo]]*ARTICULOS_VENEZOLANO[[#This Row],[Bulto]]*ARTICULOS_VENEZOLANO[[#This Row],[Pedido Bultos]]</f>
        <v>60960</v>
      </c>
      <c r="AE37"/>
      <c r="AF37"/>
      <c r="AH37" s="2" t="str">
        <f>IF(AND(ARTICULOS_VENEZOLANO[[#This Row],[FechaVenc]]=0,ARTICULOS_VENEZOLANO[[#This Row],[DiasVenc]]=0),"",ARTICULOS_VENEZOLANO[[#This Row],[FechaVenc]]-ARTICULOS_VENEZOLANO[[#This Row],[DiasVenc]])</f>
        <v/>
      </c>
      <c r="AO37" t="s">
        <v>8689</v>
      </c>
    </row>
    <row r="38" spans="1:41" x14ac:dyDescent="0.25">
      <c r="A38" s="1" t="s">
        <v>8782</v>
      </c>
      <c r="C38" t="str">
        <f t="shared" si="2"/>
        <v>VEN44600194</v>
      </c>
      <c r="D38" t="s">
        <v>8689</v>
      </c>
      <c r="E38" s="24" t="s">
        <v>8783</v>
      </c>
      <c r="F38" s="61">
        <v>1270</v>
      </c>
      <c r="G38" s="122">
        <v>0</v>
      </c>
      <c r="H38" s="3">
        <v>0</v>
      </c>
      <c r="I38" s="54">
        <v>0</v>
      </c>
      <c r="J38" s="66">
        <f>((ARTICULOS_VENEZOLANO[[#This Row],[P. Compra]]*(1+ARTICULOS_VENEZOLANO[[#This Row],[IVA]]))/ARTICULOS_VENEZOLANO[[#This Row],[UnidFact]])+ARTICULOS_VENEZOLANO[[#This Row],[Flete]]</f>
        <v>1270</v>
      </c>
      <c r="K38">
        <v>30</v>
      </c>
      <c r="L38" s="39">
        <f t="shared" si="3"/>
        <v>1800</v>
      </c>
      <c r="M38" s="125">
        <f>MROUND((ARTICULOS_VENEZOLANO[[#This Row],[Precio]]/0.6),50)</f>
        <v>3000</v>
      </c>
      <c r="N38" t="s">
        <v>3</v>
      </c>
      <c r="O38" t="s">
        <v>42</v>
      </c>
      <c r="P38" t="s">
        <v>62</v>
      </c>
      <c r="Q38" t="s">
        <v>8781</v>
      </c>
      <c r="R38" t="s">
        <v>8692</v>
      </c>
      <c r="S38">
        <v>1</v>
      </c>
      <c r="T38" t="s">
        <v>8693</v>
      </c>
      <c r="U38">
        <v>12</v>
      </c>
      <c r="V38" s="3">
        <f>ARTICULOS_VENEZOLANO[[#This Row],[Bulto]]+ARTICULOS_VENEZOLANO[[#This Row],[Minimo]]</f>
        <v>60</v>
      </c>
      <c r="W38" s="89">
        <v>0</v>
      </c>
      <c r="X38">
        <f>IF(ARTICULOS_VENEZOLANO[[#This Row],[Stock]]&lt;ARTICULOS_VENEZOLANO[[#This Row],[Minimo]],ARTICULOS_VENEZOLANO[[#This Row],[Maximo]]-ARTICULOS_VENEZOLANO[[#This Row],[Stock]],0)</f>
        <v>60</v>
      </c>
      <c r="Y38">
        <f>MROUND(ARTICULOS_VENEZOLANO[[#This Row],[Pedido Unidad]]/ARTICULOS_VENEZOLANO[[#This Row],[Bulto]],1)</f>
        <v>1</v>
      </c>
      <c r="Z38">
        <v>48</v>
      </c>
      <c r="AA38" s="54">
        <v>1</v>
      </c>
      <c r="AB38" s="80">
        <f>ARTICULOS_VENEZOLANO[[#This Row],[Costo]]*ARTICULOS_VENEZOLANO[[#This Row],[Bulto]]*ARTICULOS_VENEZOLANO[[#This Row],[Pedido Bultos]]</f>
        <v>60960</v>
      </c>
      <c r="AE38"/>
      <c r="AF38"/>
      <c r="AH38" s="2" t="str">
        <f>IF(AND(ARTICULOS_VENEZOLANO[[#This Row],[FechaVenc]]=0,ARTICULOS_VENEZOLANO[[#This Row],[DiasVenc]]=0),"",ARTICULOS_VENEZOLANO[[#This Row],[FechaVenc]]-ARTICULOS_VENEZOLANO[[#This Row],[DiasVenc]])</f>
        <v/>
      </c>
      <c r="AO38" t="s">
        <v>8689</v>
      </c>
    </row>
    <row r="39" spans="1:41" x14ac:dyDescent="0.25">
      <c r="A39" s="1" t="s">
        <v>8789</v>
      </c>
      <c r="C39" t="str">
        <f t="shared" si="2"/>
        <v>VEN5034</v>
      </c>
      <c r="D39" t="s">
        <v>8689</v>
      </c>
      <c r="E39" s="24" t="s">
        <v>12132</v>
      </c>
      <c r="F39" s="61">
        <v>5050</v>
      </c>
      <c r="G39" s="122">
        <v>0</v>
      </c>
      <c r="H39" s="3">
        <v>0</v>
      </c>
      <c r="I39" s="54">
        <v>0</v>
      </c>
      <c r="J39" s="66">
        <f>((ARTICULOS_VENEZOLANO[[#This Row],[P. Compra]]*(1+ARTICULOS_VENEZOLANO[[#This Row],[IVA]]))/ARTICULOS_VENEZOLANO[[#This Row],[UnidFact]])+ARTICULOS_VENEZOLANO[[#This Row],[Flete]]</f>
        <v>5050</v>
      </c>
      <c r="K39">
        <v>30</v>
      </c>
      <c r="L39" s="39">
        <f t="shared" si="3"/>
        <v>7200</v>
      </c>
      <c r="M39" s="125">
        <f>MROUND((ARTICULOS_VENEZOLANO[[#This Row],[Precio]]/0.6),50)</f>
        <v>12000</v>
      </c>
      <c r="N39" t="s">
        <v>61</v>
      </c>
      <c r="O39" t="s">
        <v>42</v>
      </c>
      <c r="P39" t="s">
        <v>76</v>
      </c>
      <c r="Q39" t="s">
        <v>8790</v>
      </c>
      <c r="R39" t="s">
        <v>8692</v>
      </c>
      <c r="S39">
        <v>1</v>
      </c>
      <c r="T39" t="s">
        <v>8693</v>
      </c>
      <c r="U39">
        <v>2</v>
      </c>
      <c r="V39" s="3">
        <f>ARTICULOS_VENEZOLANO[[#This Row],[Bulto]]+ARTICULOS_VENEZOLANO[[#This Row],[Minimo]]</f>
        <v>8</v>
      </c>
      <c r="W39" s="55">
        <v>0</v>
      </c>
      <c r="X39">
        <f>IF(ARTICULOS_VENEZOLANO[[#This Row],[Stock]]&lt;ARTICULOS_VENEZOLANO[[#This Row],[Minimo]],ARTICULOS_VENEZOLANO[[#This Row],[Maximo]]-ARTICULOS_VENEZOLANO[[#This Row],[Stock]],0)</f>
        <v>8</v>
      </c>
      <c r="Y39">
        <f>MROUND(ARTICULOS_VENEZOLANO[[#This Row],[Pedido Unidad]]/ARTICULOS_VENEZOLANO[[#This Row],[Bulto]],1)</f>
        <v>1</v>
      </c>
      <c r="Z39">
        <v>6</v>
      </c>
      <c r="AA39" s="54">
        <v>1</v>
      </c>
      <c r="AB39" s="80">
        <f>ARTICULOS_VENEZOLANO[[#This Row],[Costo]]*ARTICULOS_VENEZOLANO[[#This Row],[Bulto]]*ARTICULOS_VENEZOLANO[[#This Row],[Pedido Bultos]]</f>
        <v>30300</v>
      </c>
      <c r="AE39"/>
      <c r="AF39"/>
      <c r="AH39" s="2" t="str">
        <f>IF(AND(ARTICULOS_VENEZOLANO[[#This Row],[FechaVenc]]=0,ARTICULOS_VENEZOLANO[[#This Row],[DiasVenc]]=0),"",ARTICULOS_VENEZOLANO[[#This Row],[FechaVenc]]-ARTICULOS_VENEZOLANO[[#This Row],[DiasVenc]])</f>
        <v/>
      </c>
      <c r="AO39" t="s">
        <v>8689</v>
      </c>
    </row>
    <row r="40" spans="1:41" x14ac:dyDescent="0.25">
      <c r="A40" s="1" t="s">
        <v>12130</v>
      </c>
      <c r="C40" t="str">
        <f t="shared" si="2"/>
        <v>VEN5018</v>
      </c>
      <c r="D40" t="s">
        <v>8689</v>
      </c>
      <c r="E40" s="24" t="s">
        <v>12133</v>
      </c>
      <c r="F40" s="61">
        <v>6100</v>
      </c>
      <c r="G40" s="122">
        <v>0</v>
      </c>
      <c r="H40" s="3">
        <v>0</v>
      </c>
      <c r="I40" s="54">
        <v>0</v>
      </c>
      <c r="J40" s="66">
        <f>((ARTICULOS_VENEZOLANO[[#This Row],[P. Compra]]*(1+ARTICULOS_VENEZOLANO[[#This Row],[IVA]]))/ARTICULOS_VENEZOLANO[[#This Row],[UnidFact]])+ARTICULOS_VENEZOLANO[[#This Row],[Flete]]</f>
        <v>6100</v>
      </c>
      <c r="K40">
        <v>30</v>
      </c>
      <c r="L40" s="39">
        <f t="shared" si="3"/>
        <v>8700</v>
      </c>
      <c r="M40" s="125">
        <f>MROUND((ARTICULOS_VENEZOLANO[[#This Row],[Precio]]/0.6),50)</f>
        <v>14500</v>
      </c>
      <c r="N40" t="s">
        <v>61</v>
      </c>
      <c r="O40" t="s">
        <v>42</v>
      </c>
      <c r="P40" t="s">
        <v>76</v>
      </c>
      <c r="Q40" t="s">
        <v>8790</v>
      </c>
      <c r="R40" t="s">
        <v>8692</v>
      </c>
      <c r="S40">
        <v>1</v>
      </c>
      <c r="T40" t="s">
        <v>8693</v>
      </c>
      <c r="U40">
        <v>2</v>
      </c>
      <c r="V40" s="3">
        <f>ARTICULOS_VENEZOLANO[[#This Row],[Bulto]]+ARTICULOS_VENEZOLANO[[#This Row],[Minimo]]</f>
        <v>8</v>
      </c>
      <c r="W40" s="55">
        <v>0</v>
      </c>
      <c r="X40">
        <f>IF(ARTICULOS_VENEZOLANO[[#This Row],[Stock]]&lt;ARTICULOS_VENEZOLANO[[#This Row],[Minimo]],ARTICULOS_VENEZOLANO[[#This Row],[Maximo]]-ARTICULOS_VENEZOLANO[[#This Row],[Stock]],0)</f>
        <v>8</v>
      </c>
      <c r="Y40">
        <f>MROUND(ARTICULOS_VENEZOLANO[[#This Row],[Pedido Unidad]]/ARTICULOS_VENEZOLANO[[#This Row],[Bulto]],1)</f>
        <v>1</v>
      </c>
      <c r="Z40">
        <v>6</v>
      </c>
      <c r="AA40" s="54">
        <v>1</v>
      </c>
      <c r="AB40" s="80">
        <f>ARTICULOS_VENEZOLANO[[#This Row],[Costo]]*ARTICULOS_VENEZOLANO[[#This Row],[Bulto]]*ARTICULOS_VENEZOLANO[[#This Row],[Pedido Bultos]]</f>
        <v>36600</v>
      </c>
      <c r="AE40"/>
      <c r="AF40"/>
      <c r="AH40" s="2" t="str">
        <f>IF(AND(ARTICULOS_VENEZOLANO[[#This Row],[FechaVenc]]=0,ARTICULOS_VENEZOLANO[[#This Row],[DiasVenc]]=0),"",ARTICULOS_VENEZOLANO[[#This Row],[FechaVenc]]-ARTICULOS_VENEZOLANO[[#This Row],[DiasVenc]])</f>
        <v/>
      </c>
      <c r="AO40" t="s">
        <v>8689</v>
      </c>
    </row>
    <row r="41" spans="1:41" x14ac:dyDescent="0.25">
      <c r="A41" s="1" t="s">
        <v>8791</v>
      </c>
      <c r="C41" t="str">
        <f t="shared" si="2"/>
        <v>VEN5035</v>
      </c>
      <c r="D41" t="s">
        <v>8689</v>
      </c>
      <c r="E41" s="24" t="s">
        <v>12134</v>
      </c>
      <c r="F41" s="61">
        <v>3350</v>
      </c>
      <c r="G41" s="122">
        <v>0</v>
      </c>
      <c r="H41" s="3">
        <v>0</v>
      </c>
      <c r="I41" s="54">
        <v>0</v>
      </c>
      <c r="J41" s="66">
        <f>((ARTICULOS_VENEZOLANO[[#This Row],[P. Compra]]*(1+ARTICULOS_VENEZOLANO[[#This Row],[IVA]]))/ARTICULOS_VENEZOLANO[[#This Row],[UnidFact]])+ARTICULOS_VENEZOLANO[[#This Row],[Flete]]</f>
        <v>3350</v>
      </c>
      <c r="K41">
        <v>30</v>
      </c>
      <c r="L41" s="39">
        <f t="shared" si="3"/>
        <v>4800</v>
      </c>
      <c r="M41" s="125">
        <f>MROUND((ARTICULOS_VENEZOLANO[[#This Row],[Precio]]/0.6),50)</f>
        <v>8000</v>
      </c>
      <c r="N41" t="s">
        <v>61</v>
      </c>
      <c r="O41" t="s">
        <v>42</v>
      </c>
      <c r="P41" t="s">
        <v>76</v>
      </c>
      <c r="Q41" t="s">
        <v>8790</v>
      </c>
      <c r="R41" t="s">
        <v>8692</v>
      </c>
      <c r="S41">
        <v>1</v>
      </c>
      <c r="T41" t="s">
        <v>8693</v>
      </c>
      <c r="U41">
        <v>2</v>
      </c>
      <c r="V41" s="3">
        <f>ARTICULOS_VENEZOLANO[[#This Row],[Bulto]]+ARTICULOS_VENEZOLANO[[#This Row],[Minimo]]</f>
        <v>8</v>
      </c>
      <c r="W41" s="55">
        <v>0</v>
      </c>
      <c r="X41">
        <f>IF(ARTICULOS_VENEZOLANO[[#This Row],[Stock]]&lt;ARTICULOS_VENEZOLANO[[#This Row],[Minimo]],ARTICULOS_VENEZOLANO[[#This Row],[Maximo]]-ARTICULOS_VENEZOLANO[[#This Row],[Stock]],0)</f>
        <v>8</v>
      </c>
      <c r="Y41">
        <f>MROUND(ARTICULOS_VENEZOLANO[[#This Row],[Pedido Unidad]]/ARTICULOS_VENEZOLANO[[#This Row],[Bulto]],1)</f>
        <v>1</v>
      </c>
      <c r="Z41">
        <v>6</v>
      </c>
      <c r="AA41" s="54">
        <v>1</v>
      </c>
      <c r="AB41" s="80">
        <f>ARTICULOS_VENEZOLANO[[#This Row],[Costo]]*ARTICULOS_VENEZOLANO[[#This Row],[Bulto]]*ARTICULOS_VENEZOLANO[[#This Row],[Pedido Bultos]]</f>
        <v>20100</v>
      </c>
      <c r="AE41"/>
      <c r="AF41"/>
      <c r="AH41" s="2" t="str">
        <f>IF(AND(ARTICULOS_VENEZOLANO[[#This Row],[FechaVenc]]=0,ARTICULOS_VENEZOLANO[[#This Row],[DiasVenc]]=0),"",ARTICULOS_VENEZOLANO[[#This Row],[FechaVenc]]-ARTICULOS_VENEZOLANO[[#This Row],[DiasVenc]])</f>
        <v/>
      </c>
      <c r="AO41" t="s">
        <v>8689</v>
      </c>
    </row>
    <row r="42" spans="1:41" x14ac:dyDescent="0.25">
      <c r="A42" s="1" t="s">
        <v>12131</v>
      </c>
      <c r="C42" t="str">
        <f t="shared" si="2"/>
        <v>VEN5019</v>
      </c>
      <c r="D42" t="s">
        <v>8689</v>
      </c>
      <c r="E42" s="24" t="s">
        <v>12135</v>
      </c>
      <c r="F42" s="61">
        <v>3700</v>
      </c>
      <c r="G42" s="122">
        <v>0</v>
      </c>
      <c r="H42" s="3">
        <v>0</v>
      </c>
      <c r="I42" s="54">
        <v>0</v>
      </c>
      <c r="J42" s="66">
        <f>((ARTICULOS_VENEZOLANO[[#This Row],[P. Compra]]*(1+ARTICULOS_VENEZOLANO[[#This Row],[IVA]]))/ARTICULOS_VENEZOLANO[[#This Row],[UnidFact]])+ARTICULOS_VENEZOLANO[[#This Row],[Flete]]</f>
        <v>3700</v>
      </c>
      <c r="K42">
        <v>30</v>
      </c>
      <c r="L42" s="39">
        <f t="shared" si="3"/>
        <v>5300</v>
      </c>
      <c r="M42" s="125">
        <f>MROUND((ARTICULOS_VENEZOLANO[[#This Row],[Precio]]/0.6),50)</f>
        <v>8850</v>
      </c>
      <c r="N42" t="s">
        <v>61</v>
      </c>
      <c r="O42" t="s">
        <v>42</v>
      </c>
      <c r="P42" t="s">
        <v>76</v>
      </c>
      <c r="Q42" t="s">
        <v>8790</v>
      </c>
      <c r="R42" t="s">
        <v>8692</v>
      </c>
      <c r="S42">
        <v>1</v>
      </c>
      <c r="T42" t="s">
        <v>8693</v>
      </c>
      <c r="U42">
        <v>2</v>
      </c>
      <c r="V42" s="3">
        <f>ARTICULOS_VENEZOLANO[[#This Row],[Bulto]]+ARTICULOS_VENEZOLANO[[#This Row],[Minimo]]</f>
        <v>8</v>
      </c>
      <c r="W42" s="55">
        <v>0</v>
      </c>
      <c r="X42">
        <f>IF(ARTICULOS_VENEZOLANO[[#This Row],[Stock]]&lt;ARTICULOS_VENEZOLANO[[#This Row],[Minimo]],ARTICULOS_VENEZOLANO[[#This Row],[Maximo]]-ARTICULOS_VENEZOLANO[[#This Row],[Stock]],0)</f>
        <v>8</v>
      </c>
      <c r="Y42">
        <f>MROUND(ARTICULOS_VENEZOLANO[[#This Row],[Pedido Unidad]]/ARTICULOS_VENEZOLANO[[#This Row],[Bulto]],1)</f>
        <v>1</v>
      </c>
      <c r="Z42">
        <v>6</v>
      </c>
      <c r="AA42" s="54">
        <v>1</v>
      </c>
      <c r="AB42" s="80">
        <f>ARTICULOS_VENEZOLANO[[#This Row],[Costo]]*ARTICULOS_VENEZOLANO[[#This Row],[Bulto]]*ARTICULOS_VENEZOLANO[[#This Row],[Pedido Bultos]]</f>
        <v>22200</v>
      </c>
      <c r="AE42"/>
      <c r="AF42"/>
      <c r="AH42" s="2" t="str">
        <f>IF(AND(ARTICULOS_VENEZOLANO[[#This Row],[FechaVenc]]=0,ARTICULOS_VENEZOLANO[[#This Row],[DiasVenc]]=0),"",ARTICULOS_VENEZOLANO[[#This Row],[FechaVenc]]-ARTICULOS_VENEZOLANO[[#This Row],[DiasVenc]])</f>
        <v/>
      </c>
      <c r="AO42" t="s">
        <v>8689</v>
      </c>
    </row>
    <row r="43" spans="1:41" x14ac:dyDescent="0.25">
      <c r="A43" s="1" t="s">
        <v>8784</v>
      </c>
      <c r="C43" t="str">
        <f t="shared" si="2"/>
        <v>VEN5036</v>
      </c>
      <c r="D43" t="s">
        <v>8689</v>
      </c>
      <c r="E43" s="24" t="s">
        <v>8785</v>
      </c>
      <c r="F43" s="61">
        <v>1000</v>
      </c>
      <c r="G43" s="122">
        <v>0</v>
      </c>
      <c r="H43" s="3">
        <v>0</v>
      </c>
      <c r="I43" s="54">
        <v>0</v>
      </c>
      <c r="J43" s="66">
        <f>((ARTICULOS_VENEZOLANO[[#This Row],[P. Compra]]*(1+ARTICULOS_VENEZOLANO[[#This Row],[IVA]]))/ARTICULOS_VENEZOLANO[[#This Row],[UnidFact]])+ARTICULOS_VENEZOLANO[[#This Row],[Flete]]</f>
        <v>1000</v>
      </c>
      <c r="K43">
        <v>30</v>
      </c>
      <c r="L43" s="39">
        <f t="shared" si="3"/>
        <v>1400</v>
      </c>
      <c r="M43" s="125">
        <f>MROUND((ARTICULOS_VENEZOLANO[[#This Row],[Precio]]/0.6),50)</f>
        <v>2350</v>
      </c>
      <c r="N43" t="s">
        <v>61</v>
      </c>
      <c r="O43" t="s">
        <v>42</v>
      </c>
      <c r="P43" t="s">
        <v>76</v>
      </c>
      <c r="Q43" t="s">
        <v>8786</v>
      </c>
      <c r="R43" t="s">
        <v>8692</v>
      </c>
      <c r="S43">
        <v>1</v>
      </c>
      <c r="T43" t="s">
        <v>8693</v>
      </c>
      <c r="U43">
        <v>3</v>
      </c>
      <c r="V43" s="3">
        <f>ARTICULOS_VENEZOLANO[[#This Row],[Bulto]]+ARTICULOS_VENEZOLANO[[#This Row],[Minimo]]</f>
        <v>15</v>
      </c>
      <c r="W43" s="55">
        <v>0</v>
      </c>
      <c r="X43">
        <f>IF(ARTICULOS_VENEZOLANO[[#This Row],[Stock]]&lt;ARTICULOS_VENEZOLANO[[#This Row],[Minimo]],ARTICULOS_VENEZOLANO[[#This Row],[Maximo]]-ARTICULOS_VENEZOLANO[[#This Row],[Stock]],0)</f>
        <v>15</v>
      </c>
      <c r="Y43">
        <f>MROUND(ARTICULOS_VENEZOLANO[[#This Row],[Pedido Unidad]]/ARTICULOS_VENEZOLANO[[#This Row],[Bulto]],1)</f>
        <v>1</v>
      </c>
      <c r="Z43">
        <v>12</v>
      </c>
      <c r="AA43" s="54">
        <v>1</v>
      </c>
      <c r="AB43" s="80">
        <f>ARTICULOS_VENEZOLANO[[#This Row],[Costo]]*ARTICULOS_VENEZOLANO[[#This Row],[Bulto]]*ARTICULOS_VENEZOLANO[[#This Row],[Pedido Bultos]]</f>
        <v>12000</v>
      </c>
      <c r="AE43"/>
      <c r="AF43"/>
      <c r="AH43" s="2" t="str">
        <f>IF(AND(ARTICULOS_VENEZOLANO[[#This Row],[FechaVenc]]=0,ARTICULOS_VENEZOLANO[[#This Row],[DiasVenc]]=0),"",ARTICULOS_VENEZOLANO[[#This Row],[FechaVenc]]-ARTICULOS_VENEZOLANO[[#This Row],[DiasVenc]])</f>
        <v/>
      </c>
      <c r="AO43" t="s">
        <v>8689</v>
      </c>
    </row>
    <row r="44" spans="1:41" x14ac:dyDescent="0.25">
      <c r="A44" s="1" t="s">
        <v>8787</v>
      </c>
      <c r="C44" t="str">
        <f t="shared" si="2"/>
        <v>VEN5037</v>
      </c>
      <c r="D44" t="s">
        <v>8689</v>
      </c>
      <c r="E44" s="24" t="s">
        <v>8788</v>
      </c>
      <c r="F44" s="61">
        <f>F43</f>
        <v>1000</v>
      </c>
      <c r="G44" s="122">
        <v>0</v>
      </c>
      <c r="H44" s="3">
        <v>0</v>
      </c>
      <c r="I44" s="54">
        <v>0</v>
      </c>
      <c r="J44" s="66">
        <f>((ARTICULOS_VENEZOLANO[[#This Row],[P. Compra]]*(1+ARTICULOS_VENEZOLANO[[#This Row],[IVA]]))/ARTICULOS_VENEZOLANO[[#This Row],[UnidFact]])+ARTICULOS_VENEZOLANO[[#This Row],[Flete]]</f>
        <v>1000</v>
      </c>
      <c r="K44">
        <v>30</v>
      </c>
      <c r="L44" s="39">
        <f t="shared" si="3"/>
        <v>1400</v>
      </c>
      <c r="M44" s="125">
        <f>MROUND((ARTICULOS_VENEZOLANO[[#This Row],[Precio]]/0.6),50)</f>
        <v>2350</v>
      </c>
      <c r="N44" t="s">
        <v>61</v>
      </c>
      <c r="O44" t="s">
        <v>42</v>
      </c>
      <c r="P44" t="s">
        <v>76</v>
      </c>
      <c r="Q44" t="s">
        <v>8786</v>
      </c>
      <c r="R44" t="s">
        <v>8692</v>
      </c>
      <c r="S44">
        <v>1</v>
      </c>
      <c r="T44" t="s">
        <v>8693</v>
      </c>
      <c r="U44">
        <v>3</v>
      </c>
      <c r="V44" s="3">
        <f>ARTICULOS_VENEZOLANO[[#This Row],[Bulto]]+ARTICULOS_VENEZOLANO[[#This Row],[Minimo]]</f>
        <v>15</v>
      </c>
      <c r="W44" s="55">
        <v>0</v>
      </c>
      <c r="X44">
        <f>IF(ARTICULOS_VENEZOLANO[[#This Row],[Stock]]&lt;ARTICULOS_VENEZOLANO[[#This Row],[Minimo]],ARTICULOS_VENEZOLANO[[#This Row],[Maximo]]-ARTICULOS_VENEZOLANO[[#This Row],[Stock]],0)</f>
        <v>15</v>
      </c>
      <c r="Y44">
        <f>MROUND(ARTICULOS_VENEZOLANO[[#This Row],[Pedido Unidad]]/ARTICULOS_VENEZOLANO[[#This Row],[Bulto]],1)</f>
        <v>1</v>
      </c>
      <c r="Z44">
        <v>12</v>
      </c>
      <c r="AA44" s="54">
        <v>1</v>
      </c>
      <c r="AB44" s="80">
        <f>ARTICULOS_VENEZOLANO[[#This Row],[Costo]]*ARTICULOS_VENEZOLANO[[#This Row],[Bulto]]*ARTICULOS_VENEZOLANO[[#This Row],[Pedido Bultos]]</f>
        <v>12000</v>
      </c>
      <c r="AE44"/>
      <c r="AF44"/>
      <c r="AH44" s="2" t="str">
        <f>IF(AND(ARTICULOS_VENEZOLANO[[#This Row],[FechaVenc]]=0,ARTICULOS_VENEZOLANO[[#This Row],[DiasVenc]]=0),"",ARTICULOS_VENEZOLANO[[#This Row],[FechaVenc]]-ARTICULOS_VENEZOLANO[[#This Row],[DiasVenc]])</f>
        <v/>
      </c>
      <c r="AO44" t="s">
        <v>8689</v>
      </c>
    </row>
    <row r="45" spans="1:41" x14ac:dyDescent="0.25">
      <c r="A45" s="1" t="s">
        <v>8792</v>
      </c>
      <c r="C45" t="str">
        <f t="shared" si="2"/>
        <v>VEN77982228</v>
      </c>
      <c r="D45" t="s">
        <v>8689</v>
      </c>
      <c r="E45" s="24" t="s">
        <v>8793</v>
      </c>
      <c r="F45" s="61">
        <v>600</v>
      </c>
      <c r="G45" s="122">
        <v>0</v>
      </c>
      <c r="H45" s="3">
        <v>0</v>
      </c>
      <c r="I45" s="54">
        <v>0</v>
      </c>
      <c r="J45" s="66">
        <f>((ARTICULOS_VENEZOLANO[[#This Row],[P. Compra]]*(1+ARTICULOS_VENEZOLANO[[#This Row],[IVA]]))/ARTICULOS_VENEZOLANO[[#This Row],[UnidFact]])+ARTICULOS_VENEZOLANO[[#This Row],[Flete]]</f>
        <v>600</v>
      </c>
      <c r="K45">
        <v>30</v>
      </c>
      <c r="L45" s="39">
        <f t="shared" si="3"/>
        <v>900</v>
      </c>
      <c r="M45" s="125">
        <f>MROUND((ARTICULOS_VENEZOLANO[[#This Row],[Precio]]/0.6),50)</f>
        <v>1500</v>
      </c>
      <c r="N45" t="s">
        <v>61</v>
      </c>
      <c r="O45" t="s">
        <v>42</v>
      </c>
      <c r="P45" t="s">
        <v>69</v>
      </c>
      <c r="Q45" t="s">
        <v>8794</v>
      </c>
      <c r="R45" t="s">
        <v>8692</v>
      </c>
      <c r="S45">
        <v>1</v>
      </c>
      <c r="T45" t="s">
        <v>8693</v>
      </c>
      <c r="U45">
        <v>3</v>
      </c>
      <c r="V45" s="3">
        <f>ARTICULOS_VENEZOLANO[[#This Row],[Bulto]]+ARTICULOS_VENEZOLANO[[#This Row],[Minimo]]</f>
        <v>13</v>
      </c>
      <c r="W45" s="55">
        <v>0</v>
      </c>
      <c r="X45">
        <f>IF(ARTICULOS_VENEZOLANO[[#This Row],[Stock]]&lt;ARTICULOS_VENEZOLANO[[#This Row],[Minimo]],ARTICULOS_VENEZOLANO[[#This Row],[Maximo]]-ARTICULOS_VENEZOLANO[[#This Row],[Stock]],0)</f>
        <v>13</v>
      </c>
      <c r="Y45">
        <f>MROUND(ARTICULOS_VENEZOLANO[[#This Row],[Pedido Unidad]]/ARTICULOS_VENEZOLANO[[#This Row],[Bulto]],1)</f>
        <v>1</v>
      </c>
      <c r="Z45">
        <v>10</v>
      </c>
      <c r="AA45" s="54">
        <v>1</v>
      </c>
      <c r="AB45" s="80">
        <f>ARTICULOS_VENEZOLANO[[#This Row],[Costo]]*ARTICULOS_VENEZOLANO[[#This Row],[Bulto]]*ARTICULOS_VENEZOLANO[[#This Row],[Pedido Bultos]]</f>
        <v>6000</v>
      </c>
      <c r="AE45"/>
      <c r="AF45"/>
      <c r="AH45" s="2" t="str">
        <f>IF(AND(ARTICULOS_VENEZOLANO[[#This Row],[FechaVenc]]=0,ARTICULOS_VENEZOLANO[[#This Row],[DiasVenc]]=0),"",ARTICULOS_VENEZOLANO[[#This Row],[FechaVenc]]-ARTICULOS_VENEZOLANO[[#This Row],[DiasVenc]])</f>
        <v/>
      </c>
      <c r="AO45" t="s">
        <v>8689</v>
      </c>
    </row>
    <row r="46" spans="1:41" x14ac:dyDescent="0.25">
      <c r="A46" s="1" t="s">
        <v>8795</v>
      </c>
      <c r="C46" t="str">
        <f t="shared" si="2"/>
        <v>VEN5010</v>
      </c>
      <c r="D46" t="s">
        <v>8689</v>
      </c>
      <c r="E46" s="24" t="s">
        <v>8796</v>
      </c>
      <c r="F46" s="61">
        <v>1520</v>
      </c>
      <c r="G46" s="122">
        <v>0</v>
      </c>
      <c r="H46" s="3">
        <v>0</v>
      </c>
      <c r="I46" s="54">
        <v>0</v>
      </c>
      <c r="J46" s="66">
        <f>((ARTICULOS_VENEZOLANO[[#This Row],[P. Compra]]*(1+ARTICULOS_VENEZOLANO[[#This Row],[IVA]]))/ARTICULOS_VENEZOLANO[[#This Row],[UnidFact]])+ARTICULOS_VENEZOLANO[[#This Row],[Flete]]</f>
        <v>1520</v>
      </c>
      <c r="K46">
        <v>30</v>
      </c>
      <c r="L46" s="39">
        <f t="shared" si="3"/>
        <v>2200</v>
      </c>
      <c r="M46" s="125">
        <f>MROUND((ARTICULOS_VENEZOLANO[[#This Row],[Precio]]/0.6),50)</f>
        <v>3650</v>
      </c>
      <c r="N46" t="s">
        <v>61</v>
      </c>
      <c r="O46" t="s">
        <v>42</v>
      </c>
      <c r="P46" t="s">
        <v>52</v>
      </c>
      <c r="Q46" t="s">
        <v>8797</v>
      </c>
      <c r="R46" t="s">
        <v>8692</v>
      </c>
      <c r="S46">
        <v>1</v>
      </c>
      <c r="T46" t="s">
        <v>8693</v>
      </c>
      <c r="U46">
        <v>2</v>
      </c>
      <c r="V46" s="3">
        <f>ARTICULOS_VENEZOLANO[[#This Row],[Bulto]]+ARTICULOS_VENEZOLANO[[#This Row],[Minimo]]</f>
        <v>7</v>
      </c>
      <c r="W46" s="55">
        <v>6</v>
      </c>
      <c r="X46">
        <f>IF(ARTICULOS_VENEZOLANO[[#This Row],[Stock]]&lt;ARTICULOS_VENEZOLANO[[#This Row],[Minimo]],ARTICULOS_VENEZOLANO[[#This Row],[Maximo]]-ARTICULOS_VENEZOLANO[[#This Row],[Stock]],0)</f>
        <v>0</v>
      </c>
      <c r="Y46">
        <f>MROUND(ARTICULOS_VENEZOLANO[[#This Row],[Pedido Unidad]]/ARTICULOS_VENEZOLANO[[#This Row],[Bulto]],1)</f>
        <v>0</v>
      </c>
      <c r="Z46">
        <v>5</v>
      </c>
      <c r="AA46" s="54">
        <v>1</v>
      </c>
      <c r="AB46" s="80">
        <f>ARTICULOS_VENEZOLANO[[#This Row],[Costo]]*ARTICULOS_VENEZOLANO[[#This Row],[Bulto]]*ARTICULOS_VENEZOLANO[[#This Row],[Pedido Bultos]]</f>
        <v>0</v>
      </c>
      <c r="AE46"/>
      <c r="AF46"/>
      <c r="AH46" s="2" t="str">
        <f>IF(AND(ARTICULOS_VENEZOLANO[[#This Row],[FechaVenc]]=0,ARTICULOS_VENEZOLANO[[#This Row],[DiasVenc]]=0),"",ARTICULOS_VENEZOLANO[[#This Row],[FechaVenc]]-ARTICULOS_VENEZOLANO[[#This Row],[DiasVenc]])</f>
        <v/>
      </c>
      <c r="AO46" t="s">
        <v>8689</v>
      </c>
    </row>
    <row r="47" spans="1:41" x14ac:dyDescent="0.25">
      <c r="A47" s="1" t="s">
        <v>8798</v>
      </c>
      <c r="C47" t="str">
        <f t="shared" si="2"/>
        <v>VEN5011</v>
      </c>
      <c r="D47" t="s">
        <v>8689</v>
      </c>
      <c r="E47" s="24" t="s">
        <v>8799</v>
      </c>
      <c r="F47" s="61">
        <v>1230</v>
      </c>
      <c r="G47" s="122">
        <v>0</v>
      </c>
      <c r="H47" s="3">
        <v>0</v>
      </c>
      <c r="I47" s="54">
        <v>0</v>
      </c>
      <c r="J47" s="66">
        <f>((ARTICULOS_VENEZOLANO[[#This Row],[P. Compra]]*(1+ARTICULOS_VENEZOLANO[[#This Row],[IVA]]))/ARTICULOS_VENEZOLANO[[#This Row],[UnidFact]])+ARTICULOS_VENEZOLANO[[#This Row],[Flete]]</f>
        <v>1230</v>
      </c>
      <c r="K47">
        <v>30</v>
      </c>
      <c r="L47" s="39">
        <f t="shared" si="3"/>
        <v>1800</v>
      </c>
      <c r="M47" s="125">
        <f>MROUND((ARTICULOS_VENEZOLANO[[#This Row],[Precio]]/0.6),50)</f>
        <v>3000</v>
      </c>
      <c r="N47" t="s">
        <v>61</v>
      </c>
      <c r="O47" t="s">
        <v>42</v>
      </c>
      <c r="P47" t="s">
        <v>52</v>
      </c>
      <c r="Q47" t="s">
        <v>8691</v>
      </c>
      <c r="R47" t="s">
        <v>8692</v>
      </c>
      <c r="S47">
        <v>1</v>
      </c>
      <c r="T47" t="s">
        <v>8693</v>
      </c>
      <c r="U47">
        <v>2</v>
      </c>
      <c r="V47" s="3">
        <f>ARTICULOS_VENEZOLANO[[#This Row],[Bulto]]+ARTICULOS_VENEZOLANO[[#This Row],[Minimo]]</f>
        <v>12</v>
      </c>
      <c r="W47" s="55">
        <v>5</v>
      </c>
      <c r="X47">
        <f>IF(ARTICULOS_VENEZOLANO[[#This Row],[Stock]]&lt;ARTICULOS_VENEZOLANO[[#This Row],[Minimo]],ARTICULOS_VENEZOLANO[[#This Row],[Maximo]]-ARTICULOS_VENEZOLANO[[#This Row],[Stock]],0)</f>
        <v>0</v>
      </c>
      <c r="Y47">
        <f>MROUND(ARTICULOS_VENEZOLANO[[#This Row],[Pedido Unidad]]/ARTICULOS_VENEZOLANO[[#This Row],[Bulto]],1)</f>
        <v>0</v>
      </c>
      <c r="Z47">
        <v>10</v>
      </c>
      <c r="AA47" s="54">
        <v>1</v>
      </c>
      <c r="AB47" s="80">
        <f>ARTICULOS_VENEZOLANO[[#This Row],[Costo]]*ARTICULOS_VENEZOLANO[[#This Row],[Bulto]]*ARTICULOS_VENEZOLANO[[#This Row],[Pedido Bultos]]</f>
        <v>0</v>
      </c>
      <c r="AE47"/>
      <c r="AF47"/>
      <c r="AH47" s="2" t="str">
        <f>IF(AND(ARTICULOS_VENEZOLANO[[#This Row],[FechaVenc]]=0,ARTICULOS_VENEZOLANO[[#This Row],[DiasVenc]]=0),"",ARTICULOS_VENEZOLANO[[#This Row],[FechaVenc]]-ARTICULOS_VENEZOLANO[[#This Row],[DiasVenc]])</f>
        <v/>
      </c>
      <c r="AO47" t="s">
        <v>8689</v>
      </c>
    </row>
    <row r="48" spans="1:41" x14ac:dyDescent="0.25">
      <c r="A48" s="24" t="s">
        <v>11468</v>
      </c>
      <c r="C48" t="str">
        <f t="shared" si="2"/>
        <v>VEN5095</v>
      </c>
      <c r="D48" s="30" t="s">
        <v>8693</v>
      </c>
      <c r="E48" s="24" t="s">
        <v>11470</v>
      </c>
      <c r="F48" s="61">
        <v>3400</v>
      </c>
      <c r="G48" s="122">
        <v>0</v>
      </c>
      <c r="H48" s="3">
        <v>0</v>
      </c>
      <c r="I48" s="54">
        <v>0</v>
      </c>
      <c r="J48" s="66">
        <f>((ARTICULOS_VENEZOLANO[[#This Row],[P. Compra]]*(1+ARTICULOS_VENEZOLANO[[#This Row],[IVA]]))/ARTICULOS_VENEZOLANO[[#This Row],[UnidFact]])+ARTICULOS_VENEZOLANO[[#This Row],[Flete]]</f>
        <v>3400</v>
      </c>
      <c r="K48">
        <v>30</v>
      </c>
      <c r="L48" s="39">
        <f t="shared" si="3"/>
        <v>4900</v>
      </c>
      <c r="M48" s="125">
        <f>MROUND((ARTICULOS_VENEZOLANO[[#This Row],[Precio]]/0.6),50)</f>
        <v>8150</v>
      </c>
      <c r="N48" t="s">
        <v>61</v>
      </c>
      <c r="O48" t="s">
        <v>42</v>
      </c>
      <c r="P48" t="s">
        <v>43</v>
      </c>
      <c r="Q48" s="30" t="s">
        <v>11763</v>
      </c>
      <c r="R48" s="30" t="s">
        <v>8692</v>
      </c>
      <c r="S48">
        <v>1</v>
      </c>
      <c r="T48" t="s">
        <v>8693</v>
      </c>
      <c r="U48">
        <v>1</v>
      </c>
      <c r="V48" s="23">
        <f>ARTICULOS_VENEZOLANO[[#This Row],[Bulto]]+ARTICULOS_VENEZOLANO[[#This Row],[Minimo]]</f>
        <v>4</v>
      </c>
      <c r="W48" s="55">
        <v>2</v>
      </c>
      <c r="X48">
        <f>IF(ARTICULOS_VENEZOLANO[[#This Row],[Stock]]&lt;ARTICULOS_VENEZOLANO[[#This Row],[Minimo]],ARTICULOS_VENEZOLANO[[#This Row],[Maximo]]-ARTICULOS_VENEZOLANO[[#This Row],[Stock]],0)</f>
        <v>0</v>
      </c>
      <c r="Y48">
        <f>MROUND(ARTICULOS_VENEZOLANO[[#This Row],[Pedido Unidad]]/ARTICULOS_VENEZOLANO[[#This Row],[Bulto]],1)</f>
        <v>0</v>
      </c>
      <c r="Z48">
        <v>3</v>
      </c>
      <c r="AA48" s="54">
        <v>1</v>
      </c>
      <c r="AB48" s="80">
        <f>ARTICULOS_VENEZOLANO[[#This Row],[Costo]]*ARTICULOS_VENEZOLANO[[#This Row],[Bulto]]*ARTICULOS_VENEZOLANO[[#This Row],[Pedido Bultos]]</f>
        <v>0</v>
      </c>
      <c r="AE48"/>
      <c r="AF48"/>
      <c r="AH48" s="2" t="str">
        <f>IF(AND(ARTICULOS_VENEZOLANO[[#This Row],[FechaVenc]]=0,ARTICULOS_VENEZOLANO[[#This Row],[DiasVenc]]=0),"",ARTICULOS_VENEZOLANO[[#This Row],[FechaVenc]]-ARTICULOS_VENEZOLANO[[#This Row],[DiasVenc]])</f>
        <v/>
      </c>
      <c r="AO48" t="s">
        <v>8689</v>
      </c>
    </row>
    <row r="49" spans="1:41" ht="15" customHeight="1" x14ac:dyDescent="0.25">
      <c r="A49" s="24" t="s">
        <v>11471</v>
      </c>
      <c r="C49" t="str">
        <f t="shared" si="2"/>
        <v>VEN5096</v>
      </c>
      <c r="D49" s="30" t="s">
        <v>8693</v>
      </c>
      <c r="E49" s="24" t="s">
        <v>11473</v>
      </c>
      <c r="F49" s="61">
        <v>2500</v>
      </c>
      <c r="G49" s="122">
        <v>0</v>
      </c>
      <c r="H49" s="3">
        <v>0</v>
      </c>
      <c r="I49" s="54">
        <v>0</v>
      </c>
      <c r="J49" s="66">
        <f>((ARTICULOS_VENEZOLANO[[#This Row],[P. Compra]]*(1+ARTICULOS_VENEZOLANO[[#This Row],[IVA]]))/ARTICULOS_VENEZOLANO[[#This Row],[UnidFact]])+ARTICULOS_VENEZOLANO[[#This Row],[Flete]]</f>
        <v>2500</v>
      </c>
      <c r="K49">
        <v>30</v>
      </c>
      <c r="L49" s="39">
        <f t="shared" si="3"/>
        <v>3600</v>
      </c>
      <c r="M49" s="125">
        <f>MROUND((ARTICULOS_VENEZOLANO[[#This Row],[Precio]]/0.6),50)</f>
        <v>6000</v>
      </c>
      <c r="N49" t="s">
        <v>61</v>
      </c>
      <c r="O49" t="s">
        <v>42</v>
      </c>
      <c r="P49" t="s">
        <v>43</v>
      </c>
      <c r="Q49" s="30" t="s">
        <v>11763</v>
      </c>
      <c r="R49" s="30" t="s">
        <v>8692</v>
      </c>
      <c r="S49">
        <v>1</v>
      </c>
      <c r="T49" t="s">
        <v>8693</v>
      </c>
      <c r="U49">
        <v>1</v>
      </c>
      <c r="V49" s="23">
        <f>ARTICULOS_VENEZOLANO[[#This Row],[Bulto]]+ARTICULOS_VENEZOLANO[[#This Row],[Minimo]]</f>
        <v>4</v>
      </c>
      <c r="W49" s="55">
        <v>2</v>
      </c>
      <c r="X49">
        <f>IF(ARTICULOS_VENEZOLANO[[#This Row],[Stock]]&lt;ARTICULOS_VENEZOLANO[[#This Row],[Minimo]],ARTICULOS_VENEZOLANO[[#This Row],[Maximo]]-ARTICULOS_VENEZOLANO[[#This Row],[Stock]],0)</f>
        <v>0</v>
      </c>
      <c r="Y49">
        <f>MROUND(ARTICULOS_VENEZOLANO[[#This Row],[Pedido Unidad]]/ARTICULOS_VENEZOLANO[[#This Row],[Bulto]],1)</f>
        <v>0</v>
      </c>
      <c r="Z49">
        <v>3</v>
      </c>
      <c r="AA49" s="54">
        <v>1</v>
      </c>
      <c r="AB49" s="80">
        <f>ARTICULOS_VENEZOLANO[[#This Row],[Costo]]*ARTICULOS_VENEZOLANO[[#This Row],[Bulto]]*ARTICULOS_VENEZOLANO[[#This Row],[Pedido Bultos]]</f>
        <v>0</v>
      </c>
      <c r="AE49"/>
      <c r="AF49"/>
      <c r="AH49" s="2" t="str">
        <f>IF(AND(ARTICULOS_VENEZOLANO[[#This Row],[FechaVenc]]=0,ARTICULOS_VENEZOLANO[[#This Row],[DiasVenc]]=0),"",ARTICULOS_VENEZOLANO[[#This Row],[FechaVenc]]-ARTICULOS_VENEZOLANO[[#This Row],[DiasVenc]])</f>
        <v/>
      </c>
      <c r="AO49" t="s">
        <v>8689</v>
      </c>
    </row>
    <row r="50" spans="1:41" x14ac:dyDescent="0.25">
      <c r="A50" s="24" t="s">
        <v>11472</v>
      </c>
      <c r="C50" t="str">
        <f t="shared" si="2"/>
        <v>VEN5097</v>
      </c>
      <c r="D50" s="30" t="s">
        <v>8693</v>
      </c>
      <c r="E50" s="24" t="s">
        <v>11474</v>
      </c>
      <c r="F50" s="61">
        <v>3300</v>
      </c>
      <c r="G50" s="122">
        <v>0</v>
      </c>
      <c r="H50" s="3">
        <v>0</v>
      </c>
      <c r="I50" s="54">
        <v>0</v>
      </c>
      <c r="J50" s="66">
        <f>((ARTICULOS_VENEZOLANO[[#This Row],[P. Compra]]*(1+ARTICULOS_VENEZOLANO[[#This Row],[IVA]]))/ARTICULOS_VENEZOLANO[[#This Row],[UnidFact]])+ARTICULOS_VENEZOLANO[[#This Row],[Flete]]</f>
        <v>3300</v>
      </c>
      <c r="K50">
        <v>30</v>
      </c>
      <c r="L50" s="39">
        <f t="shared" si="3"/>
        <v>4700</v>
      </c>
      <c r="M50" s="125">
        <f>MROUND((ARTICULOS_VENEZOLANO[[#This Row],[Precio]]/0.6),50)</f>
        <v>7850</v>
      </c>
      <c r="N50" t="s">
        <v>61</v>
      </c>
      <c r="O50" t="s">
        <v>42</v>
      </c>
      <c r="P50" t="s">
        <v>43</v>
      </c>
      <c r="Q50" s="30" t="s">
        <v>11763</v>
      </c>
      <c r="R50" s="30" t="s">
        <v>8692</v>
      </c>
      <c r="S50">
        <v>1</v>
      </c>
      <c r="T50" t="s">
        <v>8693</v>
      </c>
      <c r="U50">
        <v>1</v>
      </c>
      <c r="V50" s="23">
        <f>ARTICULOS_VENEZOLANO[[#This Row],[Bulto]]+ARTICULOS_VENEZOLANO[[#This Row],[Minimo]]</f>
        <v>4</v>
      </c>
      <c r="W50" s="55">
        <v>3</v>
      </c>
      <c r="X50">
        <f>IF(ARTICULOS_VENEZOLANO[[#This Row],[Stock]]&lt;ARTICULOS_VENEZOLANO[[#This Row],[Minimo]],ARTICULOS_VENEZOLANO[[#This Row],[Maximo]]-ARTICULOS_VENEZOLANO[[#This Row],[Stock]],0)</f>
        <v>0</v>
      </c>
      <c r="Y50">
        <f>MROUND(ARTICULOS_VENEZOLANO[[#This Row],[Pedido Unidad]]/ARTICULOS_VENEZOLANO[[#This Row],[Bulto]],1)</f>
        <v>0</v>
      </c>
      <c r="Z50">
        <v>3</v>
      </c>
      <c r="AA50" s="54">
        <v>1</v>
      </c>
      <c r="AB50" s="80">
        <f>ARTICULOS_VENEZOLANO[[#This Row],[Costo]]*ARTICULOS_VENEZOLANO[[#This Row],[Bulto]]*ARTICULOS_VENEZOLANO[[#This Row],[Pedido Bultos]]</f>
        <v>0</v>
      </c>
      <c r="AE50"/>
      <c r="AF50"/>
      <c r="AH50" s="2" t="str">
        <f>IF(AND(ARTICULOS_VENEZOLANO[[#This Row],[FechaVenc]]=0,ARTICULOS_VENEZOLANO[[#This Row],[DiasVenc]]=0),"",ARTICULOS_VENEZOLANO[[#This Row],[FechaVenc]]-ARTICULOS_VENEZOLANO[[#This Row],[DiasVenc]])</f>
        <v/>
      </c>
      <c r="AO50" t="s">
        <v>8689</v>
      </c>
    </row>
    <row r="51" spans="1:41" x14ac:dyDescent="0.25">
      <c r="A51" s="24" t="s">
        <v>11469</v>
      </c>
      <c r="C51" t="str">
        <f t="shared" si="2"/>
        <v>VEN5098</v>
      </c>
      <c r="D51" s="30" t="s">
        <v>8693</v>
      </c>
      <c r="E51" s="24" t="s">
        <v>11475</v>
      </c>
      <c r="F51" s="61">
        <v>6700</v>
      </c>
      <c r="G51" s="122">
        <v>0</v>
      </c>
      <c r="H51" s="3">
        <v>0</v>
      </c>
      <c r="I51" s="54">
        <v>0</v>
      </c>
      <c r="J51" s="66">
        <f>((ARTICULOS_VENEZOLANO[[#This Row],[P. Compra]]*(1+ARTICULOS_VENEZOLANO[[#This Row],[IVA]]))/ARTICULOS_VENEZOLANO[[#This Row],[UnidFact]])+ARTICULOS_VENEZOLANO[[#This Row],[Flete]]</f>
        <v>6700</v>
      </c>
      <c r="K51">
        <v>30</v>
      </c>
      <c r="L51" s="39">
        <f t="shared" si="3"/>
        <v>9600</v>
      </c>
      <c r="M51" s="125">
        <f>MROUND((ARTICULOS_VENEZOLANO[[#This Row],[Precio]]/0.6),50)</f>
        <v>16000</v>
      </c>
      <c r="N51" t="s">
        <v>61</v>
      </c>
      <c r="O51" t="s">
        <v>42</v>
      </c>
      <c r="P51" t="s">
        <v>43</v>
      </c>
      <c r="Q51" s="30" t="s">
        <v>11763</v>
      </c>
      <c r="R51" s="30" t="s">
        <v>8692</v>
      </c>
      <c r="S51">
        <v>1</v>
      </c>
      <c r="T51" t="s">
        <v>8693</v>
      </c>
      <c r="U51">
        <v>1</v>
      </c>
      <c r="V51" s="23">
        <f>ARTICULOS_VENEZOLANO[[#This Row],[Bulto]]+ARTICULOS_VENEZOLANO[[#This Row],[Minimo]]</f>
        <v>4</v>
      </c>
      <c r="W51" s="55">
        <v>1</v>
      </c>
      <c r="X51">
        <f>IF(ARTICULOS_VENEZOLANO[[#This Row],[Stock]]&lt;ARTICULOS_VENEZOLANO[[#This Row],[Minimo]],ARTICULOS_VENEZOLANO[[#This Row],[Maximo]]-ARTICULOS_VENEZOLANO[[#This Row],[Stock]],0)</f>
        <v>0</v>
      </c>
      <c r="Y51">
        <f>MROUND(ARTICULOS_VENEZOLANO[[#This Row],[Pedido Unidad]]/ARTICULOS_VENEZOLANO[[#This Row],[Bulto]],1)</f>
        <v>0</v>
      </c>
      <c r="Z51">
        <v>3</v>
      </c>
      <c r="AA51" s="54">
        <v>1</v>
      </c>
      <c r="AB51" s="80">
        <f>ARTICULOS_VENEZOLANO[[#This Row],[Costo]]*ARTICULOS_VENEZOLANO[[#This Row],[Bulto]]*ARTICULOS_VENEZOLANO[[#This Row],[Pedido Bultos]]</f>
        <v>0</v>
      </c>
      <c r="AE51"/>
      <c r="AF51"/>
      <c r="AH51" s="2" t="str">
        <f>IF(AND(ARTICULOS_VENEZOLANO[[#This Row],[FechaVenc]]=0,ARTICULOS_VENEZOLANO[[#This Row],[DiasVenc]]=0),"",ARTICULOS_VENEZOLANO[[#This Row],[FechaVenc]]-ARTICULOS_VENEZOLANO[[#This Row],[DiasVenc]])</f>
        <v/>
      </c>
      <c r="AO51" t="s">
        <v>8689</v>
      </c>
    </row>
    <row r="52" spans="1:41" x14ac:dyDescent="0.25">
      <c r="A52" s="1" t="s">
        <v>8800</v>
      </c>
      <c r="C52" t="str">
        <f t="shared" si="2"/>
        <v>VEN5022</v>
      </c>
      <c r="D52" t="s">
        <v>8689</v>
      </c>
      <c r="E52" s="24" t="s">
        <v>8801</v>
      </c>
      <c r="F52" s="61">
        <v>13600</v>
      </c>
      <c r="G52" s="122">
        <v>0</v>
      </c>
      <c r="H52" s="3">
        <v>0</v>
      </c>
      <c r="I52" s="54">
        <v>0</v>
      </c>
      <c r="J52" s="66">
        <f>((ARTICULOS_VENEZOLANO[[#This Row],[P. Compra]]*(1+ARTICULOS_VENEZOLANO[[#This Row],[IVA]]))/ARTICULOS_VENEZOLANO[[#This Row],[UnidFact]])+ARTICULOS_VENEZOLANO[[#This Row],[Flete]]</f>
        <v>1133.3333333333333</v>
      </c>
      <c r="K52">
        <v>30</v>
      </c>
      <c r="L52" s="39">
        <f t="shared" si="3"/>
        <v>1600</v>
      </c>
      <c r="M52" s="125">
        <f>MROUND((ARTICULOS_VENEZOLANO[[#This Row],[Precio]]/0.6),50)</f>
        <v>2650</v>
      </c>
      <c r="N52" t="s">
        <v>61</v>
      </c>
      <c r="O52" t="s">
        <v>42</v>
      </c>
      <c r="P52" t="s">
        <v>40</v>
      </c>
      <c r="Q52" t="s">
        <v>8802</v>
      </c>
      <c r="R52" t="s">
        <v>8692</v>
      </c>
      <c r="S52">
        <v>1</v>
      </c>
      <c r="T52" t="s">
        <v>8693</v>
      </c>
      <c r="U52">
        <v>3</v>
      </c>
      <c r="V52" s="3">
        <f>ARTICULOS_VENEZOLANO[[#This Row],[Bulto]]+ARTICULOS_VENEZOLANO[[#This Row],[Minimo]]</f>
        <v>15</v>
      </c>
      <c r="W52" s="55">
        <v>0</v>
      </c>
      <c r="X52">
        <f>IF(ARTICULOS_VENEZOLANO[[#This Row],[Stock]]&lt;ARTICULOS_VENEZOLANO[[#This Row],[Minimo]],ARTICULOS_VENEZOLANO[[#This Row],[Maximo]]-ARTICULOS_VENEZOLANO[[#This Row],[Stock]],0)</f>
        <v>15</v>
      </c>
      <c r="Y52">
        <f>MROUND(ARTICULOS_VENEZOLANO[[#This Row],[Pedido Unidad]]/ARTICULOS_VENEZOLANO[[#This Row],[Bulto]],1)</f>
        <v>1</v>
      </c>
      <c r="Z52">
        <v>12</v>
      </c>
      <c r="AA52" s="54">
        <v>12</v>
      </c>
      <c r="AB52" s="80">
        <f>ARTICULOS_VENEZOLANO[[#This Row],[Costo]]*ARTICULOS_VENEZOLANO[[#This Row],[Bulto]]*ARTICULOS_VENEZOLANO[[#This Row],[Pedido Bultos]]</f>
        <v>13600</v>
      </c>
      <c r="AE52"/>
      <c r="AF52"/>
      <c r="AH52" s="2" t="str">
        <f>IF(AND(ARTICULOS_VENEZOLANO[[#This Row],[FechaVenc]]=0,ARTICULOS_VENEZOLANO[[#This Row],[DiasVenc]]=0),"",ARTICULOS_VENEZOLANO[[#This Row],[FechaVenc]]-ARTICULOS_VENEZOLANO[[#This Row],[DiasVenc]])</f>
        <v/>
      </c>
      <c r="AO52" t="s">
        <v>8689</v>
      </c>
    </row>
    <row r="53" spans="1:41" x14ac:dyDescent="0.25">
      <c r="A53" s="1" t="s">
        <v>8803</v>
      </c>
      <c r="C53" t="str">
        <f t="shared" si="2"/>
        <v>VEN5023</v>
      </c>
      <c r="D53" t="s">
        <v>8689</v>
      </c>
      <c r="E53" s="24" t="s">
        <v>8804</v>
      </c>
      <c r="F53" s="61">
        <f>F52</f>
        <v>13600</v>
      </c>
      <c r="G53" s="122">
        <v>0</v>
      </c>
      <c r="H53" s="3">
        <v>0</v>
      </c>
      <c r="I53" s="54">
        <v>0</v>
      </c>
      <c r="J53" s="66">
        <f>((ARTICULOS_VENEZOLANO[[#This Row],[P. Compra]]*(1+ARTICULOS_VENEZOLANO[[#This Row],[IVA]]))/ARTICULOS_VENEZOLANO[[#This Row],[UnidFact]])+ARTICULOS_VENEZOLANO[[#This Row],[Flete]]</f>
        <v>1133.3333333333333</v>
      </c>
      <c r="K53">
        <v>30</v>
      </c>
      <c r="L53" s="39">
        <f t="shared" si="3"/>
        <v>1600</v>
      </c>
      <c r="M53" s="125">
        <f>MROUND((ARTICULOS_VENEZOLANO[[#This Row],[Precio]]/0.6),50)</f>
        <v>2650</v>
      </c>
      <c r="N53" t="s">
        <v>61</v>
      </c>
      <c r="O53" t="s">
        <v>42</v>
      </c>
      <c r="P53" t="s">
        <v>40</v>
      </c>
      <c r="Q53" t="s">
        <v>8802</v>
      </c>
      <c r="R53" t="s">
        <v>8692</v>
      </c>
      <c r="S53">
        <v>1</v>
      </c>
      <c r="T53" t="s">
        <v>8693</v>
      </c>
      <c r="U53">
        <v>3</v>
      </c>
      <c r="V53" s="3">
        <f>ARTICULOS_VENEZOLANO[[#This Row],[Bulto]]+ARTICULOS_VENEZOLANO[[#This Row],[Minimo]]</f>
        <v>15</v>
      </c>
      <c r="W53" s="55">
        <v>11</v>
      </c>
      <c r="X53">
        <f>IF(ARTICULOS_VENEZOLANO[[#This Row],[Stock]]&lt;ARTICULOS_VENEZOLANO[[#This Row],[Minimo]],ARTICULOS_VENEZOLANO[[#This Row],[Maximo]]-ARTICULOS_VENEZOLANO[[#This Row],[Stock]],0)</f>
        <v>0</v>
      </c>
      <c r="Y53">
        <f>MROUND(ARTICULOS_VENEZOLANO[[#This Row],[Pedido Unidad]]/ARTICULOS_VENEZOLANO[[#This Row],[Bulto]],1)</f>
        <v>0</v>
      </c>
      <c r="Z53">
        <v>12</v>
      </c>
      <c r="AA53" s="54">
        <v>12</v>
      </c>
      <c r="AB53" s="80">
        <f>ARTICULOS_VENEZOLANO[[#This Row],[Costo]]*ARTICULOS_VENEZOLANO[[#This Row],[Bulto]]*ARTICULOS_VENEZOLANO[[#This Row],[Pedido Bultos]]</f>
        <v>0</v>
      </c>
      <c r="AE53"/>
      <c r="AF53"/>
      <c r="AH53" s="2" t="str">
        <f>IF(AND(ARTICULOS_VENEZOLANO[[#This Row],[FechaVenc]]=0,ARTICULOS_VENEZOLANO[[#This Row],[DiasVenc]]=0),"",ARTICULOS_VENEZOLANO[[#This Row],[FechaVenc]]-ARTICULOS_VENEZOLANO[[#This Row],[DiasVenc]])</f>
        <v/>
      </c>
      <c r="AO53" t="s">
        <v>8689</v>
      </c>
    </row>
    <row r="54" spans="1:41" x14ac:dyDescent="0.25">
      <c r="A54" s="1" t="s">
        <v>8805</v>
      </c>
      <c r="C54" t="str">
        <f t="shared" si="2"/>
        <v>VEN73002712</v>
      </c>
      <c r="D54" t="s">
        <v>8689</v>
      </c>
      <c r="E54" s="24" t="s">
        <v>8806</v>
      </c>
      <c r="F54" s="61">
        <v>14760</v>
      </c>
      <c r="G54" s="122">
        <v>0</v>
      </c>
      <c r="H54" s="3">
        <v>0</v>
      </c>
      <c r="I54" s="54">
        <v>0</v>
      </c>
      <c r="J54" s="66">
        <f>((ARTICULOS_VENEZOLANO[[#This Row],[P. Compra]]*(1+ARTICULOS_VENEZOLANO[[#This Row],[IVA]]))/ARTICULOS_VENEZOLANO[[#This Row],[UnidFact]])+ARTICULOS_VENEZOLANO[[#This Row],[Flete]]</f>
        <v>1230</v>
      </c>
      <c r="K54">
        <v>30</v>
      </c>
      <c r="L54" s="39">
        <f t="shared" si="3"/>
        <v>1800</v>
      </c>
      <c r="M54" s="125">
        <f>MROUND((ARTICULOS_VENEZOLANO[[#This Row],[Precio]]/0.6),50)</f>
        <v>3000</v>
      </c>
      <c r="N54" t="s">
        <v>35</v>
      </c>
      <c r="O54" t="s">
        <v>42</v>
      </c>
      <c r="P54" t="s">
        <v>100</v>
      </c>
      <c r="Q54" t="s">
        <v>8807</v>
      </c>
      <c r="R54" t="s">
        <v>8692</v>
      </c>
      <c r="S54">
        <v>1</v>
      </c>
      <c r="T54" t="s">
        <v>8693</v>
      </c>
      <c r="U54">
        <v>3</v>
      </c>
      <c r="V54" s="3">
        <f>ARTICULOS_VENEZOLANO[[#This Row],[Bulto]]+ARTICULOS_VENEZOLANO[[#This Row],[Minimo]]</f>
        <v>15</v>
      </c>
      <c r="W54" s="55">
        <v>1</v>
      </c>
      <c r="X54">
        <f>IF(ARTICULOS_VENEZOLANO[[#This Row],[Stock]]&lt;ARTICULOS_VENEZOLANO[[#This Row],[Minimo]],ARTICULOS_VENEZOLANO[[#This Row],[Maximo]]-ARTICULOS_VENEZOLANO[[#This Row],[Stock]],0)</f>
        <v>14</v>
      </c>
      <c r="Y54">
        <f>MROUND(ARTICULOS_VENEZOLANO[[#This Row],[Pedido Unidad]]/ARTICULOS_VENEZOLANO[[#This Row],[Bulto]],1)</f>
        <v>1</v>
      </c>
      <c r="Z54">
        <v>12</v>
      </c>
      <c r="AA54" s="54">
        <v>12</v>
      </c>
      <c r="AB54" s="80">
        <f>ARTICULOS_VENEZOLANO[[#This Row],[Costo]]*ARTICULOS_VENEZOLANO[[#This Row],[Bulto]]*ARTICULOS_VENEZOLANO[[#This Row],[Pedido Bultos]]</f>
        <v>14760</v>
      </c>
      <c r="AE54"/>
      <c r="AF54"/>
      <c r="AH54" s="2" t="str">
        <f>IF(AND(ARTICULOS_VENEZOLANO[[#This Row],[FechaVenc]]=0,ARTICULOS_VENEZOLANO[[#This Row],[DiasVenc]]=0),"",ARTICULOS_VENEZOLANO[[#This Row],[FechaVenc]]-ARTICULOS_VENEZOLANO[[#This Row],[DiasVenc]])</f>
        <v/>
      </c>
      <c r="AO54" t="s">
        <v>8689</v>
      </c>
    </row>
    <row r="55" spans="1:41" x14ac:dyDescent="0.25">
      <c r="A55" s="1" t="s">
        <v>8808</v>
      </c>
      <c r="C55" t="str">
        <f t="shared" si="2"/>
        <v>VEN73002941</v>
      </c>
      <c r="D55" t="s">
        <v>8689</v>
      </c>
      <c r="E55" s="24" t="s">
        <v>8809</v>
      </c>
      <c r="F55" s="61">
        <v>12000</v>
      </c>
      <c r="G55" s="122">
        <v>0</v>
      </c>
      <c r="H55" s="3">
        <v>0</v>
      </c>
      <c r="I55" s="54">
        <v>0</v>
      </c>
      <c r="J55" s="66">
        <f>((ARTICULOS_VENEZOLANO[[#This Row],[P. Compra]]*(1+ARTICULOS_VENEZOLANO[[#This Row],[IVA]]))/ARTICULOS_VENEZOLANO[[#This Row],[UnidFact]])+ARTICULOS_VENEZOLANO[[#This Row],[Flete]]</f>
        <v>1000</v>
      </c>
      <c r="K55">
        <v>30</v>
      </c>
      <c r="L55" s="39">
        <f t="shared" si="3"/>
        <v>1400</v>
      </c>
      <c r="M55" s="125">
        <f>MROUND((ARTICULOS_VENEZOLANO[[#This Row],[Precio]]/0.6),50)</f>
        <v>2350</v>
      </c>
      <c r="N55" t="s">
        <v>35</v>
      </c>
      <c r="O55" t="s">
        <v>42</v>
      </c>
      <c r="P55" t="s">
        <v>100</v>
      </c>
      <c r="Q55" t="s">
        <v>8807</v>
      </c>
      <c r="R55" t="s">
        <v>8692</v>
      </c>
      <c r="S55">
        <v>1</v>
      </c>
      <c r="T55" t="s">
        <v>8693</v>
      </c>
      <c r="U55">
        <v>3</v>
      </c>
      <c r="V55" s="3">
        <f>ARTICULOS_VENEZOLANO[[#This Row],[Bulto]]+ARTICULOS_VENEZOLANO[[#This Row],[Minimo]]</f>
        <v>15</v>
      </c>
      <c r="W55" s="55">
        <f>10+27</f>
        <v>37</v>
      </c>
      <c r="X55">
        <f>IF(ARTICULOS_VENEZOLANO[[#This Row],[Stock]]&lt;ARTICULOS_VENEZOLANO[[#This Row],[Minimo]],ARTICULOS_VENEZOLANO[[#This Row],[Maximo]]-ARTICULOS_VENEZOLANO[[#This Row],[Stock]],0)</f>
        <v>0</v>
      </c>
      <c r="Y55">
        <f>MROUND(ARTICULOS_VENEZOLANO[[#This Row],[Pedido Unidad]]/ARTICULOS_VENEZOLANO[[#This Row],[Bulto]],1)</f>
        <v>0</v>
      </c>
      <c r="Z55">
        <v>12</v>
      </c>
      <c r="AA55" s="54">
        <v>12</v>
      </c>
      <c r="AB55" s="80">
        <f>ARTICULOS_VENEZOLANO[[#This Row],[Costo]]*ARTICULOS_VENEZOLANO[[#This Row],[Bulto]]*ARTICULOS_VENEZOLANO[[#This Row],[Pedido Bultos]]</f>
        <v>0</v>
      </c>
      <c r="AE55"/>
      <c r="AF55"/>
      <c r="AH55" s="2" t="str">
        <f>IF(AND(ARTICULOS_VENEZOLANO[[#This Row],[FechaVenc]]=0,ARTICULOS_VENEZOLANO[[#This Row],[DiasVenc]]=0),"",ARTICULOS_VENEZOLANO[[#This Row],[FechaVenc]]-ARTICULOS_VENEZOLANO[[#This Row],[DiasVenc]])</f>
        <v/>
      </c>
      <c r="AO55" t="s">
        <v>8689</v>
      </c>
    </row>
    <row r="56" spans="1:41" x14ac:dyDescent="0.25">
      <c r="A56" s="1" t="s">
        <v>8810</v>
      </c>
      <c r="C56" t="str">
        <f t="shared" si="2"/>
        <v>VEN73003184</v>
      </c>
      <c r="D56" t="s">
        <v>8689</v>
      </c>
      <c r="E56" s="24" t="s">
        <v>8811</v>
      </c>
      <c r="F56" s="61">
        <v>9840</v>
      </c>
      <c r="G56" s="122">
        <v>0</v>
      </c>
      <c r="H56" s="3">
        <v>0</v>
      </c>
      <c r="I56" s="54">
        <v>0</v>
      </c>
      <c r="J56" s="66">
        <f>((ARTICULOS_VENEZOLANO[[#This Row],[P. Compra]]*(1+ARTICULOS_VENEZOLANO[[#This Row],[IVA]]))/ARTICULOS_VENEZOLANO[[#This Row],[UnidFact]])+ARTICULOS_VENEZOLANO[[#This Row],[Flete]]</f>
        <v>820</v>
      </c>
      <c r="K56">
        <v>30</v>
      </c>
      <c r="L56" s="39">
        <f t="shared" si="3"/>
        <v>1200</v>
      </c>
      <c r="M56" s="125">
        <f>MROUND((ARTICULOS_VENEZOLANO[[#This Row],[Precio]]/0.6),50)</f>
        <v>2000</v>
      </c>
      <c r="N56" t="s">
        <v>35</v>
      </c>
      <c r="O56" t="s">
        <v>42</v>
      </c>
      <c r="P56" t="s">
        <v>100</v>
      </c>
      <c r="Q56" t="s">
        <v>8807</v>
      </c>
      <c r="R56" t="s">
        <v>8692</v>
      </c>
      <c r="S56">
        <v>1</v>
      </c>
      <c r="T56" t="s">
        <v>8693</v>
      </c>
      <c r="U56">
        <v>3</v>
      </c>
      <c r="V56" s="3">
        <f>ARTICULOS_VENEZOLANO[[#This Row],[Bulto]]+ARTICULOS_VENEZOLANO[[#This Row],[Minimo]]</f>
        <v>15</v>
      </c>
      <c r="W56" s="55">
        <f>11+3</f>
        <v>14</v>
      </c>
      <c r="X56">
        <f>IF(ARTICULOS_VENEZOLANO[[#This Row],[Stock]]&lt;ARTICULOS_VENEZOLANO[[#This Row],[Minimo]],ARTICULOS_VENEZOLANO[[#This Row],[Maximo]]-ARTICULOS_VENEZOLANO[[#This Row],[Stock]],0)</f>
        <v>0</v>
      </c>
      <c r="Y56">
        <f>MROUND(ARTICULOS_VENEZOLANO[[#This Row],[Pedido Unidad]]/ARTICULOS_VENEZOLANO[[#This Row],[Bulto]],1)</f>
        <v>0</v>
      </c>
      <c r="Z56">
        <v>12</v>
      </c>
      <c r="AA56" s="54">
        <v>12</v>
      </c>
      <c r="AB56" s="80">
        <f>ARTICULOS_VENEZOLANO[[#This Row],[Costo]]*ARTICULOS_VENEZOLANO[[#This Row],[Bulto]]*ARTICULOS_VENEZOLANO[[#This Row],[Pedido Bultos]]</f>
        <v>0</v>
      </c>
      <c r="AE56"/>
      <c r="AF56"/>
      <c r="AH56" s="2" t="str">
        <f>IF(AND(ARTICULOS_VENEZOLANO[[#This Row],[FechaVenc]]=0,ARTICULOS_VENEZOLANO[[#This Row],[DiasVenc]]=0),"",ARTICULOS_VENEZOLANO[[#This Row],[FechaVenc]]-ARTICULOS_VENEZOLANO[[#This Row],[DiasVenc]])</f>
        <v/>
      </c>
      <c r="AO56" t="s">
        <v>8689</v>
      </c>
    </row>
    <row r="57" spans="1:41" x14ac:dyDescent="0.25">
      <c r="A57" s="1" t="s">
        <v>12072</v>
      </c>
      <c r="C57" t="str">
        <f t="shared" si="2"/>
        <v>VEN5013</v>
      </c>
      <c r="D57" t="s">
        <v>8689</v>
      </c>
      <c r="E57" s="24" t="s">
        <v>12073</v>
      </c>
      <c r="F57" s="61">
        <v>440</v>
      </c>
      <c r="G57" s="122">
        <v>0</v>
      </c>
      <c r="H57" s="3">
        <v>0</v>
      </c>
      <c r="I57" s="54">
        <v>0</v>
      </c>
      <c r="J57" s="66">
        <f>((ARTICULOS_VENEZOLANO[[#This Row],[P. Compra]]*(1+ARTICULOS_VENEZOLANO[[#This Row],[IVA]]))/ARTICULOS_VENEZOLANO[[#This Row],[UnidFact]])+ARTICULOS_VENEZOLANO[[#This Row],[Flete]]</f>
        <v>440</v>
      </c>
      <c r="K57">
        <v>30</v>
      </c>
      <c r="L57" s="39">
        <f t="shared" si="3"/>
        <v>600</v>
      </c>
      <c r="M57" s="125">
        <f>MROUND((ARTICULOS_VENEZOLANO[[#This Row],[Precio]]/0.6),50)</f>
        <v>1000</v>
      </c>
      <c r="N57" t="s">
        <v>61</v>
      </c>
      <c r="O57" t="s">
        <v>42</v>
      </c>
      <c r="P57" t="s">
        <v>60</v>
      </c>
      <c r="Q57" t="s">
        <v>8817</v>
      </c>
      <c r="R57" t="s">
        <v>8692</v>
      </c>
      <c r="S57">
        <v>1</v>
      </c>
      <c r="T57" t="s">
        <v>8693</v>
      </c>
      <c r="U57">
        <v>10</v>
      </c>
      <c r="V57" s="3">
        <f>ARTICULOS_VENEZOLANO[[#This Row],[Bulto]]+ARTICULOS_VENEZOLANO[[#This Row],[Minimo]]</f>
        <v>25</v>
      </c>
      <c r="W57" s="55">
        <v>5</v>
      </c>
      <c r="X57">
        <f>IF(ARTICULOS_VENEZOLANO[[#This Row],[Stock]]&lt;ARTICULOS_VENEZOLANO[[#This Row],[Minimo]],ARTICULOS_VENEZOLANO[[#This Row],[Maximo]]-ARTICULOS_VENEZOLANO[[#This Row],[Stock]],0)</f>
        <v>20</v>
      </c>
      <c r="Y57">
        <f>MROUND(ARTICULOS_VENEZOLANO[[#This Row],[Pedido Unidad]]/ARTICULOS_VENEZOLANO[[#This Row],[Bulto]],1)</f>
        <v>1</v>
      </c>
      <c r="Z57">
        <v>15</v>
      </c>
      <c r="AA57" s="54">
        <v>1</v>
      </c>
      <c r="AB57" s="80">
        <f>ARTICULOS_VENEZOLANO[[#This Row],[Costo]]*ARTICULOS_VENEZOLANO[[#This Row],[Bulto]]*ARTICULOS_VENEZOLANO[[#This Row],[Pedido Bultos]]</f>
        <v>6600</v>
      </c>
      <c r="AE57"/>
      <c r="AF57"/>
      <c r="AH57" s="2" t="str">
        <f>IF(AND(ARTICULOS_VENEZOLANO[[#This Row],[FechaVenc]]=0,ARTICULOS_VENEZOLANO[[#This Row],[DiasVenc]]=0),"",ARTICULOS_VENEZOLANO[[#This Row],[FechaVenc]]-ARTICULOS_VENEZOLANO[[#This Row],[DiasVenc]])</f>
        <v/>
      </c>
      <c r="AO57" t="s">
        <v>8689</v>
      </c>
    </row>
    <row r="58" spans="1:41" x14ac:dyDescent="0.25">
      <c r="A58" s="1" t="s">
        <v>12136</v>
      </c>
      <c r="C58" t="str">
        <f t="shared" ref="C58:C59" si="4">CONCATENATE(LEFT(O58,3),RIGHT(A58,8))</f>
        <v>VEN5020</v>
      </c>
      <c r="D58" t="s">
        <v>8689</v>
      </c>
      <c r="E58" s="24" t="s">
        <v>12138</v>
      </c>
      <c r="F58" s="61">
        <v>1710</v>
      </c>
      <c r="G58" s="122">
        <v>0</v>
      </c>
      <c r="H58" s="3">
        <v>0</v>
      </c>
      <c r="I58" s="54">
        <v>0</v>
      </c>
      <c r="J58" s="66">
        <f>((ARTICULOS_VENEZOLANO[[#This Row],[P. Compra]]*(1+ARTICULOS_VENEZOLANO[[#This Row],[IVA]]))/ARTICULOS_VENEZOLANO[[#This Row],[UnidFact]])+ARTICULOS_VENEZOLANO[[#This Row],[Flete]]</f>
        <v>1710</v>
      </c>
      <c r="K58">
        <v>30</v>
      </c>
      <c r="L58" s="39">
        <f t="shared" si="3"/>
        <v>2400</v>
      </c>
      <c r="M58" s="125">
        <f>MROUND((ARTICULOS_VENEZOLANO[[#This Row],[Precio]]/0.6),50)</f>
        <v>4000</v>
      </c>
      <c r="N58" t="s">
        <v>61</v>
      </c>
      <c r="O58" t="s">
        <v>42</v>
      </c>
      <c r="P58" t="s">
        <v>60</v>
      </c>
      <c r="Q58" t="s">
        <v>8817</v>
      </c>
      <c r="R58" t="s">
        <v>8692</v>
      </c>
      <c r="S58">
        <v>1</v>
      </c>
      <c r="T58" t="s">
        <v>8693</v>
      </c>
      <c r="U58">
        <v>10</v>
      </c>
      <c r="V58" s="3">
        <f>ARTICULOS_VENEZOLANO[[#This Row],[Bulto]]+ARTICULOS_VENEZOLANO[[#This Row],[Minimo]]</f>
        <v>25</v>
      </c>
      <c r="W58" s="55">
        <v>5</v>
      </c>
      <c r="X58">
        <f>IF(ARTICULOS_VENEZOLANO[[#This Row],[Stock]]&lt;ARTICULOS_VENEZOLANO[[#This Row],[Minimo]],ARTICULOS_VENEZOLANO[[#This Row],[Maximo]]-ARTICULOS_VENEZOLANO[[#This Row],[Stock]],0)</f>
        <v>20</v>
      </c>
      <c r="Y58">
        <f>MROUND(ARTICULOS_VENEZOLANO[[#This Row],[Pedido Unidad]]/ARTICULOS_VENEZOLANO[[#This Row],[Bulto]],1)</f>
        <v>1</v>
      </c>
      <c r="Z58">
        <v>15</v>
      </c>
      <c r="AA58" s="54">
        <v>1</v>
      </c>
      <c r="AB58" s="80">
        <f>ARTICULOS_VENEZOLANO[[#This Row],[Costo]]*ARTICULOS_VENEZOLANO[[#This Row],[Bulto]]*ARTICULOS_VENEZOLANO[[#This Row],[Pedido Bultos]]</f>
        <v>25650</v>
      </c>
      <c r="AE58"/>
      <c r="AF58"/>
      <c r="AH58" s="2" t="str">
        <f>IF(AND(ARTICULOS_VENEZOLANO[[#This Row],[FechaVenc]]=0,ARTICULOS_VENEZOLANO[[#This Row],[DiasVenc]]=0),"",ARTICULOS_VENEZOLANO[[#This Row],[FechaVenc]]-ARTICULOS_VENEZOLANO[[#This Row],[DiasVenc]])</f>
        <v/>
      </c>
      <c r="AO58" t="s">
        <v>8689</v>
      </c>
    </row>
    <row r="59" spans="1:41" x14ac:dyDescent="0.25">
      <c r="A59" s="1" t="s">
        <v>12137</v>
      </c>
      <c r="C59" t="str">
        <f t="shared" si="4"/>
        <v>VEN5021</v>
      </c>
      <c r="D59" t="s">
        <v>8689</v>
      </c>
      <c r="E59" s="24" t="s">
        <v>12139</v>
      </c>
      <c r="F59" s="61">
        <v>1750</v>
      </c>
      <c r="G59" s="122">
        <v>0</v>
      </c>
      <c r="H59" s="3">
        <v>0</v>
      </c>
      <c r="I59" s="54">
        <v>0</v>
      </c>
      <c r="J59" s="66">
        <f>((ARTICULOS_VENEZOLANO[[#This Row],[P. Compra]]*(1+ARTICULOS_VENEZOLANO[[#This Row],[IVA]]))/ARTICULOS_VENEZOLANO[[#This Row],[UnidFact]])+ARTICULOS_VENEZOLANO[[#This Row],[Flete]]</f>
        <v>1750</v>
      </c>
      <c r="K59">
        <v>30</v>
      </c>
      <c r="L59" s="39">
        <f t="shared" si="3"/>
        <v>2500</v>
      </c>
      <c r="M59" s="125">
        <f>MROUND((ARTICULOS_VENEZOLANO[[#This Row],[Precio]]/0.6),50)</f>
        <v>4150</v>
      </c>
      <c r="N59" t="s">
        <v>61</v>
      </c>
      <c r="O59" t="s">
        <v>42</v>
      </c>
      <c r="P59" t="s">
        <v>60</v>
      </c>
      <c r="Q59" t="s">
        <v>8817</v>
      </c>
      <c r="R59" t="s">
        <v>8692</v>
      </c>
      <c r="S59">
        <v>1</v>
      </c>
      <c r="T59" t="s">
        <v>8693</v>
      </c>
      <c r="U59">
        <v>10</v>
      </c>
      <c r="V59" s="3">
        <f>ARTICULOS_VENEZOLANO[[#This Row],[Bulto]]+ARTICULOS_VENEZOLANO[[#This Row],[Minimo]]</f>
        <v>25</v>
      </c>
      <c r="W59" s="55">
        <v>5</v>
      </c>
      <c r="X59">
        <f>IF(ARTICULOS_VENEZOLANO[[#This Row],[Stock]]&lt;ARTICULOS_VENEZOLANO[[#This Row],[Minimo]],ARTICULOS_VENEZOLANO[[#This Row],[Maximo]]-ARTICULOS_VENEZOLANO[[#This Row],[Stock]],0)</f>
        <v>20</v>
      </c>
      <c r="Y59">
        <f>MROUND(ARTICULOS_VENEZOLANO[[#This Row],[Pedido Unidad]]/ARTICULOS_VENEZOLANO[[#This Row],[Bulto]],1)</f>
        <v>1</v>
      </c>
      <c r="Z59">
        <v>15</v>
      </c>
      <c r="AA59" s="54">
        <v>1</v>
      </c>
      <c r="AB59" s="80">
        <f>ARTICULOS_VENEZOLANO[[#This Row],[Costo]]*ARTICULOS_VENEZOLANO[[#This Row],[Bulto]]*ARTICULOS_VENEZOLANO[[#This Row],[Pedido Bultos]]</f>
        <v>26250</v>
      </c>
      <c r="AE59"/>
      <c r="AF59"/>
      <c r="AH59" s="2" t="str">
        <f>IF(AND(ARTICULOS_VENEZOLANO[[#This Row],[FechaVenc]]=0,ARTICULOS_VENEZOLANO[[#This Row],[DiasVenc]]=0),"",ARTICULOS_VENEZOLANO[[#This Row],[FechaVenc]]-ARTICULOS_VENEZOLANO[[#This Row],[DiasVenc]])</f>
        <v/>
      </c>
      <c r="AO59" t="s">
        <v>8689</v>
      </c>
    </row>
    <row r="60" spans="1:41" x14ac:dyDescent="0.25">
      <c r="A60" s="1" t="s">
        <v>8815</v>
      </c>
      <c r="C60" t="str">
        <f t="shared" ref="C60:C87" si="5">CONCATENATE(LEFT(O60,3),RIGHT(A60,8))</f>
        <v>VEN94001288</v>
      </c>
      <c r="D60" t="s">
        <v>8689</v>
      </c>
      <c r="E60" s="24" t="s">
        <v>8816</v>
      </c>
      <c r="F60" s="61">
        <v>1000</v>
      </c>
      <c r="G60" s="122">
        <v>0</v>
      </c>
      <c r="H60" s="3">
        <v>0</v>
      </c>
      <c r="I60" s="54">
        <v>0</v>
      </c>
      <c r="J60" s="66">
        <f>((ARTICULOS_VENEZOLANO[[#This Row],[P. Compra]]*(1+ARTICULOS_VENEZOLANO[[#This Row],[IVA]]))/ARTICULOS_VENEZOLANO[[#This Row],[UnidFact]])+ARTICULOS_VENEZOLANO[[#This Row],[Flete]]</f>
        <v>1000</v>
      </c>
      <c r="K60">
        <v>30</v>
      </c>
      <c r="L60" s="39">
        <f t="shared" si="3"/>
        <v>1400</v>
      </c>
      <c r="M60" s="125">
        <f>MROUND((ARTICULOS_VENEZOLANO[[#This Row],[Precio]]/0.6),50)</f>
        <v>2350</v>
      </c>
      <c r="N60" t="s">
        <v>61</v>
      </c>
      <c r="O60" t="s">
        <v>42</v>
      </c>
      <c r="P60" t="s">
        <v>60</v>
      </c>
      <c r="Q60" t="s">
        <v>8817</v>
      </c>
      <c r="R60" t="s">
        <v>8692</v>
      </c>
      <c r="S60">
        <v>1</v>
      </c>
      <c r="T60" t="s">
        <v>8693</v>
      </c>
      <c r="U60">
        <v>2</v>
      </c>
      <c r="V60" s="3">
        <f>ARTICULOS_VENEZOLANO[[#This Row],[Bulto]]+ARTICULOS_VENEZOLANO[[#This Row],[Minimo]]</f>
        <v>8</v>
      </c>
      <c r="W60" s="55">
        <v>4</v>
      </c>
      <c r="X60">
        <f>IF(ARTICULOS_VENEZOLANO[[#This Row],[Stock]]&lt;ARTICULOS_VENEZOLANO[[#This Row],[Minimo]],ARTICULOS_VENEZOLANO[[#This Row],[Maximo]]-ARTICULOS_VENEZOLANO[[#This Row],[Stock]],0)</f>
        <v>0</v>
      </c>
      <c r="Y60">
        <f>MROUND(ARTICULOS_VENEZOLANO[[#This Row],[Pedido Unidad]]/ARTICULOS_VENEZOLANO[[#This Row],[Bulto]],1)</f>
        <v>0</v>
      </c>
      <c r="Z60">
        <v>6</v>
      </c>
      <c r="AA60" s="54">
        <v>1</v>
      </c>
      <c r="AB60" s="80">
        <f>ARTICULOS_VENEZOLANO[[#This Row],[Costo]]*ARTICULOS_VENEZOLANO[[#This Row],[Bulto]]*ARTICULOS_VENEZOLANO[[#This Row],[Pedido Bultos]]</f>
        <v>0</v>
      </c>
      <c r="AE60"/>
      <c r="AF60"/>
      <c r="AH60" s="2" t="str">
        <f>IF(AND(ARTICULOS_VENEZOLANO[[#This Row],[FechaVenc]]=0,ARTICULOS_VENEZOLANO[[#This Row],[DiasVenc]]=0),"",ARTICULOS_VENEZOLANO[[#This Row],[FechaVenc]]-ARTICULOS_VENEZOLANO[[#This Row],[DiasVenc]])</f>
        <v/>
      </c>
      <c r="AO60" t="s">
        <v>8689</v>
      </c>
    </row>
    <row r="61" spans="1:41" x14ac:dyDescent="0.25">
      <c r="A61" s="1" t="s">
        <v>8818</v>
      </c>
      <c r="C61" t="str">
        <f t="shared" si="5"/>
        <v>VEN5014</v>
      </c>
      <c r="D61" t="s">
        <v>8689</v>
      </c>
      <c r="E61" s="24" t="s">
        <v>8819</v>
      </c>
      <c r="F61" s="61">
        <v>1210</v>
      </c>
      <c r="G61" s="122">
        <v>0</v>
      </c>
      <c r="H61" s="3">
        <v>0</v>
      </c>
      <c r="I61" s="54">
        <v>0</v>
      </c>
      <c r="J61" s="66">
        <f>((ARTICULOS_VENEZOLANO[[#This Row],[P. Compra]]*(1+ARTICULOS_VENEZOLANO[[#This Row],[IVA]]))/ARTICULOS_VENEZOLANO[[#This Row],[UnidFact]])+ARTICULOS_VENEZOLANO[[#This Row],[Flete]]</f>
        <v>1210</v>
      </c>
      <c r="K61">
        <v>30</v>
      </c>
      <c r="L61" s="39">
        <f t="shared" si="3"/>
        <v>1700</v>
      </c>
      <c r="M61" s="125">
        <f>MROUND((ARTICULOS_VENEZOLANO[[#This Row],[Precio]]/0.6),50)</f>
        <v>2850</v>
      </c>
      <c r="N61" t="s">
        <v>61</v>
      </c>
      <c r="O61" t="s">
        <v>42</v>
      </c>
      <c r="P61" t="s">
        <v>102</v>
      </c>
      <c r="Q61" t="s">
        <v>8820</v>
      </c>
      <c r="R61" t="s">
        <v>8692</v>
      </c>
      <c r="S61">
        <v>1</v>
      </c>
      <c r="T61" t="s">
        <v>8693</v>
      </c>
      <c r="U61">
        <v>3</v>
      </c>
      <c r="V61" s="3">
        <f>ARTICULOS_VENEZOLANO[[#This Row],[Bulto]]+ARTICULOS_VENEZOLANO[[#This Row],[Minimo]]</f>
        <v>9</v>
      </c>
      <c r="W61" s="55">
        <v>0</v>
      </c>
      <c r="X61">
        <f>IF(ARTICULOS_VENEZOLANO[[#This Row],[Stock]]&lt;ARTICULOS_VENEZOLANO[[#This Row],[Minimo]],ARTICULOS_VENEZOLANO[[#This Row],[Maximo]]-ARTICULOS_VENEZOLANO[[#This Row],[Stock]],0)</f>
        <v>9</v>
      </c>
      <c r="Y61">
        <f>MROUND(ARTICULOS_VENEZOLANO[[#This Row],[Pedido Unidad]]/ARTICULOS_VENEZOLANO[[#This Row],[Bulto]],1)</f>
        <v>2</v>
      </c>
      <c r="Z61">
        <v>6</v>
      </c>
      <c r="AA61" s="54">
        <v>1</v>
      </c>
      <c r="AB61" s="80">
        <f>ARTICULOS_VENEZOLANO[[#This Row],[Costo]]*ARTICULOS_VENEZOLANO[[#This Row],[Bulto]]*ARTICULOS_VENEZOLANO[[#This Row],[Pedido Bultos]]</f>
        <v>14520</v>
      </c>
      <c r="AE61"/>
      <c r="AF61"/>
      <c r="AH61" s="2" t="str">
        <f>IF(AND(ARTICULOS_VENEZOLANO[[#This Row],[FechaVenc]]=0,ARTICULOS_VENEZOLANO[[#This Row],[DiasVenc]]=0),"",ARTICULOS_VENEZOLANO[[#This Row],[FechaVenc]]-ARTICULOS_VENEZOLANO[[#This Row],[DiasVenc]])</f>
        <v/>
      </c>
      <c r="AO61" t="s">
        <v>8689</v>
      </c>
    </row>
    <row r="62" spans="1:41" x14ac:dyDescent="0.25">
      <c r="A62" s="1" t="s">
        <v>8821</v>
      </c>
      <c r="C62" t="str">
        <f t="shared" si="5"/>
        <v>VEN5015</v>
      </c>
      <c r="D62" t="s">
        <v>8689</v>
      </c>
      <c r="E62" s="24" t="s">
        <v>8822</v>
      </c>
      <c r="F62" s="61">
        <v>1210</v>
      </c>
      <c r="G62" s="122">
        <v>0</v>
      </c>
      <c r="H62" s="3">
        <v>0</v>
      </c>
      <c r="I62" s="54">
        <v>0</v>
      </c>
      <c r="J62" s="66">
        <f>((ARTICULOS_VENEZOLANO[[#This Row],[P. Compra]]*(1+ARTICULOS_VENEZOLANO[[#This Row],[IVA]]))/ARTICULOS_VENEZOLANO[[#This Row],[UnidFact]])+ARTICULOS_VENEZOLANO[[#This Row],[Flete]]</f>
        <v>1210</v>
      </c>
      <c r="K62">
        <v>30</v>
      </c>
      <c r="L62" s="39">
        <f t="shared" si="3"/>
        <v>1700</v>
      </c>
      <c r="M62" s="125">
        <f>MROUND((ARTICULOS_VENEZOLANO[[#This Row],[Precio]]/0.6),50)</f>
        <v>2850</v>
      </c>
      <c r="N62" t="s">
        <v>61</v>
      </c>
      <c r="O62" t="s">
        <v>42</v>
      </c>
      <c r="P62" t="s">
        <v>102</v>
      </c>
      <c r="Q62" t="s">
        <v>8820</v>
      </c>
      <c r="R62" t="s">
        <v>8692</v>
      </c>
      <c r="S62">
        <v>1</v>
      </c>
      <c r="T62" t="s">
        <v>8693</v>
      </c>
      <c r="U62">
        <v>3</v>
      </c>
      <c r="V62" s="3">
        <f>ARTICULOS_VENEZOLANO[[#This Row],[Bulto]]+ARTICULOS_VENEZOLANO[[#This Row],[Minimo]]</f>
        <v>9</v>
      </c>
      <c r="W62" s="55">
        <v>0</v>
      </c>
      <c r="X62">
        <f>IF(ARTICULOS_VENEZOLANO[[#This Row],[Stock]]&lt;ARTICULOS_VENEZOLANO[[#This Row],[Minimo]],ARTICULOS_VENEZOLANO[[#This Row],[Maximo]]-ARTICULOS_VENEZOLANO[[#This Row],[Stock]],0)</f>
        <v>9</v>
      </c>
      <c r="Y62">
        <f>MROUND(ARTICULOS_VENEZOLANO[[#This Row],[Pedido Unidad]]/ARTICULOS_VENEZOLANO[[#This Row],[Bulto]],1)</f>
        <v>2</v>
      </c>
      <c r="Z62">
        <v>6</v>
      </c>
      <c r="AA62" s="54">
        <v>1</v>
      </c>
      <c r="AB62" s="80">
        <f>ARTICULOS_VENEZOLANO[[#This Row],[Costo]]*ARTICULOS_VENEZOLANO[[#This Row],[Bulto]]*ARTICULOS_VENEZOLANO[[#This Row],[Pedido Bultos]]</f>
        <v>14520</v>
      </c>
      <c r="AE62"/>
      <c r="AF62"/>
      <c r="AH62" s="2" t="str">
        <f>IF(AND(ARTICULOS_VENEZOLANO[[#This Row],[FechaVenc]]=0,ARTICULOS_VENEZOLANO[[#This Row],[DiasVenc]]=0),"",ARTICULOS_VENEZOLANO[[#This Row],[FechaVenc]]-ARTICULOS_VENEZOLANO[[#This Row],[DiasVenc]])</f>
        <v/>
      </c>
      <c r="AO62" t="s">
        <v>8689</v>
      </c>
    </row>
    <row r="63" spans="1:41" x14ac:dyDescent="0.25">
      <c r="A63" s="1" t="s">
        <v>8823</v>
      </c>
      <c r="C63" t="str">
        <f t="shared" si="5"/>
        <v>VEN5042</v>
      </c>
      <c r="D63" t="s">
        <v>8689</v>
      </c>
      <c r="E63" s="24" t="s">
        <v>8824</v>
      </c>
      <c r="F63" s="61">
        <v>7320</v>
      </c>
      <c r="G63" s="122">
        <v>0</v>
      </c>
      <c r="H63" s="3">
        <v>0</v>
      </c>
      <c r="I63" s="54">
        <v>0</v>
      </c>
      <c r="J63" s="66">
        <f>((ARTICULOS_VENEZOLANO[[#This Row],[P. Compra]]*(1+ARTICULOS_VENEZOLANO[[#This Row],[IVA]]))/ARTICULOS_VENEZOLANO[[#This Row],[UnidFact]])+ARTICULOS_VENEZOLANO[[#This Row],[Flete]]</f>
        <v>610</v>
      </c>
      <c r="K63">
        <v>30</v>
      </c>
      <c r="L63" s="39">
        <f t="shared" si="3"/>
        <v>900</v>
      </c>
      <c r="M63" s="125">
        <f>MROUND((ARTICULOS_VENEZOLANO[[#This Row],[Precio]]/0.6),50)</f>
        <v>1500</v>
      </c>
      <c r="N63" t="s">
        <v>61</v>
      </c>
      <c r="O63" t="s">
        <v>42</v>
      </c>
      <c r="P63" t="s">
        <v>56</v>
      </c>
      <c r="Q63" t="s">
        <v>8691</v>
      </c>
      <c r="R63" t="s">
        <v>8692</v>
      </c>
      <c r="S63">
        <v>1</v>
      </c>
      <c r="T63" t="s">
        <v>8693</v>
      </c>
      <c r="U63">
        <v>12</v>
      </c>
      <c r="V63" s="3">
        <f>ARTICULOS_VENEZOLANO[[#This Row],[Bulto]]+ARTICULOS_VENEZOLANO[[#This Row],[Minimo]]</f>
        <v>24</v>
      </c>
      <c r="W63" s="55">
        <v>12</v>
      </c>
      <c r="X63">
        <f>IF(ARTICULOS_VENEZOLANO[[#This Row],[Stock]]&lt;ARTICULOS_VENEZOLANO[[#This Row],[Minimo]],ARTICULOS_VENEZOLANO[[#This Row],[Maximo]]-ARTICULOS_VENEZOLANO[[#This Row],[Stock]],0)</f>
        <v>0</v>
      </c>
      <c r="Y63">
        <f>MROUND(ARTICULOS_VENEZOLANO[[#This Row],[Pedido Unidad]]/ARTICULOS_VENEZOLANO[[#This Row],[Bulto]],1)</f>
        <v>0</v>
      </c>
      <c r="Z63">
        <v>12</v>
      </c>
      <c r="AA63" s="54">
        <v>12</v>
      </c>
      <c r="AB63" s="80">
        <f>ARTICULOS_VENEZOLANO[[#This Row],[Costo]]*ARTICULOS_VENEZOLANO[[#This Row],[Bulto]]*ARTICULOS_VENEZOLANO[[#This Row],[Pedido Bultos]]</f>
        <v>0</v>
      </c>
      <c r="AE63"/>
      <c r="AF63"/>
      <c r="AH63" s="2" t="str">
        <f>IF(AND(ARTICULOS_VENEZOLANO[[#This Row],[FechaVenc]]=0,ARTICULOS_VENEZOLANO[[#This Row],[DiasVenc]]=0),"",ARTICULOS_VENEZOLANO[[#This Row],[FechaVenc]]-ARTICULOS_VENEZOLANO[[#This Row],[DiasVenc]])</f>
        <v/>
      </c>
      <c r="AO63" t="s">
        <v>8689</v>
      </c>
    </row>
    <row r="64" spans="1:41" x14ac:dyDescent="0.25">
      <c r="A64" s="1" t="s">
        <v>8830</v>
      </c>
      <c r="C64" t="str">
        <f t="shared" si="5"/>
        <v>VEN5024</v>
      </c>
      <c r="D64" t="s">
        <v>8689</v>
      </c>
      <c r="E64" s="24" t="s">
        <v>8831</v>
      </c>
      <c r="F64" s="61">
        <v>980</v>
      </c>
      <c r="G64" s="122">
        <v>0</v>
      </c>
      <c r="H64" s="3">
        <v>0</v>
      </c>
      <c r="I64" s="54">
        <v>0</v>
      </c>
      <c r="J64" s="66">
        <f>((ARTICULOS_VENEZOLANO[[#This Row],[P. Compra]]*(1+ARTICULOS_VENEZOLANO[[#This Row],[IVA]]))/ARTICULOS_VENEZOLANO[[#This Row],[UnidFact]])+ARTICULOS_VENEZOLANO[[#This Row],[Flete]]</f>
        <v>980</v>
      </c>
      <c r="K64">
        <v>30</v>
      </c>
      <c r="L64" s="39">
        <f t="shared" si="3"/>
        <v>1400</v>
      </c>
      <c r="M64" s="125">
        <f>MROUND((ARTICULOS_VENEZOLANO[[#This Row],[Precio]]/0.6),50)</f>
        <v>2350</v>
      </c>
      <c r="N64" t="s">
        <v>61</v>
      </c>
      <c r="O64" t="s">
        <v>42</v>
      </c>
      <c r="P64" t="s">
        <v>56</v>
      </c>
      <c r="Q64" t="s">
        <v>8691</v>
      </c>
      <c r="R64" t="s">
        <v>8692</v>
      </c>
      <c r="S64">
        <v>1</v>
      </c>
      <c r="T64" t="s">
        <v>8693</v>
      </c>
      <c r="U64">
        <v>2</v>
      </c>
      <c r="V64" s="3">
        <f>ARTICULOS_VENEZOLANO[[#This Row],[Bulto]]+ARTICULOS_VENEZOLANO[[#This Row],[Minimo]]</f>
        <v>12</v>
      </c>
      <c r="W64" s="55">
        <v>13</v>
      </c>
      <c r="X64">
        <f>IF(ARTICULOS_VENEZOLANO[[#This Row],[Stock]]&lt;ARTICULOS_VENEZOLANO[[#This Row],[Minimo]],ARTICULOS_VENEZOLANO[[#This Row],[Maximo]]-ARTICULOS_VENEZOLANO[[#This Row],[Stock]],0)</f>
        <v>0</v>
      </c>
      <c r="Y64">
        <f>MROUND(ARTICULOS_VENEZOLANO[[#This Row],[Pedido Unidad]]/ARTICULOS_VENEZOLANO[[#This Row],[Bulto]],1)</f>
        <v>0</v>
      </c>
      <c r="Z64">
        <v>10</v>
      </c>
      <c r="AA64" s="54">
        <v>1</v>
      </c>
      <c r="AB64" s="80">
        <f>ARTICULOS_VENEZOLANO[[#This Row],[Costo]]*ARTICULOS_VENEZOLANO[[#This Row],[Bulto]]*ARTICULOS_VENEZOLANO[[#This Row],[Pedido Bultos]]</f>
        <v>0</v>
      </c>
      <c r="AE64"/>
      <c r="AF64"/>
      <c r="AH64" s="2" t="str">
        <f>IF(AND(ARTICULOS_VENEZOLANO[[#This Row],[FechaVenc]]=0,ARTICULOS_VENEZOLANO[[#This Row],[DiasVenc]]=0),"",ARTICULOS_VENEZOLANO[[#This Row],[FechaVenc]]-ARTICULOS_VENEZOLANO[[#This Row],[DiasVenc]])</f>
        <v/>
      </c>
      <c r="AO64" t="s">
        <v>8689</v>
      </c>
    </row>
    <row r="65" spans="1:41" x14ac:dyDescent="0.25">
      <c r="A65" s="1" t="s">
        <v>12140</v>
      </c>
      <c r="C65" t="str">
        <f t="shared" si="5"/>
        <v>VEN5050</v>
      </c>
      <c r="D65" t="s">
        <v>8689</v>
      </c>
      <c r="E65" s="24" t="s">
        <v>12141</v>
      </c>
      <c r="F65" s="61">
        <v>500</v>
      </c>
      <c r="G65" s="122">
        <v>0</v>
      </c>
      <c r="H65" s="3">
        <v>0</v>
      </c>
      <c r="I65" s="54">
        <v>0</v>
      </c>
      <c r="J65" s="66">
        <f>((ARTICULOS_VENEZOLANO[[#This Row],[P. Compra]]*(1+ARTICULOS_VENEZOLANO[[#This Row],[IVA]]))/ARTICULOS_VENEZOLANO[[#This Row],[UnidFact]])+ARTICULOS_VENEZOLANO[[#This Row],[Flete]]</f>
        <v>500</v>
      </c>
      <c r="K65">
        <v>30</v>
      </c>
      <c r="L65" s="39">
        <f t="shared" si="3"/>
        <v>700</v>
      </c>
      <c r="M65" s="125">
        <f>MROUND((ARTICULOS_VENEZOLANO[[#This Row],[Precio]]/0.6),50)</f>
        <v>1150</v>
      </c>
      <c r="N65" t="s">
        <v>61</v>
      </c>
      <c r="O65" t="s">
        <v>42</v>
      </c>
      <c r="P65" t="s">
        <v>56</v>
      </c>
      <c r="Q65" t="s">
        <v>8691</v>
      </c>
      <c r="R65" t="s">
        <v>8692</v>
      </c>
      <c r="S65">
        <v>1</v>
      </c>
      <c r="T65" t="s">
        <v>8693</v>
      </c>
      <c r="U65">
        <v>2</v>
      </c>
      <c r="V65" s="3">
        <f>ARTICULOS_VENEZOLANO[[#This Row],[Bulto]]+ARTICULOS_VENEZOLANO[[#This Row],[Minimo]]</f>
        <v>12</v>
      </c>
      <c r="W65" s="55">
        <v>13</v>
      </c>
      <c r="X65">
        <f>IF(ARTICULOS_VENEZOLANO[[#This Row],[Stock]]&lt;ARTICULOS_VENEZOLANO[[#This Row],[Minimo]],ARTICULOS_VENEZOLANO[[#This Row],[Maximo]]-ARTICULOS_VENEZOLANO[[#This Row],[Stock]],0)</f>
        <v>0</v>
      </c>
      <c r="Y65">
        <f>MROUND(ARTICULOS_VENEZOLANO[[#This Row],[Pedido Unidad]]/ARTICULOS_VENEZOLANO[[#This Row],[Bulto]],1)</f>
        <v>0</v>
      </c>
      <c r="Z65">
        <v>10</v>
      </c>
      <c r="AA65" s="54">
        <v>1</v>
      </c>
      <c r="AB65" s="80">
        <f>ARTICULOS_VENEZOLANO[[#This Row],[Costo]]*ARTICULOS_VENEZOLANO[[#This Row],[Bulto]]*ARTICULOS_VENEZOLANO[[#This Row],[Pedido Bultos]]</f>
        <v>0</v>
      </c>
      <c r="AE65"/>
      <c r="AF65"/>
      <c r="AH65" s="2" t="str">
        <f>IF(AND(ARTICULOS_VENEZOLANO[[#This Row],[FechaVenc]]=0,ARTICULOS_VENEZOLANO[[#This Row],[DiasVenc]]=0),"",ARTICULOS_VENEZOLANO[[#This Row],[FechaVenc]]-ARTICULOS_VENEZOLANO[[#This Row],[DiasVenc]])</f>
        <v/>
      </c>
      <c r="AO65" t="s">
        <v>8689</v>
      </c>
    </row>
    <row r="66" spans="1:41" x14ac:dyDescent="0.25">
      <c r="A66" s="1" t="s">
        <v>8832</v>
      </c>
      <c r="C66" t="str">
        <f t="shared" si="5"/>
        <v>VEN11110800</v>
      </c>
      <c r="D66" t="s">
        <v>8689</v>
      </c>
      <c r="E66" s="24" t="s">
        <v>8833</v>
      </c>
      <c r="F66" s="61">
        <v>3500</v>
      </c>
      <c r="G66" s="122">
        <v>0</v>
      </c>
      <c r="H66" s="3">
        <v>0</v>
      </c>
      <c r="I66" s="54">
        <v>0</v>
      </c>
      <c r="J66" s="66">
        <f>((ARTICULOS_VENEZOLANO[[#This Row],[P. Compra]]*(1+ARTICULOS_VENEZOLANO[[#This Row],[IVA]]))/ARTICULOS_VENEZOLANO[[#This Row],[UnidFact]])+ARTICULOS_VENEZOLANO[[#This Row],[Flete]]</f>
        <v>145.83333333333334</v>
      </c>
      <c r="K66">
        <v>30</v>
      </c>
      <c r="L66" s="39">
        <f t="shared" ref="L66:L93" si="6">IF(J66&gt;=5,MROUND(J66/(1-K66/100),100),50)</f>
        <v>200</v>
      </c>
      <c r="M66" s="125">
        <f>MROUND((ARTICULOS_VENEZOLANO[[#This Row],[Precio]]/0.6),50)</f>
        <v>350</v>
      </c>
      <c r="N66" t="s">
        <v>61</v>
      </c>
      <c r="O66" t="s">
        <v>42</v>
      </c>
      <c r="P66" t="s">
        <v>31</v>
      </c>
      <c r="Q66" t="s">
        <v>8834</v>
      </c>
      <c r="R66" t="s">
        <v>8692</v>
      </c>
      <c r="S66">
        <v>1</v>
      </c>
      <c r="T66" t="s">
        <v>8693</v>
      </c>
      <c r="U66">
        <v>10</v>
      </c>
      <c r="V66" s="3">
        <f>ARTICULOS_VENEZOLANO[[#This Row],[Bulto]]+ARTICULOS_VENEZOLANO[[#This Row],[Minimo]]</f>
        <v>34</v>
      </c>
      <c r="W66" s="55">
        <v>70</v>
      </c>
      <c r="X66">
        <f>IF(ARTICULOS_VENEZOLANO[[#This Row],[Stock]]&lt;ARTICULOS_VENEZOLANO[[#This Row],[Minimo]],ARTICULOS_VENEZOLANO[[#This Row],[Maximo]]-ARTICULOS_VENEZOLANO[[#This Row],[Stock]],0)</f>
        <v>0</v>
      </c>
      <c r="Y66">
        <f>MROUND(ARTICULOS_VENEZOLANO[[#This Row],[Pedido Unidad]]/ARTICULOS_VENEZOLANO[[#This Row],[Bulto]],1)</f>
        <v>0</v>
      </c>
      <c r="Z66">
        <v>24</v>
      </c>
      <c r="AA66" s="54">
        <v>24</v>
      </c>
      <c r="AB66" s="80">
        <f>ARTICULOS_VENEZOLANO[[#This Row],[Costo]]*ARTICULOS_VENEZOLANO[[#This Row],[Bulto]]*ARTICULOS_VENEZOLANO[[#This Row],[Pedido Bultos]]</f>
        <v>0</v>
      </c>
      <c r="AE66"/>
      <c r="AF66"/>
      <c r="AH66" s="2" t="str">
        <f>IF(AND(ARTICULOS_VENEZOLANO[[#This Row],[FechaVenc]]=0,ARTICULOS_VENEZOLANO[[#This Row],[DiasVenc]]=0),"",ARTICULOS_VENEZOLANO[[#This Row],[FechaVenc]]-ARTICULOS_VENEZOLANO[[#This Row],[DiasVenc]])</f>
        <v/>
      </c>
      <c r="AO66" t="s">
        <v>8689</v>
      </c>
    </row>
    <row r="67" spans="1:41" x14ac:dyDescent="0.25">
      <c r="A67" s="1" t="s">
        <v>8838</v>
      </c>
      <c r="C67" t="str">
        <f t="shared" si="5"/>
        <v>VEN5028</v>
      </c>
      <c r="D67" t="s">
        <v>8689</v>
      </c>
      <c r="E67" s="24" t="s">
        <v>8839</v>
      </c>
      <c r="F67" s="61">
        <v>16100</v>
      </c>
      <c r="G67" s="122">
        <v>0</v>
      </c>
      <c r="H67" s="3">
        <v>0</v>
      </c>
      <c r="I67" s="54">
        <v>0</v>
      </c>
      <c r="J67" s="66">
        <f>((ARTICULOS_VENEZOLANO[[#This Row],[P. Compra]]*(1+ARTICULOS_VENEZOLANO[[#This Row],[IVA]]))/ARTICULOS_VENEZOLANO[[#This Row],[UnidFact]])+ARTICULOS_VENEZOLANO[[#This Row],[Flete]]</f>
        <v>16100</v>
      </c>
      <c r="K67">
        <v>30</v>
      </c>
      <c r="L67" s="39">
        <f t="shared" si="6"/>
        <v>23000</v>
      </c>
      <c r="M67" s="125">
        <f>MROUND((ARTICULOS_VENEZOLANO[[#This Row],[Precio]]/0.6),50)</f>
        <v>38350</v>
      </c>
      <c r="N67" t="s">
        <v>61</v>
      </c>
      <c r="O67" t="s">
        <v>42</v>
      </c>
      <c r="P67" t="s">
        <v>7</v>
      </c>
      <c r="Q67" t="s">
        <v>8840</v>
      </c>
      <c r="R67" t="s">
        <v>8692</v>
      </c>
      <c r="S67">
        <v>1</v>
      </c>
      <c r="T67" t="s">
        <v>8693</v>
      </c>
      <c r="U67">
        <v>1</v>
      </c>
      <c r="V67" s="3">
        <f>ARTICULOS_VENEZOLANO[[#This Row],[Bulto]]+ARTICULOS_VENEZOLANO[[#This Row],[Minimo]]</f>
        <v>4</v>
      </c>
      <c r="W67" s="55">
        <v>2</v>
      </c>
      <c r="X67">
        <f>IF(ARTICULOS_VENEZOLANO[[#This Row],[Stock]]&lt;ARTICULOS_VENEZOLANO[[#This Row],[Minimo]],ARTICULOS_VENEZOLANO[[#This Row],[Maximo]]-ARTICULOS_VENEZOLANO[[#This Row],[Stock]],0)</f>
        <v>0</v>
      </c>
      <c r="Y67">
        <f>MROUND(ARTICULOS_VENEZOLANO[[#This Row],[Pedido Unidad]]/ARTICULOS_VENEZOLANO[[#This Row],[Bulto]],1)</f>
        <v>0</v>
      </c>
      <c r="Z67">
        <v>3</v>
      </c>
      <c r="AA67" s="54">
        <v>1</v>
      </c>
      <c r="AB67" s="80">
        <f>ARTICULOS_VENEZOLANO[[#This Row],[Costo]]*ARTICULOS_VENEZOLANO[[#This Row],[Bulto]]*ARTICULOS_VENEZOLANO[[#This Row],[Pedido Bultos]]</f>
        <v>0</v>
      </c>
      <c r="AE67"/>
      <c r="AF67"/>
      <c r="AH67" s="2" t="str">
        <f>IF(AND(ARTICULOS_VENEZOLANO[[#This Row],[FechaVenc]]=0,ARTICULOS_VENEZOLANO[[#This Row],[DiasVenc]]=0),"",ARTICULOS_VENEZOLANO[[#This Row],[FechaVenc]]-ARTICULOS_VENEZOLANO[[#This Row],[DiasVenc]])</f>
        <v/>
      </c>
      <c r="AO67" t="s">
        <v>8689</v>
      </c>
    </row>
    <row r="68" spans="1:41" x14ac:dyDescent="0.25">
      <c r="A68" s="1" t="s">
        <v>8841</v>
      </c>
      <c r="C68" t="str">
        <f t="shared" si="5"/>
        <v>VEN5029</v>
      </c>
      <c r="D68" t="s">
        <v>8689</v>
      </c>
      <c r="E68" s="24" t="s">
        <v>8842</v>
      </c>
      <c r="F68" s="61">
        <v>21600</v>
      </c>
      <c r="G68" s="122">
        <v>0</v>
      </c>
      <c r="H68" s="3">
        <v>0</v>
      </c>
      <c r="I68" s="54">
        <v>0</v>
      </c>
      <c r="J68" s="66">
        <f>((ARTICULOS_VENEZOLANO[[#This Row],[P. Compra]]*(1+ARTICULOS_VENEZOLANO[[#This Row],[IVA]]))/ARTICULOS_VENEZOLANO[[#This Row],[UnidFact]])+ARTICULOS_VENEZOLANO[[#This Row],[Flete]]</f>
        <v>21600</v>
      </c>
      <c r="K68">
        <v>30</v>
      </c>
      <c r="L68" s="39">
        <f t="shared" si="6"/>
        <v>30900</v>
      </c>
      <c r="M68" s="125">
        <f>MROUND((ARTICULOS_VENEZOLANO[[#This Row],[Precio]]/0.6),50)</f>
        <v>51500</v>
      </c>
      <c r="N68" t="s">
        <v>61</v>
      </c>
      <c r="O68" t="s">
        <v>42</v>
      </c>
      <c r="P68" t="s">
        <v>7</v>
      </c>
      <c r="Q68" t="s">
        <v>8840</v>
      </c>
      <c r="R68" t="s">
        <v>8692</v>
      </c>
      <c r="S68">
        <v>1</v>
      </c>
      <c r="T68" t="s">
        <v>8693</v>
      </c>
      <c r="U68">
        <v>1</v>
      </c>
      <c r="V68" s="3">
        <f>ARTICULOS_VENEZOLANO[[#This Row],[Bulto]]+ARTICULOS_VENEZOLANO[[#This Row],[Minimo]]</f>
        <v>4</v>
      </c>
      <c r="W68" s="55">
        <v>3</v>
      </c>
      <c r="X68">
        <f>IF(ARTICULOS_VENEZOLANO[[#This Row],[Stock]]&lt;ARTICULOS_VENEZOLANO[[#This Row],[Minimo]],ARTICULOS_VENEZOLANO[[#This Row],[Maximo]]-ARTICULOS_VENEZOLANO[[#This Row],[Stock]],0)</f>
        <v>0</v>
      </c>
      <c r="Y68">
        <f>MROUND(ARTICULOS_VENEZOLANO[[#This Row],[Pedido Unidad]]/ARTICULOS_VENEZOLANO[[#This Row],[Bulto]],1)</f>
        <v>0</v>
      </c>
      <c r="Z68">
        <v>3</v>
      </c>
      <c r="AA68" s="54">
        <v>1</v>
      </c>
      <c r="AB68" s="80">
        <f>ARTICULOS_VENEZOLANO[[#This Row],[Costo]]*ARTICULOS_VENEZOLANO[[#This Row],[Bulto]]*ARTICULOS_VENEZOLANO[[#This Row],[Pedido Bultos]]</f>
        <v>0</v>
      </c>
      <c r="AE68"/>
      <c r="AF68"/>
      <c r="AH68" s="2" t="str">
        <f>IF(AND(ARTICULOS_VENEZOLANO[[#This Row],[FechaVenc]]=0,ARTICULOS_VENEZOLANO[[#This Row],[DiasVenc]]=0),"",ARTICULOS_VENEZOLANO[[#This Row],[FechaVenc]]-ARTICULOS_VENEZOLANO[[#This Row],[DiasVenc]])</f>
        <v/>
      </c>
      <c r="AO68" t="s">
        <v>8689</v>
      </c>
    </row>
    <row r="69" spans="1:41" x14ac:dyDescent="0.25">
      <c r="A69" s="1" t="s">
        <v>8843</v>
      </c>
      <c r="C69" t="str">
        <f t="shared" si="5"/>
        <v>VEN5030</v>
      </c>
      <c r="D69" t="s">
        <v>8689</v>
      </c>
      <c r="E69" s="24" t="s">
        <v>8844</v>
      </c>
      <c r="F69" s="61">
        <v>21200</v>
      </c>
      <c r="G69" s="122">
        <v>0</v>
      </c>
      <c r="H69" s="3">
        <v>0</v>
      </c>
      <c r="I69" s="54">
        <v>0</v>
      </c>
      <c r="J69" s="66">
        <f>((ARTICULOS_VENEZOLANO[[#This Row],[P. Compra]]*(1+ARTICULOS_VENEZOLANO[[#This Row],[IVA]]))/ARTICULOS_VENEZOLANO[[#This Row],[UnidFact]])+ARTICULOS_VENEZOLANO[[#This Row],[Flete]]</f>
        <v>21200</v>
      </c>
      <c r="K69">
        <v>30</v>
      </c>
      <c r="L69" s="39">
        <f t="shared" si="6"/>
        <v>30300</v>
      </c>
      <c r="M69" s="125">
        <f>MROUND((ARTICULOS_VENEZOLANO[[#This Row],[Precio]]/0.6),50)</f>
        <v>50500</v>
      </c>
      <c r="N69" t="s">
        <v>61</v>
      </c>
      <c r="O69" t="s">
        <v>42</v>
      </c>
      <c r="P69" t="s">
        <v>7</v>
      </c>
      <c r="Q69" t="s">
        <v>8840</v>
      </c>
      <c r="R69" t="s">
        <v>8692</v>
      </c>
      <c r="S69">
        <v>1</v>
      </c>
      <c r="T69" t="s">
        <v>8693</v>
      </c>
      <c r="U69">
        <v>1</v>
      </c>
      <c r="V69" s="3">
        <f>ARTICULOS_VENEZOLANO[[#This Row],[Bulto]]+ARTICULOS_VENEZOLANO[[#This Row],[Minimo]]</f>
        <v>4</v>
      </c>
      <c r="W69" s="55">
        <v>0</v>
      </c>
      <c r="X69">
        <f>IF(ARTICULOS_VENEZOLANO[[#This Row],[Stock]]&lt;ARTICULOS_VENEZOLANO[[#This Row],[Minimo]],ARTICULOS_VENEZOLANO[[#This Row],[Maximo]]-ARTICULOS_VENEZOLANO[[#This Row],[Stock]],0)</f>
        <v>4</v>
      </c>
      <c r="Y69">
        <f>MROUND(ARTICULOS_VENEZOLANO[[#This Row],[Pedido Unidad]]/ARTICULOS_VENEZOLANO[[#This Row],[Bulto]],1)</f>
        <v>1</v>
      </c>
      <c r="Z69">
        <v>3</v>
      </c>
      <c r="AA69" s="54">
        <v>1</v>
      </c>
      <c r="AB69" s="80">
        <f>ARTICULOS_VENEZOLANO[[#This Row],[Costo]]*ARTICULOS_VENEZOLANO[[#This Row],[Bulto]]*ARTICULOS_VENEZOLANO[[#This Row],[Pedido Bultos]]</f>
        <v>63600</v>
      </c>
      <c r="AE69"/>
      <c r="AF69"/>
      <c r="AH69" s="2" t="str">
        <f>IF(AND(ARTICULOS_VENEZOLANO[[#This Row],[FechaVenc]]=0,ARTICULOS_VENEZOLANO[[#This Row],[DiasVenc]]=0),"",ARTICULOS_VENEZOLANO[[#This Row],[FechaVenc]]-ARTICULOS_VENEZOLANO[[#This Row],[DiasVenc]])</f>
        <v/>
      </c>
      <c r="AO69" t="s">
        <v>8689</v>
      </c>
    </row>
    <row r="70" spans="1:41" x14ac:dyDescent="0.25">
      <c r="A70" s="1" t="s">
        <v>8845</v>
      </c>
      <c r="C70" t="str">
        <f t="shared" si="5"/>
        <v>VEN5031</v>
      </c>
      <c r="D70" t="s">
        <v>8689</v>
      </c>
      <c r="E70" s="24" t="s">
        <v>8846</v>
      </c>
      <c r="F70" s="61">
        <v>18900</v>
      </c>
      <c r="G70" s="122">
        <v>0</v>
      </c>
      <c r="H70" s="3">
        <v>0</v>
      </c>
      <c r="I70" s="54">
        <v>0</v>
      </c>
      <c r="J70" s="66">
        <f>((ARTICULOS_VENEZOLANO[[#This Row],[P. Compra]]*(1+ARTICULOS_VENEZOLANO[[#This Row],[IVA]]))/ARTICULOS_VENEZOLANO[[#This Row],[UnidFact]])+ARTICULOS_VENEZOLANO[[#This Row],[Flete]]</f>
        <v>18900</v>
      </c>
      <c r="K70">
        <v>30</v>
      </c>
      <c r="L70" s="39">
        <f t="shared" si="6"/>
        <v>27000</v>
      </c>
      <c r="M70" s="125">
        <f>MROUND((ARTICULOS_VENEZOLANO[[#This Row],[Precio]]/0.6),50)</f>
        <v>45000</v>
      </c>
      <c r="N70" t="s">
        <v>61</v>
      </c>
      <c r="O70" t="s">
        <v>42</v>
      </c>
      <c r="P70" t="s">
        <v>7</v>
      </c>
      <c r="Q70" t="s">
        <v>8840</v>
      </c>
      <c r="R70" t="s">
        <v>8692</v>
      </c>
      <c r="S70">
        <v>1</v>
      </c>
      <c r="T70" t="s">
        <v>8693</v>
      </c>
      <c r="U70">
        <v>1</v>
      </c>
      <c r="V70" s="3">
        <f>ARTICULOS_VENEZOLANO[[#This Row],[Bulto]]+ARTICULOS_VENEZOLANO[[#This Row],[Minimo]]</f>
        <v>4</v>
      </c>
      <c r="W70" s="55">
        <v>0</v>
      </c>
      <c r="X70">
        <f>IF(ARTICULOS_VENEZOLANO[[#This Row],[Stock]]&lt;ARTICULOS_VENEZOLANO[[#This Row],[Minimo]],ARTICULOS_VENEZOLANO[[#This Row],[Maximo]]-ARTICULOS_VENEZOLANO[[#This Row],[Stock]],0)</f>
        <v>4</v>
      </c>
      <c r="Y70">
        <f>MROUND(ARTICULOS_VENEZOLANO[[#This Row],[Pedido Unidad]]/ARTICULOS_VENEZOLANO[[#This Row],[Bulto]],1)</f>
        <v>1</v>
      </c>
      <c r="Z70">
        <v>3</v>
      </c>
      <c r="AA70" s="54">
        <v>1</v>
      </c>
      <c r="AB70" s="80">
        <f>ARTICULOS_VENEZOLANO[[#This Row],[Costo]]*ARTICULOS_VENEZOLANO[[#This Row],[Bulto]]*ARTICULOS_VENEZOLANO[[#This Row],[Pedido Bultos]]</f>
        <v>56700</v>
      </c>
      <c r="AE70"/>
      <c r="AF70"/>
      <c r="AH70" s="2" t="str">
        <f>IF(AND(ARTICULOS_VENEZOLANO[[#This Row],[FechaVenc]]=0,ARTICULOS_VENEZOLANO[[#This Row],[DiasVenc]]=0),"",ARTICULOS_VENEZOLANO[[#This Row],[FechaVenc]]-ARTICULOS_VENEZOLANO[[#This Row],[DiasVenc]])</f>
        <v/>
      </c>
      <c r="AO70" t="s">
        <v>8689</v>
      </c>
    </row>
    <row r="71" spans="1:41" x14ac:dyDescent="0.25">
      <c r="A71" s="1" t="s">
        <v>8847</v>
      </c>
      <c r="C71" t="str">
        <f t="shared" si="5"/>
        <v>VEN5016</v>
      </c>
      <c r="D71" t="s">
        <v>8689</v>
      </c>
      <c r="E71" s="24" t="s">
        <v>12120</v>
      </c>
      <c r="F71" s="61">
        <v>1725</v>
      </c>
      <c r="G71" s="122">
        <v>0</v>
      </c>
      <c r="H71" s="3">
        <v>0</v>
      </c>
      <c r="I71" s="54">
        <v>0</v>
      </c>
      <c r="J71" s="66">
        <f>((ARTICULOS_VENEZOLANO[[#This Row],[P. Compra]]*(1+ARTICULOS_VENEZOLANO[[#This Row],[IVA]]))/ARTICULOS_VENEZOLANO[[#This Row],[UnidFact]])+ARTICULOS_VENEZOLANO[[#This Row],[Flete]]</f>
        <v>1725</v>
      </c>
      <c r="K71">
        <v>30</v>
      </c>
      <c r="L71" s="39">
        <f t="shared" si="6"/>
        <v>2500</v>
      </c>
      <c r="M71" s="125">
        <f>MROUND((ARTICULOS_VENEZOLANO[[#This Row],[Precio]]/0.6),50)</f>
        <v>4150</v>
      </c>
      <c r="N71" t="s">
        <v>61</v>
      </c>
      <c r="O71" t="s">
        <v>42</v>
      </c>
      <c r="P71" t="s">
        <v>103</v>
      </c>
      <c r="Q71" t="s">
        <v>8848</v>
      </c>
      <c r="R71" t="s">
        <v>8692</v>
      </c>
      <c r="S71">
        <v>1</v>
      </c>
      <c r="T71" t="s">
        <v>8693</v>
      </c>
      <c r="U71">
        <v>12</v>
      </c>
      <c r="V71" s="3">
        <f>ARTICULOS_VENEZOLANO[[#This Row],[Bulto]]+ARTICULOS_VENEZOLANO[[#This Row],[Minimo]]</f>
        <v>24</v>
      </c>
      <c r="W71" s="55">
        <v>21</v>
      </c>
      <c r="X71">
        <f>IF(ARTICULOS_VENEZOLANO[[#This Row],[Stock]]&lt;ARTICULOS_VENEZOLANO[[#This Row],[Minimo]],ARTICULOS_VENEZOLANO[[#This Row],[Maximo]]-ARTICULOS_VENEZOLANO[[#This Row],[Stock]],0)</f>
        <v>0</v>
      </c>
      <c r="Y71">
        <f>MROUND(ARTICULOS_VENEZOLANO[[#This Row],[Pedido Unidad]]/ARTICULOS_VENEZOLANO[[#This Row],[Bulto]],1)</f>
        <v>0</v>
      </c>
      <c r="Z71">
        <v>12</v>
      </c>
      <c r="AA71" s="54">
        <v>1</v>
      </c>
      <c r="AB71" s="80">
        <f>ARTICULOS_VENEZOLANO[[#This Row],[Costo]]*ARTICULOS_VENEZOLANO[[#This Row],[Bulto]]*ARTICULOS_VENEZOLANO[[#This Row],[Pedido Bultos]]</f>
        <v>0</v>
      </c>
      <c r="AE71"/>
      <c r="AF71"/>
      <c r="AH71" s="2" t="str">
        <f>IF(AND(ARTICULOS_VENEZOLANO[[#This Row],[FechaVenc]]=0,ARTICULOS_VENEZOLANO[[#This Row],[DiasVenc]]=0),"",ARTICULOS_VENEZOLANO[[#This Row],[FechaVenc]]-ARTICULOS_VENEZOLANO[[#This Row],[DiasVenc]])</f>
        <v/>
      </c>
      <c r="AO71" t="s">
        <v>8689</v>
      </c>
    </row>
    <row r="72" spans="1:41" x14ac:dyDescent="0.25">
      <c r="A72" s="1" t="s">
        <v>8853</v>
      </c>
      <c r="C72" t="str">
        <f t="shared" si="5"/>
        <v>VEN5008</v>
      </c>
      <c r="D72" t="s">
        <v>8693</v>
      </c>
      <c r="E72" s="24" t="s">
        <v>8854</v>
      </c>
      <c r="F72" s="61">
        <v>6000</v>
      </c>
      <c r="G72" s="122">
        <v>0</v>
      </c>
      <c r="H72" s="3">
        <v>0</v>
      </c>
      <c r="I72" s="54">
        <v>0</v>
      </c>
      <c r="J72" s="66">
        <f>((ARTICULOS_VENEZOLANO[[#This Row],[P. Compra]]*(1+ARTICULOS_VENEZOLANO[[#This Row],[IVA]]))/ARTICULOS_VENEZOLANO[[#This Row],[UnidFact]])+ARTICULOS_VENEZOLANO[[#This Row],[Flete]]</f>
        <v>6000</v>
      </c>
      <c r="K72">
        <v>30</v>
      </c>
      <c r="L72" s="39">
        <f t="shared" si="6"/>
        <v>8600</v>
      </c>
      <c r="M72" s="125">
        <f>MROUND((ARTICULOS_VENEZOLANO[[#This Row],[Precio]]/0.6),50)</f>
        <v>14350</v>
      </c>
      <c r="N72" t="s">
        <v>61</v>
      </c>
      <c r="O72" t="s">
        <v>42</v>
      </c>
      <c r="P72" t="s">
        <v>86</v>
      </c>
      <c r="Q72" t="s">
        <v>8691</v>
      </c>
      <c r="R72" t="s">
        <v>11760</v>
      </c>
      <c r="S72">
        <v>0.1</v>
      </c>
      <c r="T72" t="s">
        <v>8693</v>
      </c>
      <c r="U72">
        <v>0.2</v>
      </c>
      <c r="V72" s="3">
        <f>ARTICULOS_VENEZOLANO[[#This Row],[Bulto]]+ARTICULOS_VENEZOLANO[[#This Row],[Minimo]]</f>
        <v>1.2</v>
      </c>
      <c r="W72" s="55">
        <v>0.7</v>
      </c>
      <c r="X72">
        <f>IF(ARTICULOS_VENEZOLANO[[#This Row],[Stock]]&lt;ARTICULOS_VENEZOLANO[[#This Row],[Minimo]],ARTICULOS_VENEZOLANO[[#This Row],[Maximo]]-ARTICULOS_VENEZOLANO[[#This Row],[Stock]],0)</f>
        <v>0</v>
      </c>
      <c r="Y72">
        <f>MROUND(ARTICULOS_VENEZOLANO[[#This Row],[Pedido Unidad]]/ARTICULOS_VENEZOLANO[[#This Row],[Bulto]],1)</f>
        <v>0</v>
      </c>
      <c r="Z72">
        <v>1</v>
      </c>
      <c r="AA72" s="54">
        <v>1</v>
      </c>
      <c r="AB72" s="80">
        <f>ARTICULOS_VENEZOLANO[[#This Row],[Costo]]*ARTICULOS_VENEZOLANO[[#This Row],[Bulto]]*ARTICULOS_VENEZOLANO[[#This Row],[Pedido Bultos]]</f>
        <v>0</v>
      </c>
      <c r="AE72"/>
      <c r="AF72"/>
      <c r="AH72" s="2" t="str">
        <f>IF(AND(ARTICULOS_VENEZOLANO[[#This Row],[FechaVenc]]=0,ARTICULOS_VENEZOLANO[[#This Row],[DiasVenc]]=0),"",ARTICULOS_VENEZOLANO[[#This Row],[FechaVenc]]-ARTICULOS_VENEZOLANO[[#This Row],[DiasVenc]])</f>
        <v/>
      </c>
      <c r="AO72" t="s">
        <v>8689</v>
      </c>
    </row>
    <row r="73" spans="1:41" x14ac:dyDescent="0.25">
      <c r="A73" s="1" t="s">
        <v>8835</v>
      </c>
      <c r="C73" t="str">
        <f t="shared" si="5"/>
        <v>VEN5012</v>
      </c>
      <c r="D73" t="s">
        <v>8689</v>
      </c>
      <c r="E73" s="24" t="s">
        <v>8836</v>
      </c>
      <c r="F73" s="61">
        <v>1</v>
      </c>
      <c r="G73" s="122">
        <v>0</v>
      </c>
      <c r="H73" s="3">
        <v>0</v>
      </c>
      <c r="I73" s="54">
        <v>0</v>
      </c>
      <c r="J73" s="66">
        <f>((ARTICULOS_VENEZOLANO[[#This Row],[P. Compra]]*(1+ARTICULOS_VENEZOLANO[[#This Row],[IVA]]))/ARTICULOS_VENEZOLANO[[#This Row],[UnidFact]])+ARTICULOS_VENEZOLANO[[#This Row],[Flete]]</f>
        <v>1</v>
      </c>
      <c r="K73">
        <v>30</v>
      </c>
      <c r="L73" s="39">
        <f t="shared" si="6"/>
        <v>50</v>
      </c>
      <c r="M73" s="125">
        <f>MROUND((ARTICULOS_VENEZOLANO[[#This Row],[Precio]]/0.6),50)</f>
        <v>100</v>
      </c>
      <c r="N73" t="s">
        <v>61</v>
      </c>
      <c r="O73" t="s">
        <v>42</v>
      </c>
      <c r="P73" t="s">
        <v>28</v>
      </c>
      <c r="Q73" t="s">
        <v>8837</v>
      </c>
      <c r="R73" t="s">
        <v>8692</v>
      </c>
      <c r="S73">
        <v>1</v>
      </c>
      <c r="T73" t="s">
        <v>8693</v>
      </c>
      <c r="U73">
        <v>12</v>
      </c>
      <c r="V73" s="3">
        <f>ARTICULOS_VENEZOLANO[[#This Row],[Bulto]]+ARTICULOS_VENEZOLANO[[#This Row],[Minimo]]</f>
        <v>60</v>
      </c>
      <c r="W73" s="55">
        <v>0</v>
      </c>
      <c r="X73">
        <f>IF(ARTICULOS_VENEZOLANO[[#This Row],[Stock]]&lt;ARTICULOS_VENEZOLANO[[#This Row],[Minimo]],ARTICULOS_VENEZOLANO[[#This Row],[Maximo]]-ARTICULOS_VENEZOLANO[[#This Row],[Stock]],0)</f>
        <v>60</v>
      </c>
      <c r="Y73">
        <f>MROUND(ARTICULOS_VENEZOLANO[[#This Row],[Pedido Unidad]]/ARTICULOS_VENEZOLANO[[#This Row],[Bulto]],1)</f>
        <v>1</v>
      </c>
      <c r="Z73">
        <v>48</v>
      </c>
      <c r="AA73" s="54">
        <v>1</v>
      </c>
      <c r="AB73" s="80">
        <f>ARTICULOS_VENEZOLANO[[#This Row],[Costo]]*ARTICULOS_VENEZOLANO[[#This Row],[Bulto]]*ARTICULOS_VENEZOLANO[[#This Row],[Pedido Bultos]]</f>
        <v>48</v>
      </c>
      <c r="AE73"/>
      <c r="AF73"/>
      <c r="AH73" s="2" t="str">
        <f>IF(AND(ARTICULOS_VENEZOLANO[[#This Row],[FechaVenc]]=0,ARTICULOS_VENEZOLANO[[#This Row],[DiasVenc]]=0),"",ARTICULOS_VENEZOLANO[[#This Row],[FechaVenc]]-ARTICULOS_VENEZOLANO[[#This Row],[DiasVenc]])</f>
        <v/>
      </c>
      <c r="AO73" t="s">
        <v>8689</v>
      </c>
    </row>
    <row r="74" spans="1:41" ht="15" customHeight="1" x14ac:dyDescent="0.25">
      <c r="A74" s="1" t="s">
        <v>8855</v>
      </c>
      <c r="C74" t="str">
        <f t="shared" si="5"/>
        <v>VEN5025</v>
      </c>
      <c r="D74" t="s">
        <v>8689</v>
      </c>
      <c r="E74" s="24" t="s">
        <v>8856</v>
      </c>
      <c r="F74" s="61">
        <v>160</v>
      </c>
      <c r="G74" s="122">
        <v>0</v>
      </c>
      <c r="H74" s="3">
        <v>0</v>
      </c>
      <c r="I74" s="54">
        <v>0</v>
      </c>
      <c r="J74" s="66">
        <f>((ARTICULOS_VENEZOLANO[[#This Row],[P. Compra]]*(1+ARTICULOS_VENEZOLANO[[#This Row],[IVA]]))/ARTICULOS_VENEZOLANO[[#This Row],[UnidFact]])+ARTICULOS_VENEZOLANO[[#This Row],[Flete]]</f>
        <v>160</v>
      </c>
      <c r="K74">
        <v>30</v>
      </c>
      <c r="L74" s="39">
        <f t="shared" si="6"/>
        <v>200</v>
      </c>
      <c r="M74" s="125">
        <f>MROUND((ARTICULOS_VENEZOLANO[[#This Row],[Precio]]/0.6),50)</f>
        <v>350</v>
      </c>
      <c r="N74" t="s">
        <v>61</v>
      </c>
      <c r="O74" t="s">
        <v>42</v>
      </c>
      <c r="P74" t="s">
        <v>86</v>
      </c>
      <c r="Q74" t="s">
        <v>8691</v>
      </c>
      <c r="R74" t="s">
        <v>8692</v>
      </c>
      <c r="S74">
        <v>1</v>
      </c>
      <c r="T74" t="s">
        <v>8693</v>
      </c>
      <c r="U74">
        <v>3</v>
      </c>
      <c r="V74" s="3">
        <f>ARTICULOS_VENEZOLANO[[#This Row],[Bulto]]+ARTICULOS_VENEZOLANO[[#This Row],[Minimo]]</f>
        <v>13</v>
      </c>
      <c r="W74" s="55">
        <v>15</v>
      </c>
      <c r="X74">
        <f>IF(ARTICULOS_VENEZOLANO[[#This Row],[Stock]]&lt;ARTICULOS_VENEZOLANO[[#This Row],[Minimo]],ARTICULOS_VENEZOLANO[[#This Row],[Maximo]]-ARTICULOS_VENEZOLANO[[#This Row],[Stock]],0)</f>
        <v>0</v>
      </c>
      <c r="Y74">
        <f>MROUND(ARTICULOS_VENEZOLANO[[#This Row],[Pedido Unidad]]/ARTICULOS_VENEZOLANO[[#This Row],[Bulto]],1)</f>
        <v>0</v>
      </c>
      <c r="Z74">
        <v>10</v>
      </c>
      <c r="AA74" s="54">
        <v>1</v>
      </c>
      <c r="AB74" s="80">
        <f>ARTICULOS_VENEZOLANO[[#This Row],[Costo]]*ARTICULOS_VENEZOLANO[[#This Row],[Bulto]]*ARTICULOS_VENEZOLANO[[#This Row],[Pedido Bultos]]</f>
        <v>0</v>
      </c>
      <c r="AE74"/>
      <c r="AF74"/>
      <c r="AH74" s="2" t="str">
        <f>IF(AND(ARTICULOS_VENEZOLANO[[#This Row],[FechaVenc]]=0,ARTICULOS_VENEZOLANO[[#This Row],[DiasVenc]]=0),"",ARTICULOS_VENEZOLANO[[#This Row],[FechaVenc]]-ARTICULOS_VENEZOLANO[[#This Row],[DiasVenc]])</f>
        <v/>
      </c>
      <c r="AO74" t="s">
        <v>8689</v>
      </c>
    </row>
    <row r="75" spans="1:41" x14ac:dyDescent="0.25">
      <c r="A75" s="1" t="s">
        <v>8812</v>
      </c>
      <c r="C75" t="str">
        <f t="shared" si="5"/>
        <v>VEN5033</v>
      </c>
      <c r="D75" t="s">
        <v>8689</v>
      </c>
      <c r="E75" s="24" t="s">
        <v>8813</v>
      </c>
      <c r="F75" s="61">
        <v>2402.4</v>
      </c>
      <c r="G75" s="122">
        <v>0</v>
      </c>
      <c r="H75" s="3">
        <v>0</v>
      </c>
      <c r="I75" s="54">
        <v>0</v>
      </c>
      <c r="J75" s="66">
        <f>((ARTICULOS_VENEZOLANO[[#This Row],[P. Compra]]*(1+ARTICULOS_VENEZOLANO[[#This Row],[IVA]]))/ARTICULOS_VENEZOLANO[[#This Row],[UnidFact]])+ARTICULOS_VENEZOLANO[[#This Row],[Flete]]</f>
        <v>2402.4</v>
      </c>
      <c r="K75">
        <v>30</v>
      </c>
      <c r="L75" s="39">
        <f t="shared" si="6"/>
        <v>3400</v>
      </c>
      <c r="M75" s="125">
        <f>MROUND((ARTICULOS_VENEZOLANO[[#This Row],[Precio]]/0.6),50)</f>
        <v>5650</v>
      </c>
      <c r="N75" t="s">
        <v>61</v>
      </c>
      <c r="O75" t="s">
        <v>42</v>
      </c>
      <c r="P75" t="s">
        <v>100</v>
      </c>
      <c r="Q75" t="s">
        <v>8814</v>
      </c>
      <c r="R75" t="s">
        <v>8692</v>
      </c>
      <c r="S75">
        <v>1</v>
      </c>
      <c r="T75" t="s">
        <v>8693</v>
      </c>
      <c r="U75">
        <v>1</v>
      </c>
      <c r="V75" s="3">
        <f>ARTICULOS_VENEZOLANO[[#This Row],[Bulto]]+ARTICULOS_VENEZOLANO[[#This Row],[Minimo]]</f>
        <v>4</v>
      </c>
      <c r="W75" s="55">
        <v>1</v>
      </c>
      <c r="X75">
        <f>IF(ARTICULOS_VENEZOLANO[[#This Row],[Stock]]&lt;ARTICULOS_VENEZOLANO[[#This Row],[Minimo]],ARTICULOS_VENEZOLANO[[#This Row],[Maximo]]-ARTICULOS_VENEZOLANO[[#This Row],[Stock]],0)</f>
        <v>0</v>
      </c>
      <c r="Y75">
        <f>MROUND(ARTICULOS_VENEZOLANO[[#This Row],[Pedido Unidad]]/ARTICULOS_VENEZOLANO[[#This Row],[Bulto]],1)</f>
        <v>0</v>
      </c>
      <c r="Z75">
        <v>3</v>
      </c>
      <c r="AA75" s="54">
        <v>1</v>
      </c>
      <c r="AB75" s="80">
        <f>ARTICULOS_VENEZOLANO[[#This Row],[Costo]]*ARTICULOS_VENEZOLANO[[#This Row],[Bulto]]*ARTICULOS_VENEZOLANO[[#This Row],[Pedido Bultos]]</f>
        <v>0</v>
      </c>
      <c r="AE75"/>
      <c r="AF75"/>
      <c r="AH75" s="2" t="str">
        <f>IF(AND(ARTICULOS_VENEZOLANO[[#This Row],[FechaVenc]]=0,ARTICULOS_VENEZOLANO[[#This Row],[DiasVenc]]=0),"",ARTICULOS_VENEZOLANO[[#This Row],[FechaVenc]]-ARTICULOS_VENEZOLANO[[#This Row],[DiasVenc]])</f>
        <v/>
      </c>
      <c r="AO75" t="s">
        <v>8689</v>
      </c>
    </row>
    <row r="76" spans="1:41" x14ac:dyDescent="0.25">
      <c r="A76" s="1" t="s">
        <v>8849</v>
      </c>
      <c r="C76" t="str">
        <f t="shared" si="5"/>
        <v>VEN5039</v>
      </c>
      <c r="D76" t="s">
        <v>8689</v>
      </c>
      <c r="E76" s="24" t="s">
        <v>8850</v>
      </c>
      <c r="F76" s="61">
        <v>1</v>
      </c>
      <c r="G76" s="122">
        <v>0</v>
      </c>
      <c r="H76" s="3">
        <v>0</v>
      </c>
      <c r="I76" s="54">
        <v>0</v>
      </c>
      <c r="J76" s="66">
        <f>((ARTICULOS_VENEZOLANO[[#This Row],[P. Compra]]*(1+ARTICULOS_VENEZOLANO[[#This Row],[IVA]]))/ARTICULOS_VENEZOLANO[[#This Row],[UnidFact]])+ARTICULOS_VENEZOLANO[[#This Row],[Flete]]</f>
        <v>1</v>
      </c>
      <c r="K76">
        <v>30</v>
      </c>
      <c r="L76" s="39">
        <f t="shared" si="6"/>
        <v>50</v>
      </c>
      <c r="M76" s="125">
        <f>MROUND((ARTICULOS_VENEZOLANO[[#This Row],[Precio]]/0.6),50)</f>
        <v>100</v>
      </c>
      <c r="N76" t="s">
        <v>61</v>
      </c>
      <c r="O76" t="s">
        <v>42</v>
      </c>
      <c r="P76" t="s">
        <v>86</v>
      </c>
      <c r="Q76" t="s">
        <v>8720</v>
      </c>
      <c r="R76" t="s">
        <v>8692</v>
      </c>
      <c r="S76">
        <v>1</v>
      </c>
      <c r="T76" t="s">
        <v>8693</v>
      </c>
      <c r="U76">
        <v>3</v>
      </c>
      <c r="V76" s="3">
        <f>ARTICULOS_VENEZOLANO[[#This Row],[Bulto]]+ARTICULOS_VENEZOLANO[[#This Row],[Minimo]]</f>
        <v>13</v>
      </c>
      <c r="W76" s="55">
        <v>0</v>
      </c>
      <c r="X76">
        <f>IF(ARTICULOS_VENEZOLANO[[#This Row],[Stock]]&lt;ARTICULOS_VENEZOLANO[[#This Row],[Minimo]],ARTICULOS_VENEZOLANO[[#This Row],[Maximo]]-ARTICULOS_VENEZOLANO[[#This Row],[Stock]],0)</f>
        <v>13</v>
      </c>
      <c r="Y76">
        <f>MROUND(ARTICULOS_VENEZOLANO[[#This Row],[Pedido Unidad]]/ARTICULOS_VENEZOLANO[[#This Row],[Bulto]],1)</f>
        <v>1</v>
      </c>
      <c r="Z76">
        <v>10</v>
      </c>
      <c r="AA76" s="54">
        <v>1</v>
      </c>
      <c r="AB76" s="80">
        <f>ARTICULOS_VENEZOLANO[[#This Row],[Costo]]*ARTICULOS_VENEZOLANO[[#This Row],[Bulto]]*ARTICULOS_VENEZOLANO[[#This Row],[Pedido Bultos]]</f>
        <v>10</v>
      </c>
      <c r="AE76"/>
      <c r="AF76"/>
      <c r="AH76" s="2" t="str">
        <f>IF(AND(ARTICULOS_VENEZOLANO[[#This Row],[FechaVenc]]=0,ARTICULOS_VENEZOLANO[[#This Row],[DiasVenc]]=0),"",ARTICULOS_VENEZOLANO[[#This Row],[FechaVenc]]-ARTICULOS_VENEZOLANO[[#This Row],[DiasVenc]])</f>
        <v/>
      </c>
      <c r="AO76" t="s">
        <v>8689</v>
      </c>
    </row>
    <row r="77" spans="1:41" x14ac:dyDescent="0.25">
      <c r="A77" s="1" t="s">
        <v>8851</v>
      </c>
      <c r="C77" t="str">
        <f t="shared" si="5"/>
        <v>VEN5040</v>
      </c>
      <c r="D77" t="s">
        <v>8689</v>
      </c>
      <c r="E77" s="24" t="s">
        <v>8852</v>
      </c>
      <c r="F77" s="61">
        <v>1</v>
      </c>
      <c r="G77" s="122">
        <v>0</v>
      </c>
      <c r="H77" s="3">
        <v>0</v>
      </c>
      <c r="I77" s="54">
        <v>0</v>
      </c>
      <c r="J77" s="66">
        <f>((ARTICULOS_VENEZOLANO[[#This Row],[P. Compra]]*(1+ARTICULOS_VENEZOLANO[[#This Row],[IVA]]))/ARTICULOS_VENEZOLANO[[#This Row],[UnidFact]])+ARTICULOS_VENEZOLANO[[#This Row],[Flete]]</f>
        <v>1</v>
      </c>
      <c r="K77">
        <v>30</v>
      </c>
      <c r="L77" s="39">
        <f t="shared" si="6"/>
        <v>50</v>
      </c>
      <c r="M77" s="125">
        <f>MROUND((ARTICULOS_VENEZOLANO[[#This Row],[Precio]]/0.6),50)</f>
        <v>100</v>
      </c>
      <c r="N77" t="s">
        <v>61</v>
      </c>
      <c r="O77" t="s">
        <v>42</v>
      </c>
      <c r="P77" t="s">
        <v>86</v>
      </c>
      <c r="Q77" t="s">
        <v>8720</v>
      </c>
      <c r="R77" t="s">
        <v>8692</v>
      </c>
      <c r="S77">
        <v>1</v>
      </c>
      <c r="T77" t="s">
        <v>8693</v>
      </c>
      <c r="U77">
        <v>3</v>
      </c>
      <c r="V77" s="3">
        <f>ARTICULOS_VENEZOLANO[[#This Row],[Bulto]]+ARTICULOS_VENEZOLANO[[#This Row],[Minimo]]</f>
        <v>13</v>
      </c>
      <c r="W77" s="55">
        <v>0</v>
      </c>
      <c r="X77">
        <f>IF(ARTICULOS_VENEZOLANO[[#This Row],[Stock]]&lt;ARTICULOS_VENEZOLANO[[#This Row],[Minimo]],ARTICULOS_VENEZOLANO[[#This Row],[Maximo]]-ARTICULOS_VENEZOLANO[[#This Row],[Stock]],0)</f>
        <v>13</v>
      </c>
      <c r="Y77">
        <f>MROUND(ARTICULOS_VENEZOLANO[[#This Row],[Pedido Unidad]]/ARTICULOS_VENEZOLANO[[#This Row],[Bulto]],1)</f>
        <v>1</v>
      </c>
      <c r="Z77">
        <v>10</v>
      </c>
      <c r="AA77" s="54">
        <v>1</v>
      </c>
      <c r="AB77" s="80">
        <f>ARTICULOS_VENEZOLANO[[#This Row],[Costo]]*ARTICULOS_VENEZOLANO[[#This Row],[Bulto]]*ARTICULOS_VENEZOLANO[[#This Row],[Pedido Bultos]]</f>
        <v>10</v>
      </c>
      <c r="AE77"/>
      <c r="AF77"/>
      <c r="AH77" s="2" t="str">
        <f>IF(AND(ARTICULOS_VENEZOLANO[[#This Row],[FechaVenc]]=0,ARTICULOS_VENEZOLANO[[#This Row],[DiasVenc]]=0),"",ARTICULOS_VENEZOLANO[[#This Row],[FechaVenc]]-ARTICULOS_VENEZOLANO[[#This Row],[DiasVenc]])</f>
        <v/>
      </c>
      <c r="AO77" t="s">
        <v>8689</v>
      </c>
    </row>
    <row r="78" spans="1:41" x14ac:dyDescent="0.25">
      <c r="A78" s="1" t="s">
        <v>8825</v>
      </c>
      <c r="C78" t="str">
        <f t="shared" si="5"/>
        <v>VEN5044</v>
      </c>
      <c r="D78" t="s">
        <v>8689</v>
      </c>
      <c r="E78" s="24" t="s">
        <v>8826</v>
      </c>
      <c r="F78" s="61">
        <v>1</v>
      </c>
      <c r="G78" s="122">
        <v>0</v>
      </c>
      <c r="H78" s="3">
        <v>0</v>
      </c>
      <c r="I78" s="54">
        <v>0</v>
      </c>
      <c r="J78" s="66">
        <f>((ARTICULOS_VENEZOLANO[[#This Row],[P. Compra]]*(1+ARTICULOS_VENEZOLANO[[#This Row],[IVA]]))/ARTICULOS_VENEZOLANO[[#This Row],[UnidFact]])+ARTICULOS_VENEZOLANO[[#This Row],[Flete]]</f>
        <v>1</v>
      </c>
      <c r="K78">
        <v>30</v>
      </c>
      <c r="L78" s="39">
        <f t="shared" si="6"/>
        <v>50</v>
      </c>
      <c r="M78" s="125">
        <f>MROUND((ARTICULOS_VENEZOLANO[[#This Row],[Precio]]/0.6),50)</f>
        <v>100</v>
      </c>
      <c r="N78" t="s">
        <v>61</v>
      </c>
      <c r="O78" t="s">
        <v>42</v>
      </c>
      <c r="P78" t="s">
        <v>102</v>
      </c>
      <c r="Q78" t="s">
        <v>8691</v>
      </c>
      <c r="R78" t="s">
        <v>8692</v>
      </c>
      <c r="S78">
        <v>1</v>
      </c>
      <c r="T78" t="s">
        <v>8693</v>
      </c>
      <c r="U78">
        <v>3</v>
      </c>
      <c r="V78" s="3">
        <f>ARTICULOS_VENEZOLANO[[#This Row],[Bulto]]+ARTICULOS_VENEZOLANO[[#This Row],[Minimo]]</f>
        <v>15</v>
      </c>
      <c r="W78" s="55">
        <v>0</v>
      </c>
      <c r="X78">
        <f>IF(ARTICULOS_VENEZOLANO[[#This Row],[Stock]]&lt;ARTICULOS_VENEZOLANO[[#This Row],[Minimo]],ARTICULOS_VENEZOLANO[[#This Row],[Maximo]]-ARTICULOS_VENEZOLANO[[#This Row],[Stock]],0)</f>
        <v>15</v>
      </c>
      <c r="Y78">
        <f>MROUND(ARTICULOS_VENEZOLANO[[#This Row],[Pedido Unidad]]/ARTICULOS_VENEZOLANO[[#This Row],[Bulto]],1)</f>
        <v>1</v>
      </c>
      <c r="Z78">
        <v>12</v>
      </c>
      <c r="AA78" s="54">
        <v>1</v>
      </c>
      <c r="AB78" s="80">
        <f>ARTICULOS_VENEZOLANO[[#This Row],[Costo]]*ARTICULOS_VENEZOLANO[[#This Row],[Bulto]]*ARTICULOS_VENEZOLANO[[#This Row],[Pedido Bultos]]</f>
        <v>12</v>
      </c>
      <c r="AE78"/>
      <c r="AF78"/>
      <c r="AH78" s="2" t="str">
        <f>IF(AND(ARTICULOS_VENEZOLANO[[#This Row],[FechaVenc]]=0,ARTICULOS_VENEZOLANO[[#This Row],[DiasVenc]]=0),"",ARTICULOS_VENEZOLANO[[#This Row],[FechaVenc]]-ARTICULOS_VENEZOLANO[[#This Row],[DiasVenc]])</f>
        <v/>
      </c>
      <c r="AO78" t="s">
        <v>8689</v>
      </c>
    </row>
    <row r="79" spans="1:41" ht="15" customHeight="1" x14ac:dyDescent="0.25">
      <c r="A79" s="24" t="s">
        <v>8862</v>
      </c>
      <c r="C79" t="str">
        <f t="shared" si="5"/>
        <v>VEN5045</v>
      </c>
      <c r="D79" t="s">
        <v>8693</v>
      </c>
      <c r="E79" s="24" t="s">
        <v>11467</v>
      </c>
      <c r="F79" s="61">
        <v>1</v>
      </c>
      <c r="G79" s="122">
        <v>0</v>
      </c>
      <c r="H79" s="3">
        <v>0</v>
      </c>
      <c r="I79" s="54">
        <v>0</v>
      </c>
      <c r="J79" s="66">
        <f>((ARTICULOS_VENEZOLANO[[#This Row],[P. Compra]]*(1+ARTICULOS_VENEZOLANO[[#This Row],[IVA]]))/ARTICULOS_VENEZOLANO[[#This Row],[UnidFact]])+ARTICULOS_VENEZOLANO[[#This Row],[Flete]]</f>
        <v>1</v>
      </c>
      <c r="K79">
        <v>30</v>
      </c>
      <c r="L79" s="39">
        <f t="shared" si="6"/>
        <v>50</v>
      </c>
      <c r="M79" s="125">
        <f>MROUND((ARTICULOS_VENEZOLANO[[#This Row],[Precio]]/0.6),50)</f>
        <v>100</v>
      </c>
      <c r="N79" t="s">
        <v>35</v>
      </c>
      <c r="O79" t="s">
        <v>42</v>
      </c>
      <c r="P79" t="s">
        <v>86</v>
      </c>
      <c r="Q79" t="s">
        <v>8863</v>
      </c>
      <c r="R79" t="s">
        <v>11760</v>
      </c>
      <c r="S79">
        <v>0.1</v>
      </c>
      <c r="T79" t="s">
        <v>8693</v>
      </c>
      <c r="U79">
        <v>0.2</v>
      </c>
      <c r="V79" s="23">
        <f>ARTICULOS_VENEZOLANO[[#This Row],[Bulto]]+ARTICULOS_VENEZOLANO[[#This Row],[Minimo]]</f>
        <v>2.1</v>
      </c>
      <c r="W79" s="55">
        <v>0</v>
      </c>
      <c r="X79">
        <f>IF(ARTICULOS_VENEZOLANO[[#This Row],[Stock]]&lt;ARTICULOS_VENEZOLANO[[#This Row],[Minimo]],ARTICULOS_VENEZOLANO[[#This Row],[Maximo]]-ARTICULOS_VENEZOLANO[[#This Row],[Stock]],0)</f>
        <v>2.1</v>
      </c>
      <c r="Y79">
        <f>MROUND(ARTICULOS_VENEZOLANO[[#This Row],[Pedido Unidad]]/ARTICULOS_VENEZOLANO[[#This Row],[Bulto]],1)</f>
        <v>1</v>
      </c>
      <c r="Z79">
        <v>1.9</v>
      </c>
      <c r="AA79" s="54">
        <v>1</v>
      </c>
      <c r="AB79" s="80">
        <f>ARTICULOS_VENEZOLANO[[#This Row],[Costo]]*ARTICULOS_VENEZOLANO[[#This Row],[Bulto]]*ARTICULOS_VENEZOLANO[[#This Row],[Pedido Bultos]]</f>
        <v>1.9</v>
      </c>
      <c r="AE79"/>
      <c r="AF79" s="2"/>
      <c r="AH79" s="2" t="str">
        <f>IF(AND(ARTICULOS_VENEZOLANO[[#This Row],[FechaVenc]]=0,ARTICULOS_VENEZOLANO[[#This Row],[DiasVenc]]=0),"",ARTICULOS_VENEZOLANO[[#This Row],[FechaVenc]]-ARTICULOS_VENEZOLANO[[#This Row],[DiasVenc]])</f>
        <v/>
      </c>
      <c r="AO79" t="s">
        <v>8689</v>
      </c>
    </row>
    <row r="80" spans="1:41" x14ac:dyDescent="0.25">
      <c r="A80" s="24" t="s">
        <v>8864</v>
      </c>
      <c r="C80" t="str">
        <f t="shared" si="5"/>
        <v>VEN5046</v>
      </c>
      <c r="D80" t="s">
        <v>8693</v>
      </c>
      <c r="E80" s="24" t="s">
        <v>8865</v>
      </c>
      <c r="F80" s="61">
        <v>1</v>
      </c>
      <c r="G80" s="122">
        <v>0</v>
      </c>
      <c r="H80" s="3">
        <v>0</v>
      </c>
      <c r="I80" s="54">
        <v>0</v>
      </c>
      <c r="J80" s="66">
        <f>((ARTICULOS_VENEZOLANO[[#This Row],[P. Compra]]*(1+ARTICULOS_VENEZOLANO[[#This Row],[IVA]]))/ARTICULOS_VENEZOLANO[[#This Row],[UnidFact]])+ARTICULOS_VENEZOLANO[[#This Row],[Flete]]</f>
        <v>1</v>
      </c>
      <c r="K80">
        <v>30</v>
      </c>
      <c r="L80" s="39">
        <f t="shared" si="6"/>
        <v>50</v>
      </c>
      <c r="M80" s="125">
        <f>MROUND((ARTICULOS_VENEZOLANO[[#This Row],[Precio]]/0.6),50)</f>
        <v>100</v>
      </c>
      <c r="N80" t="s">
        <v>35</v>
      </c>
      <c r="O80" t="s">
        <v>42</v>
      </c>
      <c r="P80" t="s">
        <v>86</v>
      </c>
      <c r="Q80" t="s">
        <v>8863</v>
      </c>
      <c r="R80" t="s">
        <v>11760</v>
      </c>
      <c r="S80">
        <v>0.1</v>
      </c>
      <c r="T80" t="s">
        <v>8693</v>
      </c>
      <c r="U80">
        <v>0.2</v>
      </c>
      <c r="V80" s="23">
        <f>ARTICULOS_VENEZOLANO[[#This Row],[Bulto]]+ARTICULOS_VENEZOLANO[[#This Row],[Minimo]]</f>
        <v>2.1</v>
      </c>
      <c r="W80" s="55">
        <v>0</v>
      </c>
      <c r="X80">
        <f>IF(ARTICULOS_VENEZOLANO[[#This Row],[Stock]]&lt;ARTICULOS_VENEZOLANO[[#This Row],[Minimo]],ARTICULOS_VENEZOLANO[[#This Row],[Maximo]]-ARTICULOS_VENEZOLANO[[#This Row],[Stock]],0)</f>
        <v>2.1</v>
      </c>
      <c r="Y80">
        <f>MROUND(ARTICULOS_VENEZOLANO[[#This Row],[Pedido Unidad]]/ARTICULOS_VENEZOLANO[[#This Row],[Bulto]],1)</f>
        <v>1</v>
      </c>
      <c r="Z80">
        <v>1.9</v>
      </c>
      <c r="AA80" s="54">
        <v>1</v>
      </c>
      <c r="AB80" s="80">
        <f>ARTICULOS_VENEZOLANO[[#This Row],[Costo]]*ARTICULOS_VENEZOLANO[[#This Row],[Bulto]]*ARTICULOS_VENEZOLANO[[#This Row],[Pedido Bultos]]</f>
        <v>1.9</v>
      </c>
      <c r="AE80"/>
      <c r="AF80"/>
      <c r="AH80" s="2" t="str">
        <f>IF(AND(ARTICULOS_VENEZOLANO[[#This Row],[FechaVenc]]=0,ARTICULOS_VENEZOLANO[[#This Row],[DiasVenc]]=0),"",ARTICULOS_VENEZOLANO[[#This Row],[FechaVenc]]-ARTICULOS_VENEZOLANO[[#This Row],[DiasVenc]])</f>
        <v/>
      </c>
      <c r="AO80" t="s">
        <v>8689</v>
      </c>
    </row>
    <row r="81" spans="1:41" x14ac:dyDescent="0.25">
      <c r="A81" s="24" t="s">
        <v>8866</v>
      </c>
      <c r="C81" t="str">
        <f t="shared" si="5"/>
        <v>VEN5047</v>
      </c>
      <c r="D81" t="s">
        <v>8693</v>
      </c>
      <c r="E81" s="24" t="s">
        <v>8867</v>
      </c>
      <c r="F81" s="61">
        <v>1</v>
      </c>
      <c r="G81" s="122">
        <v>0</v>
      </c>
      <c r="H81" s="3">
        <v>0</v>
      </c>
      <c r="I81" s="54">
        <v>0</v>
      </c>
      <c r="J81" s="66">
        <f>((ARTICULOS_VENEZOLANO[[#This Row],[P. Compra]]*(1+ARTICULOS_VENEZOLANO[[#This Row],[IVA]]))/ARTICULOS_VENEZOLANO[[#This Row],[UnidFact]])+ARTICULOS_VENEZOLANO[[#This Row],[Flete]]</f>
        <v>1</v>
      </c>
      <c r="K81">
        <v>30</v>
      </c>
      <c r="L81" s="39">
        <f t="shared" si="6"/>
        <v>50</v>
      </c>
      <c r="M81" s="125">
        <f>MROUND((ARTICULOS_VENEZOLANO[[#This Row],[Precio]]/0.6),50)</f>
        <v>100</v>
      </c>
      <c r="N81" t="s">
        <v>35</v>
      </c>
      <c r="O81" t="s">
        <v>42</v>
      </c>
      <c r="P81" t="s">
        <v>86</v>
      </c>
      <c r="Q81" t="s">
        <v>8863</v>
      </c>
      <c r="R81" t="s">
        <v>11760</v>
      </c>
      <c r="S81">
        <v>0.1</v>
      </c>
      <c r="T81" t="s">
        <v>8693</v>
      </c>
      <c r="U81">
        <v>0.2</v>
      </c>
      <c r="V81" s="23">
        <f>ARTICULOS_VENEZOLANO[[#This Row],[Bulto]]+ARTICULOS_VENEZOLANO[[#This Row],[Minimo]]</f>
        <v>2.1</v>
      </c>
      <c r="W81" s="55">
        <v>0</v>
      </c>
      <c r="X81">
        <f>IF(ARTICULOS_VENEZOLANO[[#This Row],[Stock]]&lt;ARTICULOS_VENEZOLANO[[#This Row],[Minimo]],ARTICULOS_VENEZOLANO[[#This Row],[Maximo]]-ARTICULOS_VENEZOLANO[[#This Row],[Stock]],0)</f>
        <v>2.1</v>
      </c>
      <c r="Y81">
        <f>MROUND(ARTICULOS_VENEZOLANO[[#This Row],[Pedido Unidad]]/ARTICULOS_VENEZOLANO[[#This Row],[Bulto]],1)</f>
        <v>1</v>
      </c>
      <c r="Z81">
        <v>1.9</v>
      </c>
      <c r="AA81" s="54">
        <v>1</v>
      </c>
      <c r="AB81" s="80">
        <f>ARTICULOS_VENEZOLANO[[#This Row],[Costo]]*ARTICULOS_VENEZOLANO[[#This Row],[Bulto]]*ARTICULOS_VENEZOLANO[[#This Row],[Pedido Bultos]]</f>
        <v>1.9</v>
      </c>
      <c r="AE81"/>
      <c r="AF81"/>
      <c r="AH81" s="2" t="str">
        <f>IF(AND(ARTICULOS_VENEZOLANO[[#This Row],[FechaVenc]]=0,ARTICULOS_VENEZOLANO[[#This Row],[DiasVenc]]=0),"",ARTICULOS_VENEZOLANO[[#This Row],[FechaVenc]]-ARTICULOS_VENEZOLANO[[#This Row],[DiasVenc]])</f>
        <v/>
      </c>
      <c r="AO81" t="s">
        <v>8689</v>
      </c>
    </row>
    <row r="82" spans="1:41" x14ac:dyDescent="0.25">
      <c r="A82" s="24" t="s">
        <v>12121</v>
      </c>
      <c r="C82" t="str">
        <f t="shared" si="5"/>
        <v>VEN5049</v>
      </c>
      <c r="D82" t="s">
        <v>8693</v>
      </c>
      <c r="E82" s="24" t="s">
        <v>12122</v>
      </c>
      <c r="F82" s="61">
        <v>1</v>
      </c>
      <c r="G82" s="122">
        <v>0</v>
      </c>
      <c r="H82" s="3">
        <v>0</v>
      </c>
      <c r="I82" s="54">
        <v>0</v>
      </c>
      <c r="J82" s="66">
        <f>((ARTICULOS_VENEZOLANO[[#This Row],[P. Compra]]*(1+ARTICULOS_VENEZOLANO[[#This Row],[IVA]]))/ARTICULOS_VENEZOLANO[[#This Row],[UnidFact]])+ARTICULOS_VENEZOLANO[[#This Row],[Flete]]</f>
        <v>1</v>
      </c>
      <c r="K82">
        <v>30</v>
      </c>
      <c r="L82" s="39">
        <f t="shared" si="6"/>
        <v>50</v>
      </c>
      <c r="M82" s="125">
        <f>MROUND((ARTICULOS_VENEZOLANO[[#This Row],[Precio]]/0.6),50)</f>
        <v>100</v>
      </c>
      <c r="N82" t="s">
        <v>35</v>
      </c>
      <c r="O82" t="s">
        <v>42</v>
      </c>
      <c r="P82" t="s">
        <v>86</v>
      </c>
      <c r="Q82" t="s">
        <v>8863</v>
      </c>
      <c r="R82" t="s">
        <v>11760</v>
      </c>
      <c r="S82">
        <v>0.1</v>
      </c>
      <c r="T82" t="s">
        <v>8693</v>
      </c>
      <c r="U82">
        <v>0.2</v>
      </c>
      <c r="V82" s="23">
        <f>ARTICULOS_VENEZOLANO[[#This Row],[Bulto]]+ARTICULOS_VENEZOLANO[[#This Row],[Minimo]]</f>
        <v>2.1</v>
      </c>
      <c r="W82" s="55">
        <v>4.5</v>
      </c>
      <c r="X82">
        <f>IF(ARTICULOS_VENEZOLANO[[#This Row],[Stock]]&lt;ARTICULOS_VENEZOLANO[[#This Row],[Minimo]],ARTICULOS_VENEZOLANO[[#This Row],[Maximo]]-ARTICULOS_VENEZOLANO[[#This Row],[Stock]],0)</f>
        <v>0</v>
      </c>
      <c r="Y82">
        <f>MROUND(ARTICULOS_VENEZOLANO[[#This Row],[Pedido Unidad]]/ARTICULOS_VENEZOLANO[[#This Row],[Bulto]],1)</f>
        <v>0</v>
      </c>
      <c r="Z82">
        <v>1.9</v>
      </c>
      <c r="AA82" s="54">
        <v>1</v>
      </c>
      <c r="AB82" s="80">
        <f>ARTICULOS_VENEZOLANO[[#This Row],[Costo]]*ARTICULOS_VENEZOLANO[[#This Row],[Bulto]]*ARTICULOS_VENEZOLANO[[#This Row],[Pedido Bultos]]</f>
        <v>0</v>
      </c>
      <c r="AE82"/>
      <c r="AF82"/>
      <c r="AH82" s="2" t="str">
        <f>IF(AND(ARTICULOS_VENEZOLANO[[#This Row],[FechaVenc]]=0,ARTICULOS_VENEZOLANO[[#This Row],[DiasVenc]]=0),"",ARTICULOS_VENEZOLANO[[#This Row],[FechaVenc]]-ARTICULOS_VENEZOLANO[[#This Row],[DiasVenc]])</f>
        <v/>
      </c>
      <c r="AO82" t="s">
        <v>8689</v>
      </c>
    </row>
    <row r="83" spans="1:41" ht="15" customHeight="1" x14ac:dyDescent="0.25">
      <c r="A83" s="24" t="s">
        <v>8871</v>
      </c>
      <c r="C83" t="str">
        <f t="shared" si="5"/>
        <v>VEN5048</v>
      </c>
      <c r="D83" s="30" t="s">
        <v>8693</v>
      </c>
      <c r="E83" s="24" t="s">
        <v>8872</v>
      </c>
      <c r="F83" s="61">
        <v>1</v>
      </c>
      <c r="G83" s="122">
        <v>0</v>
      </c>
      <c r="H83" s="3">
        <v>0</v>
      </c>
      <c r="I83" s="54">
        <v>0</v>
      </c>
      <c r="J83" s="66">
        <f>((ARTICULOS_VENEZOLANO[[#This Row],[P. Compra]]*(1+ARTICULOS_VENEZOLANO[[#This Row],[IVA]]))/ARTICULOS_VENEZOLANO[[#This Row],[UnidFact]])+ARTICULOS_VENEZOLANO[[#This Row],[Flete]]</f>
        <v>1</v>
      </c>
      <c r="K83">
        <v>30</v>
      </c>
      <c r="L83" s="39">
        <f t="shared" si="6"/>
        <v>50</v>
      </c>
      <c r="M83" s="125">
        <f>MROUND((ARTICULOS_VENEZOLANO[[#This Row],[Precio]]/0.6),50)</f>
        <v>100</v>
      </c>
      <c r="N83" t="s">
        <v>35</v>
      </c>
      <c r="O83" t="s">
        <v>42</v>
      </c>
      <c r="P83" t="s">
        <v>86</v>
      </c>
      <c r="Q83" s="30" t="s">
        <v>8691</v>
      </c>
      <c r="R83" s="30" t="s">
        <v>11760</v>
      </c>
      <c r="S83">
        <v>0.1</v>
      </c>
      <c r="T83" t="s">
        <v>8693</v>
      </c>
      <c r="U83">
        <v>1</v>
      </c>
      <c r="V83" s="23">
        <f>ARTICULOS_VENEZOLANO[[#This Row],[Bulto]]+ARTICULOS_VENEZOLANO[[#This Row],[Minimo]]</f>
        <v>11</v>
      </c>
      <c r="W83" s="55">
        <v>0</v>
      </c>
      <c r="X83">
        <f>IF(ARTICULOS_VENEZOLANO[[#This Row],[Stock]]&lt;ARTICULOS_VENEZOLANO[[#This Row],[Minimo]],ARTICULOS_VENEZOLANO[[#This Row],[Maximo]]-ARTICULOS_VENEZOLANO[[#This Row],[Stock]],0)</f>
        <v>11</v>
      </c>
      <c r="Y83">
        <f>MROUND(ARTICULOS_VENEZOLANO[[#This Row],[Pedido Unidad]]/ARTICULOS_VENEZOLANO[[#This Row],[Bulto]],1)</f>
        <v>1</v>
      </c>
      <c r="Z83">
        <v>10</v>
      </c>
      <c r="AA83" s="54">
        <v>1</v>
      </c>
      <c r="AB83" s="80">
        <f>ARTICULOS_VENEZOLANO[[#This Row],[Costo]]*ARTICULOS_VENEZOLANO[[#This Row],[Bulto]]*ARTICULOS_VENEZOLANO[[#This Row],[Pedido Bultos]]</f>
        <v>10</v>
      </c>
      <c r="AE83"/>
      <c r="AF83"/>
      <c r="AH83" s="2" t="str">
        <f>IF(AND(ARTICULOS_VENEZOLANO[[#This Row],[FechaVenc]]=0,ARTICULOS_VENEZOLANO[[#This Row],[DiasVenc]]=0),"",ARTICULOS_VENEZOLANO[[#This Row],[FechaVenc]]-ARTICULOS_VENEZOLANO[[#This Row],[DiasVenc]])</f>
        <v/>
      </c>
      <c r="AO83" t="s">
        <v>8689</v>
      </c>
    </row>
    <row r="84" spans="1:41" ht="15" customHeight="1" x14ac:dyDescent="0.25">
      <c r="A84" s="1" t="s">
        <v>11841</v>
      </c>
      <c r="C84" t="str">
        <f t="shared" si="5"/>
        <v>VEN90100951</v>
      </c>
      <c r="D84" t="s">
        <v>8689</v>
      </c>
      <c r="E84" s="24" t="s">
        <v>11842</v>
      </c>
      <c r="F84" s="61">
        <v>1800</v>
      </c>
      <c r="G84" s="122">
        <v>0</v>
      </c>
      <c r="H84" s="3">
        <v>0</v>
      </c>
      <c r="I84" s="54">
        <v>0</v>
      </c>
      <c r="J84" s="66">
        <f>((ARTICULOS_VENEZOLANO[[#This Row],[P. Compra]]*(1+ARTICULOS_VENEZOLANO[[#This Row],[IVA]]))/ARTICULOS_VENEZOLANO[[#This Row],[UnidFact]])+ARTICULOS_VENEZOLANO[[#This Row],[Flete]]</f>
        <v>1800</v>
      </c>
      <c r="K84">
        <v>30</v>
      </c>
      <c r="L84" s="39">
        <f t="shared" si="6"/>
        <v>2600</v>
      </c>
      <c r="M84" s="126">
        <f>MROUND((ARTICULOS_VENEZOLANO[[#This Row],[Precio]]/0.6),50)</f>
        <v>4350</v>
      </c>
      <c r="N84" t="s">
        <v>61</v>
      </c>
      <c r="O84" s="9" t="s">
        <v>42</v>
      </c>
      <c r="P84" t="s">
        <v>52</v>
      </c>
      <c r="Q84" t="s">
        <v>11843</v>
      </c>
      <c r="R84" t="s">
        <v>8692</v>
      </c>
      <c r="S84">
        <v>1</v>
      </c>
      <c r="T84" s="3" t="s">
        <v>8693</v>
      </c>
      <c r="U84">
        <v>1</v>
      </c>
      <c r="V84" s="23">
        <f>ARTICULOS_VENEZOLANO[[#This Row],[Bulto]]+ARTICULOS_VENEZOLANO[[#This Row],[Minimo]]</f>
        <v>7</v>
      </c>
      <c r="W84" s="89">
        <v>3</v>
      </c>
      <c r="X84">
        <f>IF(ARTICULOS_VENEZOLANO[[#This Row],[Stock]]&lt;ARTICULOS_VENEZOLANO[[#This Row],[Minimo]],ARTICULOS_VENEZOLANO[[#This Row],[Maximo]]-ARTICULOS_VENEZOLANO[[#This Row],[Stock]],0)</f>
        <v>0</v>
      </c>
      <c r="Y84">
        <f>MROUND(ARTICULOS_VENEZOLANO[[#This Row],[Pedido Unidad]]/ARTICULOS_VENEZOLANO[[#This Row],[Bulto]],1)</f>
        <v>0</v>
      </c>
      <c r="Z84">
        <v>6</v>
      </c>
      <c r="AA84" s="54">
        <v>1</v>
      </c>
      <c r="AB84" s="80">
        <f>ARTICULOS_VENEZOLANO[[#This Row],[Costo]]*ARTICULOS_VENEZOLANO[[#This Row],[Bulto]]*ARTICULOS_VENEZOLANO[[#This Row],[Pedido Bultos]]</f>
        <v>0</v>
      </c>
      <c r="AE84"/>
      <c r="AF84"/>
      <c r="AH84" s="2" t="str">
        <f>IF(AND(ARTICULOS_VENEZOLANO[[#This Row],[FechaVenc]]=0,ARTICULOS_VENEZOLANO[[#This Row],[DiasVenc]]=0),"",ARTICULOS_VENEZOLANO[[#This Row],[FechaVenc]]-ARTICULOS_VENEZOLANO[[#This Row],[DiasVenc]])</f>
        <v/>
      </c>
      <c r="AO84" t="s">
        <v>8689</v>
      </c>
    </row>
    <row r="85" spans="1:41" x14ac:dyDescent="0.25">
      <c r="A85" s="1" t="s">
        <v>8857</v>
      </c>
      <c r="C85" t="str">
        <f t="shared" si="5"/>
        <v>VEN51131194</v>
      </c>
      <c r="D85" t="s">
        <v>8689</v>
      </c>
      <c r="E85" s="24" t="s">
        <v>8858</v>
      </c>
      <c r="F85" s="61">
        <v>250</v>
      </c>
      <c r="G85" s="122">
        <v>0</v>
      </c>
      <c r="H85" s="3">
        <v>0</v>
      </c>
      <c r="I85" s="54">
        <v>0</v>
      </c>
      <c r="J85" s="66">
        <f>((ARTICULOS_VENEZOLANO[[#This Row],[P. Compra]]*(1+ARTICULOS_VENEZOLANO[[#This Row],[IVA]]))/ARTICULOS_VENEZOLANO[[#This Row],[UnidFact]])+ARTICULOS_VENEZOLANO[[#This Row],[Flete]]</f>
        <v>250</v>
      </c>
      <c r="K85">
        <v>30</v>
      </c>
      <c r="L85" s="39">
        <f t="shared" si="6"/>
        <v>400</v>
      </c>
      <c r="M85" s="125">
        <f>MROUND((ARTICULOS_VENEZOLANO[[#This Row],[Precio]]/0.6),50)</f>
        <v>650</v>
      </c>
      <c r="N85" t="s">
        <v>61</v>
      </c>
      <c r="O85" t="s">
        <v>42</v>
      </c>
      <c r="P85" t="s">
        <v>40</v>
      </c>
      <c r="Q85" t="s">
        <v>8859</v>
      </c>
      <c r="R85" t="s">
        <v>8692</v>
      </c>
      <c r="S85">
        <v>1</v>
      </c>
      <c r="T85" t="s">
        <v>8693</v>
      </c>
      <c r="U85">
        <v>10</v>
      </c>
      <c r="V85" s="3">
        <f>ARTICULOS_VENEZOLANO[[#This Row],[Bulto]]+ARTICULOS_VENEZOLANO[[#This Row],[Minimo]]</f>
        <v>46</v>
      </c>
      <c r="W85" s="55">
        <v>36</v>
      </c>
      <c r="X85">
        <f>IF(ARTICULOS_VENEZOLANO[[#This Row],[Stock]]&lt;ARTICULOS_VENEZOLANO[[#This Row],[Minimo]],ARTICULOS_VENEZOLANO[[#This Row],[Maximo]]-ARTICULOS_VENEZOLANO[[#This Row],[Stock]],0)</f>
        <v>0</v>
      </c>
      <c r="Y85">
        <f>MROUND(ARTICULOS_VENEZOLANO[[#This Row],[Pedido Unidad]]/ARTICULOS_VENEZOLANO[[#This Row],[Bulto]],1)</f>
        <v>0</v>
      </c>
      <c r="Z85">
        <v>36</v>
      </c>
      <c r="AA85" s="54">
        <v>1</v>
      </c>
      <c r="AB85" s="80">
        <f>ARTICULOS_VENEZOLANO[[#This Row],[Costo]]*ARTICULOS_VENEZOLANO[[#This Row],[Bulto]]*ARTICULOS_VENEZOLANO[[#This Row],[Pedido Bultos]]</f>
        <v>0</v>
      </c>
      <c r="AE85"/>
      <c r="AF85"/>
      <c r="AH85" s="2" t="str">
        <f>IF(AND(ARTICULOS_VENEZOLANO[[#This Row],[FechaVenc]]=0,ARTICULOS_VENEZOLANO[[#This Row],[DiasVenc]]=0),"",ARTICULOS_VENEZOLANO[[#This Row],[FechaVenc]]-ARTICULOS_VENEZOLANO[[#This Row],[DiasVenc]])</f>
        <v/>
      </c>
      <c r="AO85" t="s">
        <v>8689</v>
      </c>
    </row>
    <row r="86" spans="1:41" x14ac:dyDescent="0.25">
      <c r="A86" s="1" t="s">
        <v>8860</v>
      </c>
      <c r="C86" t="str">
        <f t="shared" si="5"/>
        <v>VEN75908922</v>
      </c>
      <c r="D86" t="s">
        <v>8689</v>
      </c>
      <c r="E86" s="24" t="s">
        <v>11466</v>
      </c>
      <c r="F86" s="61">
        <v>1</v>
      </c>
      <c r="G86" s="122">
        <v>0</v>
      </c>
      <c r="H86" s="3">
        <v>0</v>
      </c>
      <c r="I86" s="54">
        <v>0</v>
      </c>
      <c r="J86" s="66">
        <f>((ARTICULOS_VENEZOLANO[[#This Row],[P. Compra]]*(1+ARTICULOS_VENEZOLANO[[#This Row],[IVA]]))/ARTICULOS_VENEZOLANO[[#This Row],[UnidFact]])+ARTICULOS_VENEZOLANO[[#This Row],[Flete]]</f>
        <v>1</v>
      </c>
      <c r="K86">
        <v>30</v>
      </c>
      <c r="L86" s="39">
        <f t="shared" si="6"/>
        <v>50</v>
      </c>
      <c r="M86" s="125">
        <f>MROUND((ARTICULOS_VENEZOLANO[[#This Row],[Precio]]/0.6),50)</f>
        <v>100</v>
      </c>
      <c r="N86" t="s">
        <v>35</v>
      </c>
      <c r="O86" t="s">
        <v>42</v>
      </c>
      <c r="P86" t="s">
        <v>86</v>
      </c>
      <c r="Q86" t="s">
        <v>8861</v>
      </c>
      <c r="R86" t="s">
        <v>8692</v>
      </c>
      <c r="S86">
        <v>1</v>
      </c>
      <c r="T86" t="s">
        <v>8693</v>
      </c>
      <c r="U86">
        <v>4</v>
      </c>
      <c r="V86" s="3">
        <f>ARTICULOS_VENEZOLANO[[#This Row],[Bulto]]+ARTICULOS_VENEZOLANO[[#This Row],[Minimo]]</f>
        <v>24</v>
      </c>
      <c r="W86" s="55">
        <v>0</v>
      </c>
      <c r="X86">
        <f>IF(ARTICULOS_VENEZOLANO[[#This Row],[Stock]]&lt;ARTICULOS_VENEZOLANO[[#This Row],[Minimo]],ARTICULOS_VENEZOLANO[[#This Row],[Maximo]]-ARTICULOS_VENEZOLANO[[#This Row],[Stock]],0)</f>
        <v>24</v>
      </c>
      <c r="Y86">
        <f>MROUND(ARTICULOS_VENEZOLANO[[#This Row],[Pedido Unidad]]/ARTICULOS_VENEZOLANO[[#This Row],[Bulto]],1)</f>
        <v>1</v>
      </c>
      <c r="Z86">
        <v>20</v>
      </c>
      <c r="AA86" s="54">
        <v>1</v>
      </c>
      <c r="AB86" s="80">
        <f>ARTICULOS_VENEZOLANO[[#This Row],[Costo]]*ARTICULOS_VENEZOLANO[[#This Row],[Bulto]]*ARTICULOS_VENEZOLANO[[#This Row],[Pedido Bultos]]</f>
        <v>20</v>
      </c>
      <c r="AE86"/>
      <c r="AF86"/>
      <c r="AH86" s="2" t="str">
        <f>IF(AND(ARTICULOS_VENEZOLANO[[#This Row],[FechaVenc]]=0,ARTICULOS_VENEZOLANO[[#This Row],[DiasVenc]]=0),"",ARTICULOS_VENEZOLANO[[#This Row],[FechaVenc]]-ARTICULOS_VENEZOLANO[[#This Row],[DiasVenc]])</f>
        <v/>
      </c>
      <c r="AO86" t="s">
        <v>8689</v>
      </c>
    </row>
    <row r="87" spans="1:41" x14ac:dyDescent="0.25">
      <c r="A87" s="24" t="s">
        <v>8868</v>
      </c>
      <c r="C87" t="str">
        <f t="shared" si="5"/>
        <v>VEN36000049</v>
      </c>
      <c r="D87" s="30" t="s">
        <v>8689</v>
      </c>
      <c r="E87" s="24" t="s">
        <v>8869</v>
      </c>
      <c r="F87" s="61">
        <v>1</v>
      </c>
      <c r="G87" s="122">
        <v>0</v>
      </c>
      <c r="H87" s="3">
        <v>0</v>
      </c>
      <c r="I87" s="54">
        <v>0</v>
      </c>
      <c r="J87" s="66">
        <f>((ARTICULOS_VENEZOLANO[[#This Row],[P. Compra]]*(1+ARTICULOS_VENEZOLANO[[#This Row],[IVA]]))/ARTICULOS_VENEZOLANO[[#This Row],[UnidFact]])+ARTICULOS_VENEZOLANO[[#This Row],[Flete]]</f>
        <v>1</v>
      </c>
      <c r="K87">
        <v>30</v>
      </c>
      <c r="L87" s="39">
        <f t="shared" si="6"/>
        <v>50</v>
      </c>
      <c r="M87" s="125">
        <f>MROUND((ARTICULOS_VENEZOLANO[[#This Row],[Precio]]/0.6),50)</f>
        <v>100</v>
      </c>
      <c r="N87" t="s">
        <v>35</v>
      </c>
      <c r="O87" t="s">
        <v>42</v>
      </c>
      <c r="P87" t="s">
        <v>86</v>
      </c>
      <c r="Q87" t="s">
        <v>8870</v>
      </c>
      <c r="R87" t="s">
        <v>8692</v>
      </c>
      <c r="S87">
        <v>1</v>
      </c>
      <c r="T87" t="s">
        <v>8693</v>
      </c>
      <c r="U87">
        <v>10</v>
      </c>
      <c r="V87" s="23">
        <f>ARTICULOS_VENEZOLANO[[#This Row],[Bulto]]+ARTICULOS_VENEZOLANO[[#This Row],[Minimo]]</f>
        <v>70</v>
      </c>
      <c r="W87" s="55">
        <v>60</v>
      </c>
      <c r="X87">
        <f>IF(ARTICULOS_VENEZOLANO[[#This Row],[Stock]]&lt;ARTICULOS_VENEZOLANO[[#This Row],[Minimo]],ARTICULOS_VENEZOLANO[[#This Row],[Maximo]]-ARTICULOS_VENEZOLANO[[#This Row],[Stock]],0)</f>
        <v>0</v>
      </c>
      <c r="Y87">
        <f>MROUND(ARTICULOS_VENEZOLANO[[#This Row],[Pedido Unidad]]/ARTICULOS_VENEZOLANO[[#This Row],[Bulto]],1)</f>
        <v>0</v>
      </c>
      <c r="Z87">
        <v>60</v>
      </c>
      <c r="AA87" s="54">
        <v>1</v>
      </c>
      <c r="AB87" s="80">
        <f>ARTICULOS_VENEZOLANO[[#This Row],[Costo]]*ARTICULOS_VENEZOLANO[[#This Row],[Bulto]]*ARTICULOS_VENEZOLANO[[#This Row],[Pedido Bultos]]</f>
        <v>0</v>
      </c>
      <c r="AE87"/>
      <c r="AF87"/>
      <c r="AH87" s="2" t="str">
        <f>IF(AND(ARTICULOS_VENEZOLANO[[#This Row],[FechaVenc]]=0,ARTICULOS_VENEZOLANO[[#This Row],[DiasVenc]]=0),"",ARTICULOS_VENEZOLANO[[#This Row],[FechaVenc]]-ARTICULOS_VENEZOLANO[[#This Row],[DiasVenc]])</f>
        <v/>
      </c>
      <c r="AO87" t="s">
        <v>8689</v>
      </c>
    </row>
    <row r="88" spans="1:41" x14ac:dyDescent="0.25">
      <c r="A88" s="1" t="s">
        <v>12165</v>
      </c>
      <c r="C88" t="str">
        <f t="shared" ref="C88:C93" si="7">CONCATENATE(LEFT(O88,3),RIGHT(A88,8))</f>
        <v>VEN5100</v>
      </c>
      <c r="D88" t="s">
        <v>8689</v>
      </c>
      <c r="E88" s="24" t="s">
        <v>12166</v>
      </c>
      <c r="F88" s="61">
        <v>3795</v>
      </c>
      <c r="G88" s="122">
        <v>0</v>
      </c>
      <c r="H88" s="3">
        <v>0</v>
      </c>
      <c r="I88" s="54">
        <v>0</v>
      </c>
      <c r="J88" s="66">
        <f>((ARTICULOS_VENEZOLANO[[#This Row],[P. Compra]]*(1+ARTICULOS_VENEZOLANO[[#This Row],[IVA]]))/ARTICULOS_VENEZOLANO[[#This Row],[UnidFact]])+ARTICULOS_VENEZOLANO[[#This Row],[Flete]]</f>
        <v>3795</v>
      </c>
      <c r="K88">
        <v>30</v>
      </c>
      <c r="L88" s="39">
        <f t="shared" si="6"/>
        <v>5400</v>
      </c>
      <c r="M88" s="125">
        <f>MROUND((ARTICULOS_VENEZOLANO[[#This Row],[Precio]]/0.6),50)</f>
        <v>9000</v>
      </c>
      <c r="N88" t="s">
        <v>61</v>
      </c>
      <c r="O88" t="s">
        <v>42</v>
      </c>
      <c r="P88" t="s">
        <v>89</v>
      </c>
      <c r="Q88" t="s">
        <v>12177</v>
      </c>
      <c r="R88" t="s">
        <v>8692</v>
      </c>
      <c r="S88">
        <v>1</v>
      </c>
      <c r="T88" t="s">
        <v>8693</v>
      </c>
      <c r="U88">
        <v>6</v>
      </c>
      <c r="V88" s="23">
        <f>ARTICULOS_VENEZOLANO[[#This Row],[Bulto]]+ARTICULOS_VENEZOLANO[[#This Row],[Minimo]]</f>
        <v>12</v>
      </c>
      <c r="W88" s="55">
        <v>0</v>
      </c>
      <c r="X88">
        <f>IF(ARTICULOS_VENEZOLANO[[#This Row],[Stock]]&lt;ARTICULOS_VENEZOLANO[[#This Row],[Minimo]],ARTICULOS_VENEZOLANO[[#This Row],[Maximo]]-ARTICULOS_VENEZOLANO[[#This Row],[Stock]],0)</f>
        <v>12</v>
      </c>
      <c r="Y88">
        <f>MROUND(ARTICULOS_VENEZOLANO[[#This Row],[Pedido Unidad]]/ARTICULOS_VENEZOLANO[[#This Row],[Bulto]],1)</f>
        <v>2</v>
      </c>
      <c r="Z88">
        <v>6</v>
      </c>
      <c r="AA88" s="54">
        <v>1</v>
      </c>
      <c r="AB88" s="80">
        <f>ARTICULOS_VENEZOLANO[[#This Row],[Costo]]*ARTICULOS_VENEZOLANO[[#This Row],[Bulto]]*ARTICULOS_VENEZOLANO[[#This Row],[Pedido Bultos]]</f>
        <v>45540</v>
      </c>
      <c r="AH88" s="2" t="str">
        <f>IF(AND(ARTICULOS_VENEZOLANO[[#This Row],[FechaVenc]]=0,ARTICULOS_VENEZOLANO[[#This Row],[DiasVenc]]=0),"",ARTICULOS_VENEZOLANO[[#This Row],[FechaVenc]]-ARTICULOS_VENEZOLANO[[#This Row],[DiasVenc]])</f>
        <v/>
      </c>
      <c r="AO88" t="s">
        <v>8689</v>
      </c>
    </row>
    <row r="89" spans="1:41" x14ac:dyDescent="0.25">
      <c r="A89" s="1" t="s">
        <v>12167</v>
      </c>
      <c r="C89" t="str">
        <f t="shared" si="7"/>
        <v>VEN5101</v>
      </c>
      <c r="D89" t="s">
        <v>8689</v>
      </c>
      <c r="E89" s="24" t="s">
        <v>12168</v>
      </c>
      <c r="F89" s="61">
        <v>3151</v>
      </c>
      <c r="G89" s="122">
        <v>0</v>
      </c>
      <c r="H89" s="3">
        <v>0</v>
      </c>
      <c r="I89" s="54">
        <v>0</v>
      </c>
      <c r="J89" s="66">
        <f>((ARTICULOS_VENEZOLANO[[#This Row],[P. Compra]]*(1+ARTICULOS_VENEZOLANO[[#This Row],[IVA]]))/ARTICULOS_VENEZOLANO[[#This Row],[UnidFact]])+ARTICULOS_VENEZOLANO[[#This Row],[Flete]]</f>
        <v>3151</v>
      </c>
      <c r="K89">
        <v>30</v>
      </c>
      <c r="L89" s="39">
        <f t="shared" si="6"/>
        <v>4500</v>
      </c>
      <c r="M89" s="125">
        <f>MROUND((ARTICULOS_VENEZOLANO[[#This Row],[Precio]]/0.6),50)</f>
        <v>7500</v>
      </c>
      <c r="N89" t="s">
        <v>61</v>
      </c>
      <c r="O89" t="s">
        <v>42</v>
      </c>
      <c r="P89" t="s">
        <v>89</v>
      </c>
      <c r="Q89" t="s">
        <v>12177</v>
      </c>
      <c r="R89" t="s">
        <v>8692</v>
      </c>
      <c r="S89">
        <v>2</v>
      </c>
      <c r="T89" t="s">
        <v>8693</v>
      </c>
      <c r="U89">
        <v>7</v>
      </c>
      <c r="V89" s="23">
        <f>ARTICULOS_VENEZOLANO[[#This Row],[Bulto]]+ARTICULOS_VENEZOLANO[[#This Row],[Minimo]]</f>
        <v>13</v>
      </c>
      <c r="W89" s="55">
        <v>1</v>
      </c>
      <c r="X89">
        <f>IF(ARTICULOS_VENEZOLANO[[#This Row],[Stock]]&lt;ARTICULOS_VENEZOLANO[[#This Row],[Minimo]],ARTICULOS_VENEZOLANO[[#This Row],[Maximo]]-ARTICULOS_VENEZOLANO[[#This Row],[Stock]],0)</f>
        <v>12</v>
      </c>
      <c r="Y89">
        <f>MROUND(ARTICULOS_VENEZOLANO[[#This Row],[Pedido Unidad]]/ARTICULOS_VENEZOLANO[[#This Row],[Bulto]],1)</f>
        <v>2</v>
      </c>
      <c r="Z89">
        <v>6</v>
      </c>
      <c r="AA89" s="54">
        <v>1</v>
      </c>
      <c r="AB89" s="80">
        <f>ARTICULOS_VENEZOLANO[[#This Row],[Costo]]*ARTICULOS_VENEZOLANO[[#This Row],[Bulto]]*ARTICULOS_VENEZOLANO[[#This Row],[Pedido Bultos]]</f>
        <v>37812</v>
      </c>
      <c r="AH89" s="2" t="str">
        <f>IF(AND(ARTICULOS_VENEZOLANO[[#This Row],[FechaVenc]]=0,ARTICULOS_VENEZOLANO[[#This Row],[DiasVenc]]=0),"",ARTICULOS_VENEZOLANO[[#This Row],[FechaVenc]]-ARTICULOS_VENEZOLANO[[#This Row],[DiasVenc]])</f>
        <v/>
      </c>
      <c r="AO89" t="s">
        <v>8689</v>
      </c>
    </row>
    <row r="90" spans="1:41" x14ac:dyDescent="0.25">
      <c r="A90" s="1" t="s">
        <v>12169</v>
      </c>
      <c r="C90" t="str">
        <f t="shared" si="7"/>
        <v>VEN5102</v>
      </c>
      <c r="D90" t="s">
        <v>8689</v>
      </c>
      <c r="E90" s="24" t="s">
        <v>12170</v>
      </c>
      <c r="F90" s="61">
        <v>1</v>
      </c>
      <c r="G90" s="122">
        <v>0</v>
      </c>
      <c r="H90" s="3">
        <v>0</v>
      </c>
      <c r="I90" s="54">
        <v>0</v>
      </c>
      <c r="J90" s="66">
        <f>((ARTICULOS_VENEZOLANO[[#This Row],[P. Compra]]*(1+ARTICULOS_VENEZOLANO[[#This Row],[IVA]]))/ARTICULOS_VENEZOLANO[[#This Row],[UnidFact]])+ARTICULOS_VENEZOLANO[[#This Row],[Flete]]</f>
        <v>1</v>
      </c>
      <c r="K90">
        <v>30</v>
      </c>
      <c r="L90" s="39">
        <f t="shared" si="6"/>
        <v>50</v>
      </c>
      <c r="M90" s="125">
        <f>MROUND((ARTICULOS_VENEZOLANO[[#This Row],[Precio]]/0.6),50)</f>
        <v>100</v>
      </c>
      <c r="N90" t="s">
        <v>61</v>
      </c>
      <c r="O90" t="s">
        <v>42</v>
      </c>
      <c r="P90" t="s">
        <v>89</v>
      </c>
      <c r="Q90" t="s">
        <v>12177</v>
      </c>
      <c r="R90" t="s">
        <v>8692</v>
      </c>
      <c r="S90">
        <v>3</v>
      </c>
      <c r="T90" t="s">
        <v>8693</v>
      </c>
      <c r="U90">
        <v>8</v>
      </c>
      <c r="V90" s="23">
        <f>ARTICULOS_VENEZOLANO[[#This Row],[Bulto]]+ARTICULOS_VENEZOLANO[[#This Row],[Minimo]]</f>
        <v>14</v>
      </c>
      <c r="W90" s="55">
        <v>2</v>
      </c>
      <c r="X90">
        <f>IF(ARTICULOS_VENEZOLANO[[#This Row],[Stock]]&lt;ARTICULOS_VENEZOLANO[[#This Row],[Minimo]],ARTICULOS_VENEZOLANO[[#This Row],[Maximo]]-ARTICULOS_VENEZOLANO[[#This Row],[Stock]],0)</f>
        <v>12</v>
      </c>
      <c r="Y90">
        <f>MROUND(ARTICULOS_VENEZOLANO[[#This Row],[Pedido Unidad]]/ARTICULOS_VENEZOLANO[[#This Row],[Bulto]],1)</f>
        <v>2</v>
      </c>
      <c r="Z90">
        <v>6</v>
      </c>
      <c r="AA90" s="54">
        <v>1</v>
      </c>
      <c r="AB90" s="80">
        <f>ARTICULOS_VENEZOLANO[[#This Row],[Costo]]*ARTICULOS_VENEZOLANO[[#This Row],[Bulto]]*ARTICULOS_VENEZOLANO[[#This Row],[Pedido Bultos]]</f>
        <v>12</v>
      </c>
      <c r="AH90" s="2" t="str">
        <f>IF(AND(ARTICULOS_VENEZOLANO[[#This Row],[FechaVenc]]=0,ARTICULOS_VENEZOLANO[[#This Row],[DiasVenc]]=0),"",ARTICULOS_VENEZOLANO[[#This Row],[FechaVenc]]-ARTICULOS_VENEZOLANO[[#This Row],[DiasVenc]])</f>
        <v/>
      </c>
      <c r="AO90" t="s">
        <v>8689</v>
      </c>
    </row>
    <row r="91" spans="1:41" x14ac:dyDescent="0.25">
      <c r="A91" s="1" t="s">
        <v>12171</v>
      </c>
      <c r="C91" t="str">
        <f t="shared" si="7"/>
        <v>VEN5103</v>
      </c>
      <c r="D91" t="s">
        <v>8689</v>
      </c>
      <c r="E91" s="24" t="s">
        <v>12172</v>
      </c>
      <c r="F91" s="61">
        <v>1</v>
      </c>
      <c r="G91" s="122">
        <v>0</v>
      </c>
      <c r="H91" s="3">
        <v>0</v>
      </c>
      <c r="I91" s="54">
        <v>0</v>
      </c>
      <c r="J91" s="66">
        <f>((ARTICULOS_VENEZOLANO[[#This Row],[P. Compra]]*(1+ARTICULOS_VENEZOLANO[[#This Row],[IVA]]))/ARTICULOS_VENEZOLANO[[#This Row],[UnidFact]])+ARTICULOS_VENEZOLANO[[#This Row],[Flete]]</f>
        <v>1</v>
      </c>
      <c r="K91">
        <v>30</v>
      </c>
      <c r="L91" s="39">
        <f t="shared" si="6"/>
        <v>50</v>
      </c>
      <c r="M91" s="125">
        <f>MROUND((ARTICULOS_VENEZOLANO[[#This Row],[Precio]]/0.6),50)</f>
        <v>100</v>
      </c>
      <c r="N91" t="s">
        <v>61</v>
      </c>
      <c r="O91" t="s">
        <v>42</v>
      </c>
      <c r="P91" t="s">
        <v>89</v>
      </c>
      <c r="Q91" t="s">
        <v>12177</v>
      </c>
      <c r="R91" t="s">
        <v>8692</v>
      </c>
      <c r="S91">
        <v>4</v>
      </c>
      <c r="T91" t="s">
        <v>8693</v>
      </c>
      <c r="U91">
        <v>9</v>
      </c>
      <c r="V91" s="23">
        <f>ARTICULOS_VENEZOLANO[[#This Row],[Bulto]]+ARTICULOS_VENEZOLANO[[#This Row],[Minimo]]</f>
        <v>15</v>
      </c>
      <c r="W91" s="55">
        <v>3</v>
      </c>
      <c r="X91">
        <f>IF(ARTICULOS_VENEZOLANO[[#This Row],[Stock]]&lt;ARTICULOS_VENEZOLANO[[#This Row],[Minimo]],ARTICULOS_VENEZOLANO[[#This Row],[Maximo]]-ARTICULOS_VENEZOLANO[[#This Row],[Stock]],0)</f>
        <v>12</v>
      </c>
      <c r="Y91">
        <f>MROUND(ARTICULOS_VENEZOLANO[[#This Row],[Pedido Unidad]]/ARTICULOS_VENEZOLANO[[#This Row],[Bulto]],1)</f>
        <v>2</v>
      </c>
      <c r="Z91">
        <v>6</v>
      </c>
      <c r="AA91" s="54">
        <v>1</v>
      </c>
      <c r="AB91" s="80">
        <f>ARTICULOS_VENEZOLANO[[#This Row],[Costo]]*ARTICULOS_VENEZOLANO[[#This Row],[Bulto]]*ARTICULOS_VENEZOLANO[[#This Row],[Pedido Bultos]]</f>
        <v>12</v>
      </c>
      <c r="AH91" s="2" t="str">
        <f>IF(AND(ARTICULOS_VENEZOLANO[[#This Row],[FechaVenc]]=0,ARTICULOS_VENEZOLANO[[#This Row],[DiasVenc]]=0),"",ARTICULOS_VENEZOLANO[[#This Row],[FechaVenc]]-ARTICULOS_VENEZOLANO[[#This Row],[DiasVenc]])</f>
        <v/>
      </c>
      <c r="AO91" t="s">
        <v>8689</v>
      </c>
    </row>
    <row r="92" spans="1:41" x14ac:dyDescent="0.25">
      <c r="A92" s="1" t="s">
        <v>12173</v>
      </c>
      <c r="C92" t="str">
        <f t="shared" si="7"/>
        <v>VEN5104</v>
      </c>
      <c r="D92" t="s">
        <v>8689</v>
      </c>
      <c r="E92" s="24" t="s">
        <v>12174</v>
      </c>
      <c r="F92" s="61">
        <v>1</v>
      </c>
      <c r="G92" s="122">
        <v>0</v>
      </c>
      <c r="H92" s="3">
        <v>0</v>
      </c>
      <c r="I92" s="54">
        <v>0</v>
      </c>
      <c r="J92" s="66">
        <f>((ARTICULOS_VENEZOLANO[[#This Row],[P. Compra]]*(1+ARTICULOS_VENEZOLANO[[#This Row],[IVA]]))/ARTICULOS_VENEZOLANO[[#This Row],[UnidFact]])+ARTICULOS_VENEZOLANO[[#This Row],[Flete]]</f>
        <v>1</v>
      </c>
      <c r="K92">
        <v>30</v>
      </c>
      <c r="L92" s="39">
        <f t="shared" si="6"/>
        <v>50</v>
      </c>
      <c r="M92" s="125">
        <f>MROUND((ARTICULOS_VENEZOLANO[[#This Row],[Precio]]/0.6),50)</f>
        <v>100</v>
      </c>
      <c r="N92" t="s">
        <v>61</v>
      </c>
      <c r="O92" t="s">
        <v>42</v>
      </c>
      <c r="P92" t="s">
        <v>89</v>
      </c>
      <c r="Q92" t="s">
        <v>12177</v>
      </c>
      <c r="R92" t="s">
        <v>8692</v>
      </c>
      <c r="S92">
        <v>5</v>
      </c>
      <c r="T92" t="s">
        <v>8693</v>
      </c>
      <c r="U92">
        <v>10</v>
      </c>
      <c r="V92" s="23">
        <f>ARTICULOS_VENEZOLANO[[#This Row],[Bulto]]+ARTICULOS_VENEZOLANO[[#This Row],[Minimo]]</f>
        <v>16</v>
      </c>
      <c r="W92" s="55">
        <v>4</v>
      </c>
      <c r="X92">
        <f>IF(ARTICULOS_VENEZOLANO[[#This Row],[Stock]]&lt;ARTICULOS_VENEZOLANO[[#This Row],[Minimo]],ARTICULOS_VENEZOLANO[[#This Row],[Maximo]]-ARTICULOS_VENEZOLANO[[#This Row],[Stock]],0)</f>
        <v>12</v>
      </c>
      <c r="Y92">
        <f>MROUND(ARTICULOS_VENEZOLANO[[#This Row],[Pedido Unidad]]/ARTICULOS_VENEZOLANO[[#This Row],[Bulto]],1)</f>
        <v>2</v>
      </c>
      <c r="Z92">
        <v>6</v>
      </c>
      <c r="AA92" s="54">
        <v>1</v>
      </c>
      <c r="AB92" s="80">
        <f>ARTICULOS_VENEZOLANO[[#This Row],[Costo]]*ARTICULOS_VENEZOLANO[[#This Row],[Bulto]]*ARTICULOS_VENEZOLANO[[#This Row],[Pedido Bultos]]</f>
        <v>12</v>
      </c>
      <c r="AH92" s="2" t="str">
        <f>IF(AND(ARTICULOS_VENEZOLANO[[#This Row],[FechaVenc]]=0,ARTICULOS_VENEZOLANO[[#This Row],[DiasVenc]]=0),"",ARTICULOS_VENEZOLANO[[#This Row],[FechaVenc]]-ARTICULOS_VENEZOLANO[[#This Row],[DiasVenc]])</f>
        <v/>
      </c>
      <c r="AO92" t="s">
        <v>8689</v>
      </c>
    </row>
    <row r="93" spans="1:41" x14ac:dyDescent="0.25">
      <c r="A93" s="1" t="s">
        <v>12175</v>
      </c>
      <c r="C93" t="str">
        <f t="shared" si="7"/>
        <v>VEN5105</v>
      </c>
      <c r="D93" t="s">
        <v>8689</v>
      </c>
      <c r="E93" s="24" t="s">
        <v>12176</v>
      </c>
      <c r="F93" s="61">
        <v>1</v>
      </c>
      <c r="G93" s="122">
        <v>0</v>
      </c>
      <c r="H93" s="3">
        <v>0</v>
      </c>
      <c r="I93" s="54">
        <v>0</v>
      </c>
      <c r="J93" s="66">
        <f>((ARTICULOS_VENEZOLANO[[#This Row],[P. Compra]]*(1+ARTICULOS_VENEZOLANO[[#This Row],[IVA]]))/ARTICULOS_VENEZOLANO[[#This Row],[UnidFact]])+ARTICULOS_VENEZOLANO[[#This Row],[Flete]]</f>
        <v>1</v>
      </c>
      <c r="K93">
        <v>30</v>
      </c>
      <c r="L93" s="39">
        <f t="shared" si="6"/>
        <v>50</v>
      </c>
      <c r="M93" s="125">
        <f>MROUND((ARTICULOS_VENEZOLANO[[#This Row],[Precio]]/0.6),50)</f>
        <v>100</v>
      </c>
      <c r="N93" t="s">
        <v>61</v>
      </c>
      <c r="O93" t="s">
        <v>42</v>
      </c>
      <c r="P93" t="s">
        <v>89</v>
      </c>
      <c r="Q93" t="s">
        <v>12177</v>
      </c>
      <c r="R93" t="s">
        <v>8692</v>
      </c>
      <c r="S93">
        <v>6</v>
      </c>
      <c r="T93" t="s">
        <v>8693</v>
      </c>
      <c r="U93">
        <v>11</v>
      </c>
      <c r="V93" s="23">
        <f>ARTICULOS_VENEZOLANO[[#This Row],[Bulto]]+ARTICULOS_VENEZOLANO[[#This Row],[Minimo]]</f>
        <v>17</v>
      </c>
      <c r="W93" s="55">
        <v>5</v>
      </c>
      <c r="X93">
        <f>IF(ARTICULOS_VENEZOLANO[[#This Row],[Stock]]&lt;ARTICULOS_VENEZOLANO[[#This Row],[Minimo]],ARTICULOS_VENEZOLANO[[#This Row],[Maximo]]-ARTICULOS_VENEZOLANO[[#This Row],[Stock]],0)</f>
        <v>12</v>
      </c>
      <c r="Y93">
        <f>MROUND(ARTICULOS_VENEZOLANO[[#This Row],[Pedido Unidad]]/ARTICULOS_VENEZOLANO[[#This Row],[Bulto]],1)</f>
        <v>2</v>
      </c>
      <c r="Z93">
        <v>6</v>
      </c>
      <c r="AA93" s="54">
        <v>1</v>
      </c>
      <c r="AB93" s="80">
        <f>ARTICULOS_VENEZOLANO[[#This Row],[Costo]]*ARTICULOS_VENEZOLANO[[#This Row],[Bulto]]*ARTICULOS_VENEZOLANO[[#This Row],[Pedido Bultos]]</f>
        <v>12</v>
      </c>
      <c r="AH93" s="2" t="str">
        <f>IF(AND(ARTICULOS_VENEZOLANO[[#This Row],[FechaVenc]]=0,ARTICULOS_VENEZOLANO[[#This Row],[DiasVenc]]=0),"",ARTICULOS_VENEZOLANO[[#This Row],[FechaVenc]]-ARTICULOS_VENEZOLANO[[#This Row],[DiasVenc]])</f>
        <v/>
      </c>
      <c r="AO93" t="s">
        <v>8689</v>
      </c>
    </row>
  </sheetData>
  <phoneticPr fontId="16" type="noConversion"/>
  <conditionalFormatting sqref="A1:A1048576">
    <cfRule type="duplicateValues" dxfId="225" priority="2"/>
  </conditionalFormatting>
  <conditionalFormatting sqref="C1:C1048576">
    <cfRule type="duplicateValues" dxfId="224" priority="1"/>
  </conditionalFormatting>
  <conditionalFormatting sqref="J1:J93">
    <cfRule type="cellIs" dxfId="223" priority="6" operator="greaterThan">
      <formula>0</formula>
    </cfRule>
  </conditionalFormatting>
  <pageMargins left="0" right="0" top="0" bottom="0" header="0.31496062992125984" footer="0.31496062992125984"/>
  <pageSetup paperSize="9" scale="69" fitToWidth="0"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76F2CD-F0B3-4C8B-A37B-9C36F7C50090}">
          <x14:formula1>
            <xm:f>LISTAS!$C:$C</xm:f>
          </x14:formula1>
          <xm:sqref>O2:O93</xm:sqref>
        </x14:dataValidation>
        <x14:dataValidation type="list" allowBlank="1" showInputMessage="1" showErrorMessage="1" xr:uid="{47D91319-B4C1-4CE7-83CD-FFBD7A4BC5E3}">
          <x14:formula1>
            <xm:f>LISTAS!$E:$E</xm:f>
          </x14:formula1>
          <xm:sqref>P1:P93</xm:sqref>
        </x14:dataValidation>
        <x14:dataValidation type="list" allowBlank="1" showInputMessage="1" showErrorMessage="1" xr:uid="{96A54E8F-C04B-4C9E-87E5-F0547947F3F3}">
          <x14:formula1>
            <xm:f>LISTAS!$A:$A</xm:f>
          </x14:formula1>
          <xm:sqref>N1:N93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7498-C643-43E4-912D-68EDFF403151}">
  <dimension ref="A1:AQ59"/>
  <sheetViews>
    <sheetView workbookViewId="0">
      <pane xSplit="5" topLeftCell="L1" activePane="topRight" state="frozen"/>
      <selection activeCell="AD34" sqref="AD34"/>
      <selection pane="topRight" activeCell="N3" sqref="N3"/>
    </sheetView>
  </sheetViews>
  <sheetFormatPr baseColWidth="10" defaultColWidth="11.42578125" defaultRowHeight="15.75" x14ac:dyDescent="0.25"/>
  <cols>
    <col min="1" max="1" width="6.7109375" style="1" customWidth="1"/>
    <col min="2" max="2" width="7.5703125" style="1" customWidth="1"/>
    <col min="3" max="3" width="6.85546875" style="1" customWidth="1"/>
    <col min="4" max="4" width="7.42578125" customWidth="1"/>
    <col min="5" max="5" width="52.28515625" style="1" customWidth="1"/>
    <col min="6" max="6" width="12.42578125" style="15" customWidth="1"/>
    <col min="7" max="7" width="7" style="120" bestFit="1" customWidth="1"/>
    <col min="8" max="8" width="5.140625" bestFit="1" customWidth="1"/>
    <col min="9" max="9" width="6.28515625" bestFit="1" customWidth="1"/>
    <col min="10" max="10" width="9.7109375" style="14" bestFit="1" customWidth="1"/>
    <col min="11" max="11" width="10.7109375" bestFit="1" customWidth="1"/>
    <col min="12" max="12" width="10.140625" style="5" bestFit="1" customWidth="1"/>
    <col min="13" max="13" width="11.140625" bestFit="1" customWidth="1"/>
    <col min="18" max="18" width="8.85546875" bestFit="1" customWidth="1"/>
    <col min="23" max="23" width="9.7109375" style="3" bestFit="1" customWidth="1"/>
    <col min="24" max="24" width="9.28515625" style="4" bestFit="1" customWidth="1"/>
    <col min="25" max="25" width="10.28515625" style="3" bestFit="1" customWidth="1"/>
    <col min="26" max="26" width="10.7109375" style="3" bestFit="1" customWidth="1"/>
    <col min="27" max="27" width="12.5703125" bestFit="1" customWidth="1"/>
    <col min="28" max="28" width="8.85546875" bestFit="1" customWidth="1"/>
    <col min="29" max="29" width="12.5703125" bestFit="1" customWidth="1"/>
    <col min="30" max="30" width="11.28515625" style="3" bestFit="1" customWidth="1"/>
    <col min="34" max="34" width="9.28515625" style="3" customWidth="1"/>
    <col min="35" max="35" width="8.140625" customWidth="1"/>
    <col min="36" max="36" width="10" bestFit="1" customWidth="1"/>
    <col min="37" max="37" width="11.5703125" style="3" customWidth="1"/>
    <col min="38" max="38" width="20" customWidth="1"/>
    <col min="39" max="39" width="13.42578125" style="2" bestFit="1" customWidth="1"/>
    <col min="40" max="40" width="11.5703125" customWidth="1"/>
    <col min="41" max="41" width="16.7109375" customWidth="1"/>
    <col min="42" max="42" width="8.85546875" bestFit="1" customWidth="1"/>
    <col min="43" max="43" width="14.28515625" customWidth="1"/>
    <col min="44" max="45" width="13.7109375" customWidth="1"/>
    <col min="48" max="48" width="12.42578125" customWidth="1"/>
    <col min="49" max="49" width="19.42578125" bestFit="1" customWidth="1"/>
    <col min="50" max="50" width="21.42578125" bestFit="1" customWidth="1"/>
    <col min="51" max="51" width="10.7109375" customWidth="1"/>
    <col min="52" max="52" width="12.85546875" customWidth="1"/>
    <col min="53" max="53" width="15.42578125" bestFit="1" customWidth="1"/>
    <col min="247" max="247" width="15" bestFit="1" customWidth="1"/>
    <col min="248" max="248" width="68.28515625" bestFit="1" customWidth="1"/>
    <col min="249" max="249" width="9.140625" bestFit="1" customWidth="1"/>
    <col min="250" max="250" width="21.42578125" bestFit="1" customWidth="1"/>
    <col min="251" max="253" width="15.42578125" bestFit="1" customWidth="1"/>
    <col min="254" max="254" width="8.85546875" bestFit="1" customWidth="1"/>
    <col min="255" max="255" width="10" bestFit="1" customWidth="1"/>
    <col min="256" max="256" width="12.7109375" bestFit="1" customWidth="1"/>
    <col min="257" max="257" width="8.85546875" bestFit="1" customWidth="1"/>
    <col min="258" max="258" width="17.7109375" bestFit="1" customWidth="1"/>
    <col min="259" max="259" width="13" bestFit="1" customWidth="1"/>
    <col min="260" max="260" width="13.42578125" bestFit="1" customWidth="1"/>
    <col min="261" max="261" width="10.85546875" bestFit="1" customWidth="1"/>
    <col min="262" max="262" width="26.85546875" bestFit="1" customWidth="1"/>
    <col min="263" max="263" width="20.85546875" bestFit="1" customWidth="1"/>
    <col min="264" max="264" width="30.42578125" bestFit="1" customWidth="1"/>
    <col min="265" max="265" width="19.42578125" bestFit="1" customWidth="1"/>
    <col min="266" max="266" width="20.28515625" bestFit="1" customWidth="1"/>
    <col min="267" max="268" width="12" bestFit="1" customWidth="1"/>
    <col min="269" max="270" width="12.5703125" bestFit="1" customWidth="1"/>
    <col min="271" max="271" width="11.7109375" bestFit="1" customWidth="1"/>
    <col min="272" max="272" width="19" bestFit="1" customWidth="1"/>
    <col min="273" max="273" width="12.140625" bestFit="1" customWidth="1"/>
    <col min="503" max="503" width="15" bestFit="1" customWidth="1"/>
    <col min="504" max="504" width="68.28515625" bestFit="1" customWidth="1"/>
    <col min="505" max="505" width="9.140625" bestFit="1" customWidth="1"/>
    <col min="506" max="506" width="21.42578125" bestFit="1" customWidth="1"/>
    <col min="507" max="509" width="15.42578125" bestFit="1" customWidth="1"/>
    <col min="510" max="510" width="8.85546875" bestFit="1" customWidth="1"/>
    <col min="511" max="511" width="10" bestFit="1" customWidth="1"/>
    <col min="512" max="512" width="12.7109375" bestFit="1" customWidth="1"/>
    <col min="513" max="513" width="8.85546875" bestFit="1" customWidth="1"/>
    <col min="514" max="514" width="17.7109375" bestFit="1" customWidth="1"/>
    <col min="515" max="515" width="13" bestFit="1" customWidth="1"/>
    <col min="516" max="516" width="13.42578125" bestFit="1" customWidth="1"/>
    <col min="517" max="517" width="10.85546875" bestFit="1" customWidth="1"/>
    <col min="518" max="518" width="26.85546875" bestFit="1" customWidth="1"/>
    <col min="519" max="519" width="20.85546875" bestFit="1" customWidth="1"/>
    <col min="520" max="520" width="30.42578125" bestFit="1" customWidth="1"/>
    <col min="521" max="521" width="19.42578125" bestFit="1" customWidth="1"/>
    <col min="522" max="522" width="20.28515625" bestFit="1" customWidth="1"/>
    <col min="523" max="524" width="12" bestFit="1" customWidth="1"/>
    <col min="525" max="526" width="12.5703125" bestFit="1" customWidth="1"/>
    <col min="527" max="527" width="11.7109375" bestFit="1" customWidth="1"/>
    <col min="528" max="528" width="19" bestFit="1" customWidth="1"/>
    <col min="529" max="529" width="12.140625" bestFit="1" customWidth="1"/>
    <col min="759" max="759" width="15" bestFit="1" customWidth="1"/>
    <col min="760" max="760" width="68.28515625" bestFit="1" customWidth="1"/>
    <col min="761" max="761" width="9.140625" bestFit="1" customWidth="1"/>
    <col min="762" max="762" width="21.42578125" bestFit="1" customWidth="1"/>
    <col min="763" max="765" width="15.42578125" bestFit="1" customWidth="1"/>
    <col min="766" max="766" width="8.85546875" bestFit="1" customWidth="1"/>
    <col min="767" max="767" width="10" bestFit="1" customWidth="1"/>
    <col min="768" max="768" width="12.7109375" bestFit="1" customWidth="1"/>
    <col min="769" max="769" width="8.85546875" bestFit="1" customWidth="1"/>
    <col min="770" max="770" width="17.7109375" bestFit="1" customWidth="1"/>
    <col min="771" max="771" width="13" bestFit="1" customWidth="1"/>
    <col min="772" max="772" width="13.42578125" bestFit="1" customWidth="1"/>
    <col min="773" max="773" width="10.85546875" bestFit="1" customWidth="1"/>
    <col min="774" max="774" width="26.85546875" bestFit="1" customWidth="1"/>
    <col min="775" max="775" width="20.85546875" bestFit="1" customWidth="1"/>
    <col min="776" max="776" width="30.42578125" bestFit="1" customWidth="1"/>
    <col min="777" max="777" width="19.42578125" bestFit="1" customWidth="1"/>
    <col min="778" max="778" width="20.28515625" bestFit="1" customWidth="1"/>
    <col min="779" max="780" width="12" bestFit="1" customWidth="1"/>
    <col min="781" max="782" width="12.5703125" bestFit="1" customWidth="1"/>
    <col min="783" max="783" width="11.7109375" bestFit="1" customWidth="1"/>
    <col min="784" max="784" width="19" bestFit="1" customWidth="1"/>
    <col min="785" max="785" width="12.140625" bestFit="1" customWidth="1"/>
    <col min="1015" max="1015" width="15" bestFit="1" customWidth="1"/>
    <col min="1016" max="1016" width="68.28515625" bestFit="1" customWidth="1"/>
    <col min="1017" max="1017" width="9.140625" bestFit="1" customWidth="1"/>
    <col min="1018" max="1018" width="21.42578125" bestFit="1" customWidth="1"/>
    <col min="1019" max="1021" width="15.42578125" bestFit="1" customWidth="1"/>
    <col min="1022" max="1022" width="8.85546875" bestFit="1" customWidth="1"/>
    <col min="1023" max="1023" width="10" bestFit="1" customWidth="1"/>
    <col min="1024" max="1024" width="12.7109375" bestFit="1" customWidth="1"/>
    <col min="1025" max="1025" width="8.85546875" bestFit="1" customWidth="1"/>
    <col min="1026" max="1026" width="17.7109375" bestFit="1" customWidth="1"/>
    <col min="1027" max="1027" width="13" bestFit="1" customWidth="1"/>
    <col min="1028" max="1028" width="13.42578125" bestFit="1" customWidth="1"/>
    <col min="1029" max="1029" width="10.85546875" bestFit="1" customWidth="1"/>
    <col min="1030" max="1030" width="26.85546875" bestFit="1" customWidth="1"/>
    <col min="1031" max="1031" width="20.85546875" bestFit="1" customWidth="1"/>
    <col min="1032" max="1032" width="30.42578125" bestFit="1" customWidth="1"/>
    <col min="1033" max="1033" width="19.42578125" bestFit="1" customWidth="1"/>
    <col min="1034" max="1034" width="20.28515625" bestFit="1" customWidth="1"/>
    <col min="1035" max="1036" width="12" bestFit="1" customWidth="1"/>
    <col min="1037" max="1038" width="12.5703125" bestFit="1" customWidth="1"/>
    <col min="1039" max="1039" width="11.7109375" bestFit="1" customWidth="1"/>
    <col min="1040" max="1040" width="19" bestFit="1" customWidth="1"/>
    <col min="1041" max="1041" width="12.140625" bestFit="1" customWidth="1"/>
    <col min="1271" max="1271" width="15" bestFit="1" customWidth="1"/>
    <col min="1272" max="1272" width="68.28515625" bestFit="1" customWidth="1"/>
    <col min="1273" max="1273" width="9.140625" bestFit="1" customWidth="1"/>
    <col min="1274" max="1274" width="21.42578125" bestFit="1" customWidth="1"/>
    <col min="1275" max="1277" width="15.42578125" bestFit="1" customWidth="1"/>
    <col min="1278" max="1278" width="8.85546875" bestFit="1" customWidth="1"/>
    <col min="1279" max="1279" width="10" bestFit="1" customWidth="1"/>
    <col min="1280" max="1280" width="12.7109375" bestFit="1" customWidth="1"/>
    <col min="1281" max="1281" width="8.85546875" bestFit="1" customWidth="1"/>
    <col min="1282" max="1282" width="17.7109375" bestFit="1" customWidth="1"/>
    <col min="1283" max="1283" width="13" bestFit="1" customWidth="1"/>
    <col min="1284" max="1284" width="13.42578125" bestFit="1" customWidth="1"/>
    <col min="1285" max="1285" width="10.85546875" bestFit="1" customWidth="1"/>
    <col min="1286" max="1286" width="26.85546875" bestFit="1" customWidth="1"/>
    <col min="1287" max="1287" width="20.85546875" bestFit="1" customWidth="1"/>
    <col min="1288" max="1288" width="30.42578125" bestFit="1" customWidth="1"/>
    <col min="1289" max="1289" width="19.42578125" bestFit="1" customWidth="1"/>
    <col min="1290" max="1290" width="20.28515625" bestFit="1" customWidth="1"/>
    <col min="1291" max="1292" width="12" bestFit="1" customWidth="1"/>
    <col min="1293" max="1294" width="12.5703125" bestFit="1" customWidth="1"/>
    <col min="1295" max="1295" width="11.7109375" bestFit="1" customWidth="1"/>
    <col min="1296" max="1296" width="19" bestFit="1" customWidth="1"/>
    <col min="1297" max="1297" width="12.140625" bestFit="1" customWidth="1"/>
    <col min="1527" max="1527" width="15" bestFit="1" customWidth="1"/>
    <col min="1528" max="1528" width="68.28515625" bestFit="1" customWidth="1"/>
    <col min="1529" max="1529" width="9.140625" bestFit="1" customWidth="1"/>
    <col min="1530" max="1530" width="21.42578125" bestFit="1" customWidth="1"/>
    <col min="1531" max="1533" width="15.42578125" bestFit="1" customWidth="1"/>
    <col min="1534" max="1534" width="8.85546875" bestFit="1" customWidth="1"/>
    <col min="1535" max="1535" width="10" bestFit="1" customWidth="1"/>
    <col min="1536" max="1536" width="12.7109375" bestFit="1" customWidth="1"/>
    <col min="1537" max="1537" width="8.85546875" bestFit="1" customWidth="1"/>
    <col min="1538" max="1538" width="17.7109375" bestFit="1" customWidth="1"/>
    <col min="1539" max="1539" width="13" bestFit="1" customWidth="1"/>
    <col min="1540" max="1540" width="13.42578125" bestFit="1" customWidth="1"/>
    <col min="1541" max="1541" width="10.85546875" bestFit="1" customWidth="1"/>
    <col min="1542" max="1542" width="26.85546875" bestFit="1" customWidth="1"/>
    <col min="1543" max="1543" width="20.85546875" bestFit="1" customWidth="1"/>
    <col min="1544" max="1544" width="30.42578125" bestFit="1" customWidth="1"/>
    <col min="1545" max="1545" width="19.42578125" bestFit="1" customWidth="1"/>
    <col min="1546" max="1546" width="20.28515625" bestFit="1" customWidth="1"/>
    <col min="1547" max="1548" width="12" bestFit="1" customWidth="1"/>
    <col min="1549" max="1550" width="12.5703125" bestFit="1" customWidth="1"/>
    <col min="1551" max="1551" width="11.7109375" bestFit="1" customWidth="1"/>
    <col min="1552" max="1552" width="19" bestFit="1" customWidth="1"/>
    <col min="1553" max="1553" width="12.140625" bestFit="1" customWidth="1"/>
    <col min="1783" max="1783" width="15" bestFit="1" customWidth="1"/>
    <col min="1784" max="1784" width="68.28515625" bestFit="1" customWidth="1"/>
    <col min="1785" max="1785" width="9.140625" bestFit="1" customWidth="1"/>
    <col min="1786" max="1786" width="21.42578125" bestFit="1" customWidth="1"/>
    <col min="1787" max="1789" width="15.42578125" bestFit="1" customWidth="1"/>
    <col min="1790" max="1790" width="8.85546875" bestFit="1" customWidth="1"/>
    <col min="1791" max="1791" width="10" bestFit="1" customWidth="1"/>
    <col min="1792" max="1792" width="12.7109375" bestFit="1" customWidth="1"/>
    <col min="1793" max="1793" width="8.85546875" bestFit="1" customWidth="1"/>
    <col min="1794" max="1794" width="17.7109375" bestFit="1" customWidth="1"/>
    <col min="1795" max="1795" width="13" bestFit="1" customWidth="1"/>
    <col min="1796" max="1796" width="13.42578125" bestFit="1" customWidth="1"/>
    <col min="1797" max="1797" width="10.85546875" bestFit="1" customWidth="1"/>
    <col min="1798" max="1798" width="26.85546875" bestFit="1" customWidth="1"/>
    <col min="1799" max="1799" width="20.85546875" bestFit="1" customWidth="1"/>
    <col min="1800" max="1800" width="30.42578125" bestFit="1" customWidth="1"/>
    <col min="1801" max="1801" width="19.42578125" bestFit="1" customWidth="1"/>
    <col min="1802" max="1802" width="20.28515625" bestFit="1" customWidth="1"/>
    <col min="1803" max="1804" width="12" bestFit="1" customWidth="1"/>
    <col min="1805" max="1806" width="12.5703125" bestFit="1" customWidth="1"/>
    <col min="1807" max="1807" width="11.7109375" bestFit="1" customWidth="1"/>
    <col min="1808" max="1808" width="19" bestFit="1" customWidth="1"/>
    <col min="1809" max="1809" width="12.140625" bestFit="1" customWidth="1"/>
    <col min="2039" max="2039" width="15" bestFit="1" customWidth="1"/>
    <col min="2040" max="2040" width="68.28515625" bestFit="1" customWidth="1"/>
    <col min="2041" max="2041" width="9.140625" bestFit="1" customWidth="1"/>
    <col min="2042" max="2042" width="21.42578125" bestFit="1" customWidth="1"/>
    <col min="2043" max="2045" width="15.42578125" bestFit="1" customWidth="1"/>
    <col min="2046" max="2046" width="8.85546875" bestFit="1" customWidth="1"/>
    <col min="2047" max="2047" width="10" bestFit="1" customWidth="1"/>
    <col min="2048" max="2048" width="12.7109375" bestFit="1" customWidth="1"/>
    <col min="2049" max="2049" width="8.85546875" bestFit="1" customWidth="1"/>
    <col min="2050" max="2050" width="17.7109375" bestFit="1" customWidth="1"/>
    <col min="2051" max="2051" width="13" bestFit="1" customWidth="1"/>
    <col min="2052" max="2052" width="13.42578125" bestFit="1" customWidth="1"/>
    <col min="2053" max="2053" width="10.85546875" bestFit="1" customWidth="1"/>
    <col min="2054" max="2054" width="26.85546875" bestFit="1" customWidth="1"/>
    <col min="2055" max="2055" width="20.85546875" bestFit="1" customWidth="1"/>
    <col min="2056" max="2056" width="30.42578125" bestFit="1" customWidth="1"/>
    <col min="2057" max="2057" width="19.42578125" bestFit="1" customWidth="1"/>
    <col min="2058" max="2058" width="20.28515625" bestFit="1" customWidth="1"/>
    <col min="2059" max="2060" width="12" bestFit="1" customWidth="1"/>
    <col min="2061" max="2062" width="12.5703125" bestFit="1" customWidth="1"/>
    <col min="2063" max="2063" width="11.7109375" bestFit="1" customWidth="1"/>
    <col min="2064" max="2064" width="19" bestFit="1" customWidth="1"/>
    <col min="2065" max="2065" width="12.140625" bestFit="1" customWidth="1"/>
    <col min="2295" max="2295" width="15" bestFit="1" customWidth="1"/>
    <col min="2296" max="2296" width="68.28515625" bestFit="1" customWidth="1"/>
    <col min="2297" max="2297" width="9.140625" bestFit="1" customWidth="1"/>
    <col min="2298" max="2298" width="21.42578125" bestFit="1" customWidth="1"/>
    <col min="2299" max="2301" width="15.42578125" bestFit="1" customWidth="1"/>
    <col min="2302" max="2302" width="8.85546875" bestFit="1" customWidth="1"/>
    <col min="2303" max="2303" width="10" bestFit="1" customWidth="1"/>
    <col min="2304" max="2304" width="12.7109375" bestFit="1" customWidth="1"/>
    <col min="2305" max="2305" width="8.85546875" bestFit="1" customWidth="1"/>
    <col min="2306" max="2306" width="17.7109375" bestFit="1" customWidth="1"/>
    <col min="2307" max="2307" width="13" bestFit="1" customWidth="1"/>
    <col min="2308" max="2308" width="13.42578125" bestFit="1" customWidth="1"/>
    <col min="2309" max="2309" width="10.85546875" bestFit="1" customWidth="1"/>
    <col min="2310" max="2310" width="26.85546875" bestFit="1" customWidth="1"/>
    <col min="2311" max="2311" width="20.85546875" bestFit="1" customWidth="1"/>
    <col min="2312" max="2312" width="30.42578125" bestFit="1" customWidth="1"/>
    <col min="2313" max="2313" width="19.42578125" bestFit="1" customWidth="1"/>
    <col min="2314" max="2314" width="20.28515625" bestFit="1" customWidth="1"/>
    <col min="2315" max="2316" width="12" bestFit="1" customWidth="1"/>
    <col min="2317" max="2318" width="12.5703125" bestFit="1" customWidth="1"/>
    <col min="2319" max="2319" width="11.7109375" bestFit="1" customWidth="1"/>
    <col min="2320" max="2320" width="19" bestFit="1" customWidth="1"/>
    <col min="2321" max="2321" width="12.140625" bestFit="1" customWidth="1"/>
    <col min="2551" max="2551" width="15" bestFit="1" customWidth="1"/>
    <col min="2552" max="2552" width="68.28515625" bestFit="1" customWidth="1"/>
    <col min="2553" max="2553" width="9.140625" bestFit="1" customWidth="1"/>
    <col min="2554" max="2554" width="21.42578125" bestFit="1" customWidth="1"/>
    <col min="2555" max="2557" width="15.42578125" bestFit="1" customWidth="1"/>
    <col min="2558" max="2558" width="8.85546875" bestFit="1" customWidth="1"/>
    <col min="2559" max="2559" width="10" bestFit="1" customWidth="1"/>
    <col min="2560" max="2560" width="12.7109375" bestFit="1" customWidth="1"/>
    <col min="2561" max="2561" width="8.85546875" bestFit="1" customWidth="1"/>
    <col min="2562" max="2562" width="17.7109375" bestFit="1" customWidth="1"/>
    <col min="2563" max="2563" width="13" bestFit="1" customWidth="1"/>
    <col min="2564" max="2564" width="13.42578125" bestFit="1" customWidth="1"/>
    <col min="2565" max="2565" width="10.85546875" bestFit="1" customWidth="1"/>
    <col min="2566" max="2566" width="26.85546875" bestFit="1" customWidth="1"/>
    <col min="2567" max="2567" width="20.85546875" bestFit="1" customWidth="1"/>
    <col min="2568" max="2568" width="30.42578125" bestFit="1" customWidth="1"/>
    <col min="2569" max="2569" width="19.42578125" bestFit="1" customWidth="1"/>
    <col min="2570" max="2570" width="20.28515625" bestFit="1" customWidth="1"/>
    <col min="2571" max="2572" width="12" bestFit="1" customWidth="1"/>
    <col min="2573" max="2574" width="12.5703125" bestFit="1" customWidth="1"/>
    <col min="2575" max="2575" width="11.7109375" bestFit="1" customWidth="1"/>
    <col min="2576" max="2576" width="19" bestFit="1" customWidth="1"/>
    <col min="2577" max="2577" width="12.140625" bestFit="1" customWidth="1"/>
    <col min="2807" max="2807" width="15" bestFit="1" customWidth="1"/>
    <col min="2808" max="2808" width="68.28515625" bestFit="1" customWidth="1"/>
    <col min="2809" max="2809" width="9.140625" bestFit="1" customWidth="1"/>
    <col min="2810" max="2810" width="21.42578125" bestFit="1" customWidth="1"/>
    <col min="2811" max="2813" width="15.42578125" bestFit="1" customWidth="1"/>
    <col min="2814" max="2814" width="8.85546875" bestFit="1" customWidth="1"/>
    <col min="2815" max="2815" width="10" bestFit="1" customWidth="1"/>
    <col min="2816" max="2816" width="12.7109375" bestFit="1" customWidth="1"/>
    <col min="2817" max="2817" width="8.85546875" bestFit="1" customWidth="1"/>
    <col min="2818" max="2818" width="17.7109375" bestFit="1" customWidth="1"/>
    <col min="2819" max="2819" width="13" bestFit="1" customWidth="1"/>
    <col min="2820" max="2820" width="13.42578125" bestFit="1" customWidth="1"/>
    <col min="2821" max="2821" width="10.85546875" bestFit="1" customWidth="1"/>
    <col min="2822" max="2822" width="26.85546875" bestFit="1" customWidth="1"/>
    <col min="2823" max="2823" width="20.85546875" bestFit="1" customWidth="1"/>
    <col min="2824" max="2824" width="30.42578125" bestFit="1" customWidth="1"/>
    <col min="2825" max="2825" width="19.42578125" bestFit="1" customWidth="1"/>
    <col min="2826" max="2826" width="20.28515625" bestFit="1" customWidth="1"/>
    <col min="2827" max="2828" width="12" bestFit="1" customWidth="1"/>
    <col min="2829" max="2830" width="12.5703125" bestFit="1" customWidth="1"/>
    <col min="2831" max="2831" width="11.7109375" bestFit="1" customWidth="1"/>
    <col min="2832" max="2832" width="19" bestFit="1" customWidth="1"/>
    <col min="2833" max="2833" width="12.140625" bestFit="1" customWidth="1"/>
    <col min="3063" max="3063" width="15" bestFit="1" customWidth="1"/>
    <col min="3064" max="3064" width="68.28515625" bestFit="1" customWidth="1"/>
    <col min="3065" max="3065" width="9.140625" bestFit="1" customWidth="1"/>
    <col min="3066" max="3066" width="21.42578125" bestFit="1" customWidth="1"/>
    <col min="3067" max="3069" width="15.42578125" bestFit="1" customWidth="1"/>
    <col min="3070" max="3070" width="8.85546875" bestFit="1" customWidth="1"/>
    <col min="3071" max="3071" width="10" bestFit="1" customWidth="1"/>
    <col min="3072" max="3072" width="12.7109375" bestFit="1" customWidth="1"/>
    <col min="3073" max="3073" width="8.85546875" bestFit="1" customWidth="1"/>
    <col min="3074" max="3074" width="17.7109375" bestFit="1" customWidth="1"/>
    <col min="3075" max="3075" width="13" bestFit="1" customWidth="1"/>
    <col min="3076" max="3076" width="13.42578125" bestFit="1" customWidth="1"/>
    <col min="3077" max="3077" width="10.85546875" bestFit="1" customWidth="1"/>
    <col min="3078" max="3078" width="26.85546875" bestFit="1" customWidth="1"/>
    <col min="3079" max="3079" width="20.85546875" bestFit="1" customWidth="1"/>
    <col min="3080" max="3080" width="30.42578125" bestFit="1" customWidth="1"/>
    <col min="3081" max="3081" width="19.42578125" bestFit="1" customWidth="1"/>
    <col min="3082" max="3082" width="20.28515625" bestFit="1" customWidth="1"/>
    <col min="3083" max="3084" width="12" bestFit="1" customWidth="1"/>
    <col min="3085" max="3086" width="12.5703125" bestFit="1" customWidth="1"/>
    <col min="3087" max="3087" width="11.7109375" bestFit="1" customWidth="1"/>
    <col min="3088" max="3088" width="19" bestFit="1" customWidth="1"/>
    <col min="3089" max="3089" width="12.140625" bestFit="1" customWidth="1"/>
    <col min="3319" max="3319" width="15" bestFit="1" customWidth="1"/>
    <col min="3320" max="3320" width="68.28515625" bestFit="1" customWidth="1"/>
    <col min="3321" max="3321" width="9.140625" bestFit="1" customWidth="1"/>
    <col min="3322" max="3322" width="21.42578125" bestFit="1" customWidth="1"/>
    <col min="3323" max="3325" width="15.42578125" bestFit="1" customWidth="1"/>
    <col min="3326" max="3326" width="8.85546875" bestFit="1" customWidth="1"/>
    <col min="3327" max="3327" width="10" bestFit="1" customWidth="1"/>
    <col min="3328" max="3328" width="12.7109375" bestFit="1" customWidth="1"/>
    <col min="3329" max="3329" width="8.85546875" bestFit="1" customWidth="1"/>
    <col min="3330" max="3330" width="17.7109375" bestFit="1" customWidth="1"/>
    <col min="3331" max="3331" width="13" bestFit="1" customWidth="1"/>
    <col min="3332" max="3332" width="13.42578125" bestFit="1" customWidth="1"/>
    <col min="3333" max="3333" width="10.85546875" bestFit="1" customWidth="1"/>
    <col min="3334" max="3334" width="26.85546875" bestFit="1" customWidth="1"/>
    <col min="3335" max="3335" width="20.85546875" bestFit="1" customWidth="1"/>
    <col min="3336" max="3336" width="30.42578125" bestFit="1" customWidth="1"/>
    <col min="3337" max="3337" width="19.42578125" bestFit="1" customWidth="1"/>
    <col min="3338" max="3338" width="20.28515625" bestFit="1" customWidth="1"/>
    <col min="3339" max="3340" width="12" bestFit="1" customWidth="1"/>
    <col min="3341" max="3342" width="12.5703125" bestFit="1" customWidth="1"/>
    <col min="3343" max="3343" width="11.7109375" bestFit="1" customWidth="1"/>
    <col min="3344" max="3344" width="19" bestFit="1" customWidth="1"/>
    <col min="3345" max="3345" width="12.140625" bestFit="1" customWidth="1"/>
    <col min="3575" max="3575" width="15" bestFit="1" customWidth="1"/>
    <col min="3576" max="3576" width="68.28515625" bestFit="1" customWidth="1"/>
    <col min="3577" max="3577" width="9.140625" bestFit="1" customWidth="1"/>
    <col min="3578" max="3578" width="21.42578125" bestFit="1" customWidth="1"/>
    <col min="3579" max="3581" width="15.42578125" bestFit="1" customWidth="1"/>
    <col min="3582" max="3582" width="8.85546875" bestFit="1" customWidth="1"/>
    <col min="3583" max="3583" width="10" bestFit="1" customWidth="1"/>
    <col min="3584" max="3584" width="12.7109375" bestFit="1" customWidth="1"/>
    <col min="3585" max="3585" width="8.85546875" bestFit="1" customWidth="1"/>
    <col min="3586" max="3586" width="17.7109375" bestFit="1" customWidth="1"/>
    <col min="3587" max="3587" width="13" bestFit="1" customWidth="1"/>
    <col min="3588" max="3588" width="13.42578125" bestFit="1" customWidth="1"/>
    <col min="3589" max="3589" width="10.85546875" bestFit="1" customWidth="1"/>
    <col min="3590" max="3590" width="26.85546875" bestFit="1" customWidth="1"/>
    <col min="3591" max="3591" width="20.85546875" bestFit="1" customWidth="1"/>
    <col min="3592" max="3592" width="30.42578125" bestFit="1" customWidth="1"/>
    <col min="3593" max="3593" width="19.42578125" bestFit="1" customWidth="1"/>
    <col min="3594" max="3594" width="20.28515625" bestFit="1" customWidth="1"/>
    <col min="3595" max="3596" width="12" bestFit="1" customWidth="1"/>
    <col min="3597" max="3598" width="12.5703125" bestFit="1" customWidth="1"/>
    <col min="3599" max="3599" width="11.7109375" bestFit="1" customWidth="1"/>
    <col min="3600" max="3600" width="19" bestFit="1" customWidth="1"/>
    <col min="3601" max="3601" width="12.140625" bestFit="1" customWidth="1"/>
    <col min="3831" max="3831" width="15" bestFit="1" customWidth="1"/>
    <col min="3832" max="3832" width="68.28515625" bestFit="1" customWidth="1"/>
    <col min="3833" max="3833" width="9.140625" bestFit="1" customWidth="1"/>
    <col min="3834" max="3834" width="21.42578125" bestFit="1" customWidth="1"/>
    <col min="3835" max="3837" width="15.42578125" bestFit="1" customWidth="1"/>
    <col min="3838" max="3838" width="8.85546875" bestFit="1" customWidth="1"/>
    <col min="3839" max="3839" width="10" bestFit="1" customWidth="1"/>
    <col min="3840" max="3840" width="12.7109375" bestFit="1" customWidth="1"/>
    <col min="3841" max="3841" width="8.85546875" bestFit="1" customWidth="1"/>
    <col min="3842" max="3842" width="17.7109375" bestFit="1" customWidth="1"/>
    <col min="3843" max="3843" width="13" bestFit="1" customWidth="1"/>
    <col min="3844" max="3844" width="13.42578125" bestFit="1" customWidth="1"/>
    <col min="3845" max="3845" width="10.85546875" bestFit="1" customWidth="1"/>
    <col min="3846" max="3846" width="26.85546875" bestFit="1" customWidth="1"/>
    <col min="3847" max="3847" width="20.85546875" bestFit="1" customWidth="1"/>
    <col min="3848" max="3848" width="30.42578125" bestFit="1" customWidth="1"/>
    <col min="3849" max="3849" width="19.42578125" bestFit="1" customWidth="1"/>
    <col min="3850" max="3850" width="20.28515625" bestFit="1" customWidth="1"/>
    <col min="3851" max="3852" width="12" bestFit="1" customWidth="1"/>
    <col min="3853" max="3854" width="12.5703125" bestFit="1" customWidth="1"/>
    <col min="3855" max="3855" width="11.7109375" bestFit="1" customWidth="1"/>
    <col min="3856" max="3856" width="19" bestFit="1" customWidth="1"/>
    <col min="3857" max="3857" width="12.140625" bestFit="1" customWidth="1"/>
    <col min="4087" max="4087" width="15" bestFit="1" customWidth="1"/>
    <col min="4088" max="4088" width="68.28515625" bestFit="1" customWidth="1"/>
    <col min="4089" max="4089" width="9.140625" bestFit="1" customWidth="1"/>
    <col min="4090" max="4090" width="21.42578125" bestFit="1" customWidth="1"/>
    <col min="4091" max="4093" width="15.42578125" bestFit="1" customWidth="1"/>
    <col min="4094" max="4094" width="8.85546875" bestFit="1" customWidth="1"/>
    <col min="4095" max="4095" width="10" bestFit="1" customWidth="1"/>
    <col min="4096" max="4096" width="12.7109375" bestFit="1" customWidth="1"/>
    <col min="4097" max="4097" width="8.85546875" bestFit="1" customWidth="1"/>
    <col min="4098" max="4098" width="17.7109375" bestFit="1" customWidth="1"/>
    <col min="4099" max="4099" width="13" bestFit="1" customWidth="1"/>
    <col min="4100" max="4100" width="13.42578125" bestFit="1" customWidth="1"/>
    <col min="4101" max="4101" width="10.85546875" bestFit="1" customWidth="1"/>
    <col min="4102" max="4102" width="26.85546875" bestFit="1" customWidth="1"/>
    <col min="4103" max="4103" width="20.85546875" bestFit="1" customWidth="1"/>
    <col min="4104" max="4104" width="30.42578125" bestFit="1" customWidth="1"/>
    <col min="4105" max="4105" width="19.42578125" bestFit="1" customWidth="1"/>
    <col min="4106" max="4106" width="20.28515625" bestFit="1" customWidth="1"/>
    <col min="4107" max="4108" width="12" bestFit="1" customWidth="1"/>
    <col min="4109" max="4110" width="12.5703125" bestFit="1" customWidth="1"/>
    <col min="4111" max="4111" width="11.7109375" bestFit="1" customWidth="1"/>
    <col min="4112" max="4112" width="19" bestFit="1" customWidth="1"/>
    <col min="4113" max="4113" width="12.140625" bestFit="1" customWidth="1"/>
    <col min="4343" max="4343" width="15" bestFit="1" customWidth="1"/>
    <col min="4344" max="4344" width="68.28515625" bestFit="1" customWidth="1"/>
    <col min="4345" max="4345" width="9.140625" bestFit="1" customWidth="1"/>
    <col min="4346" max="4346" width="21.42578125" bestFit="1" customWidth="1"/>
    <col min="4347" max="4349" width="15.42578125" bestFit="1" customWidth="1"/>
    <col min="4350" max="4350" width="8.85546875" bestFit="1" customWidth="1"/>
    <col min="4351" max="4351" width="10" bestFit="1" customWidth="1"/>
    <col min="4352" max="4352" width="12.7109375" bestFit="1" customWidth="1"/>
    <col min="4353" max="4353" width="8.85546875" bestFit="1" customWidth="1"/>
    <col min="4354" max="4354" width="17.7109375" bestFit="1" customWidth="1"/>
    <col min="4355" max="4355" width="13" bestFit="1" customWidth="1"/>
    <col min="4356" max="4356" width="13.42578125" bestFit="1" customWidth="1"/>
    <col min="4357" max="4357" width="10.85546875" bestFit="1" customWidth="1"/>
    <col min="4358" max="4358" width="26.85546875" bestFit="1" customWidth="1"/>
    <col min="4359" max="4359" width="20.85546875" bestFit="1" customWidth="1"/>
    <col min="4360" max="4360" width="30.42578125" bestFit="1" customWidth="1"/>
    <col min="4361" max="4361" width="19.42578125" bestFit="1" customWidth="1"/>
    <col min="4362" max="4362" width="20.28515625" bestFit="1" customWidth="1"/>
    <col min="4363" max="4364" width="12" bestFit="1" customWidth="1"/>
    <col min="4365" max="4366" width="12.5703125" bestFit="1" customWidth="1"/>
    <col min="4367" max="4367" width="11.7109375" bestFit="1" customWidth="1"/>
    <col min="4368" max="4368" width="19" bestFit="1" customWidth="1"/>
    <col min="4369" max="4369" width="12.140625" bestFit="1" customWidth="1"/>
    <col min="4599" max="4599" width="15" bestFit="1" customWidth="1"/>
    <col min="4600" max="4600" width="68.28515625" bestFit="1" customWidth="1"/>
    <col min="4601" max="4601" width="9.140625" bestFit="1" customWidth="1"/>
    <col min="4602" max="4602" width="21.42578125" bestFit="1" customWidth="1"/>
    <col min="4603" max="4605" width="15.42578125" bestFit="1" customWidth="1"/>
    <col min="4606" max="4606" width="8.85546875" bestFit="1" customWidth="1"/>
    <col min="4607" max="4607" width="10" bestFit="1" customWidth="1"/>
    <col min="4608" max="4608" width="12.7109375" bestFit="1" customWidth="1"/>
    <col min="4609" max="4609" width="8.85546875" bestFit="1" customWidth="1"/>
    <col min="4610" max="4610" width="17.7109375" bestFit="1" customWidth="1"/>
    <col min="4611" max="4611" width="13" bestFit="1" customWidth="1"/>
    <col min="4612" max="4612" width="13.42578125" bestFit="1" customWidth="1"/>
    <col min="4613" max="4613" width="10.85546875" bestFit="1" customWidth="1"/>
    <col min="4614" max="4614" width="26.85546875" bestFit="1" customWidth="1"/>
    <col min="4615" max="4615" width="20.85546875" bestFit="1" customWidth="1"/>
    <col min="4616" max="4616" width="30.42578125" bestFit="1" customWidth="1"/>
    <col min="4617" max="4617" width="19.42578125" bestFit="1" customWidth="1"/>
    <col min="4618" max="4618" width="20.28515625" bestFit="1" customWidth="1"/>
    <col min="4619" max="4620" width="12" bestFit="1" customWidth="1"/>
    <col min="4621" max="4622" width="12.5703125" bestFit="1" customWidth="1"/>
    <col min="4623" max="4623" width="11.7109375" bestFit="1" customWidth="1"/>
    <col min="4624" max="4624" width="19" bestFit="1" customWidth="1"/>
    <col min="4625" max="4625" width="12.140625" bestFit="1" customWidth="1"/>
    <col min="4855" max="4855" width="15" bestFit="1" customWidth="1"/>
    <col min="4856" max="4856" width="68.28515625" bestFit="1" customWidth="1"/>
    <col min="4857" max="4857" width="9.140625" bestFit="1" customWidth="1"/>
    <col min="4858" max="4858" width="21.42578125" bestFit="1" customWidth="1"/>
    <col min="4859" max="4861" width="15.42578125" bestFit="1" customWidth="1"/>
    <col min="4862" max="4862" width="8.85546875" bestFit="1" customWidth="1"/>
    <col min="4863" max="4863" width="10" bestFit="1" customWidth="1"/>
    <col min="4864" max="4864" width="12.7109375" bestFit="1" customWidth="1"/>
    <col min="4865" max="4865" width="8.85546875" bestFit="1" customWidth="1"/>
    <col min="4866" max="4866" width="17.7109375" bestFit="1" customWidth="1"/>
    <col min="4867" max="4867" width="13" bestFit="1" customWidth="1"/>
    <col min="4868" max="4868" width="13.42578125" bestFit="1" customWidth="1"/>
    <col min="4869" max="4869" width="10.85546875" bestFit="1" customWidth="1"/>
    <col min="4870" max="4870" width="26.85546875" bestFit="1" customWidth="1"/>
    <col min="4871" max="4871" width="20.85546875" bestFit="1" customWidth="1"/>
    <col min="4872" max="4872" width="30.42578125" bestFit="1" customWidth="1"/>
    <col min="4873" max="4873" width="19.42578125" bestFit="1" customWidth="1"/>
    <col min="4874" max="4874" width="20.28515625" bestFit="1" customWidth="1"/>
    <col min="4875" max="4876" width="12" bestFit="1" customWidth="1"/>
    <col min="4877" max="4878" width="12.5703125" bestFit="1" customWidth="1"/>
    <col min="4879" max="4879" width="11.7109375" bestFit="1" customWidth="1"/>
    <col min="4880" max="4880" width="19" bestFit="1" customWidth="1"/>
    <col min="4881" max="4881" width="12.140625" bestFit="1" customWidth="1"/>
    <col min="5111" max="5111" width="15" bestFit="1" customWidth="1"/>
    <col min="5112" max="5112" width="68.28515625" bestFit="1" customWidth="1"/>
    <col min="5113" max="5113" width="9.140625" bestFit="1" customWidth="1"/>
    <col min="5114" max="5114" width="21.42578125" bestFit="1" customWidth="1"/>
    <col min="5115" max="5117" width="15.42578125" bestFit="1" customWidth="1"/>
    <col min="5118" max="5118" width="8.85546875" bestFit="1" customWidth="1"/>
    <col min="5119" max="5119" width="10" bestFit="1" customWidth="1"/>
    <col min="5120" max="5120" width="12.7109375" bestFit="1" customWidth="1"/>
    <col min="5121" max="5121" width="8.85546875" bestFit="1" customWidth="1"/>
    <col min="5122" max="5122" width="17.7109375" bestFit="1" customWidth="1"/>
    <col min="5123" max="5123" width="13" bestFit="1" customWidth="1"/>
    <col min="5124" max="5124" width="13.42578125" bestFit="1" customWidth="1"/>
    <col min="5125" max="5125" width="10.85546875" bestFit="1" customWidth="1"/>
    <col min="5126" max="5126" width="26.85546875" bestFit="1" customWidth="1"/>
    <col min="5127" max="5127" width="20.85546875" bestFit="1" customWidth="1"/>
    <col min="5128" max="5128" width="30.42578125" bestFit="1" customWidth="1"/>
    <col min="5129" max="5129" width="19.42578125" bestFit="1" customWidth="1"/>
    <col min="5130" max="5130" width="20.28515625" bestFit="1" customWidth="1"/>
    <col min="5131" max="5132" width="12" bestFit="1" customWidth="1"/>
    <col min="5133" max="5134" width="12.5703125" bestFit="1" customWidth="1"/>
    <col min="5135" max="5135" width="11.7109375" bestFit="1" customWidth="1"/>
    <col min="5136" max="5136" width="19" bestFit="1" customWidth="1"/>
    <col min="5137" max="5137" width="12.140625" bestFit="1" customWidth="1"/>
    <col min="5367" max="5367" width="15" bestFit="1" customWidth="1"/>
    <col min="5368" max="5368" width="68.28515625" bestFit="1" customWidth="1"/>
    <col min="5369" max="5369" width="9.140625" bestFit="1" customWidth="1"/>
    <col min="5370" max="5370" width="21.42578125" bestFit="1" customWidth="1"/>
    <col min="5371" max="5373" width="15.42578125" bestFit="1" customWidth="1"/>
    <col min="5374" max="5374" width="8.85546875" bestFit="1" customWidth="1"/>
    <col min="5375" max="5375" width="10" bestFit="1" customWidth="1"/>
    <col min="5376" max="5376" width="12.7109375" bestFit="1" customWidth="1"/>
    <col min="5377" max="5377" width="8.85546875" bestFit="1" customWidth="1"/>
    <col min="5378" max="5378" width="17.7109375" bestFit="1" customWidth="1"/>
    <col min="5379" max="5379" width="13" bestFit="1" customWidth="1"/>
    <col min="5380" max="5380" width="13.42578125" bestFit="1" customWidth="1"/>
    <col min="5381" max="5381" width="10.85546875" bestFit="1" customWidth="1"/>
    <col min="5382" max="5382" width="26.85546875" bestFit="1" customWidth="1"/>
    <col min="5383" max="5383" width="20.85546875" bestFit="1" customWidth="1"/>
    <col min="5384" max="5384" width="30.42578125" bestFit="1" customWidth="1"/>
    <col min="5385" max="5385" width="19.42578125" bestFit="1" customWidth="1"/>
    <col min="5386" max="5386" width="20.28515625" bestFit="1" customWidth="1"/>
    <col min="5387" max="5388" width="12" bestFit="1" customWidth="1"/>
    <col min="5389" max="5390" width="12.5703125" bestFit="1" customWidth="1"/>
    <col min="5391" max="5391" width="11.7109375" bestFit="1" customWidth="1"/>
    <col min="5392" max="5392" width="19" bestFit="1" customWidth="1"/>
    <col min="5393" max="5393" width="12.140625" bestFit="1" customWidth="1"/>
    <col min="5623" max="5623" width="15" bestFit="1" customWidth="1"/>
    <col min="5624" max="5624" width="68.28515625" bestFit="1" customWidth="1"/>
    <col min="5625" max="5625" width="9.140625" bestFit="1" customWidth="1"/>
    <col min="5626" max="5626" width="21.42578125" bestFit="1" customWidth="1"/>
    <col min="5627" max="5629" width="15.42578125" bestFit="1" customWidth="1"/>
    <col min="5630" max="5630" width="8.85546875" bestFit="1" customWidth="1"/>
    <col min="5631" max="5631" width="10" bestFit="1" customWidth="1"/>
    <col min="5632" max="5632" width="12.7109375" bestFit="1" customWidth="1"/>
    <col min="5633" max="5633" width="8.85546875" bestFit="1" customWidth="1"/>
    <col min="5634" max="5634" width="17.7109375" bestFit="1" customWidth="1"/>
    <col min="5635" max="5635" width="13" bestFit="1" customWidth="1"/>
    <col min="5636" max="5636" width="13.42578125" bestFit="1" customWidth="1"/>
    <col min="5637" max="5637" width="10.85546875" bestFit="1" customWidth="1"/>
    <col min="5638" max="5638" width="26.85546875" bestFit="1" customWidth="1"/>
    <col min="5639" max="5639" width="20.85546875" bestFit="1" customWidth="1"/>
    <col min="5640" max="5640" width="30.42578125" bestFit="1" customWidth="1"/>
    <col min="5641" max="5641" width="19.42578125" bestFit="1" customWidth="1"/>
    <col min="5642" max="5642" width="20.28515625" bestFit="1" customWidth="1"/>
    <col min="5643" max="5644" width="12" bestFit="1" customWidth="1"/>
    <col min="5645" max="5646" width="12.5703125" bestFit="1" customWidth="1"/>
    <col min="5647" max="5647" width="11.7109375" bestFit="1" customWidth="1"/>
    <col min="5648" max="5648" width="19" bestFit="1" customWidth="1"/>
    <col min="5649" max="5649" width="12.140625" bestFit="1" customWidth="1"/>
    <col min="5879" max="5879" width="15" bestFit="1" customWidth="1"/>
    <col min="5880" max="5880" width="68.28515625" bestFit="1" customWidth="1"/>
    <col min="5881" max="5881" width="9.140625" bestFit="1" customWidth="1"/>
    <col min="5882" max="5882" width="21.42578125" bestFit="1" customWidth="1"/>
    <col min="5883" max="5885" width="15.42578125" bestFit="1" customWidth="1"/>
    <col min="5886" max="5886" width="8.85546875" bestFit="1" customWidth="1"/>
    <col min="5887" max="5887" width="10" bestFit="1" customWidth="1"/>
    <col min="5888" max="5888" width="12.7109375" bestFit="1" customWidth="1"/>
    <col min="5889" max="5889" width="8.85546875" bestFit="1" customWidth="1"/>
    <col min="5890" max="5890" width="17.7109375" bestFit="1" customWidth="1"/>
    <col min="5891" max="5891" width="13" bestFit="1" customWidth="1"/>
    <col min="5892" max="5892" width="13.42578125" bestFit="1" customWidth="1"/>
    <col min="5893" max="5893" width="10.85546875" bestFit="1" customWidth="1"/>
    <col min="5894" max="5894" width="26.85546875" bestFit="1" customWidth="1"/>
    <col min="5895" max="5895" width="20.85546875" bestFit="1" customWidth="1"/>
    <col min="5896" max="5896" width="30.42578125" bestFit="1" customWidth="1"/>
    <col min="5897" max="5897" width="19.42578125" bestFit="1" customWidth="1"/>
    <col min="5898" max="5898" width="20.28515625" bestFit="1" customWidth="1"/>
    <col min="5899" max="5900" width="12" bestFit="1" customWidth="1"/>
    <col min="5901" max="5902" width="12.5703125" bestFit="1" customWidth="1"/>
    <col min="5903" max="5903" width="11.7109375" bestFit="1" customWidth="1"/>
    <col min="5904" max="5904" width="19" bestFit="1" customWidth="1"/>
    <col min="5905" max="5905" width="12.140625" bestFit="1" customWidth="1"/>
    <col min="6135" max="6135" width="15" bestFit="1" customWidth="1"/>
    <col min="6136" max="6136" width="68.28515625" bestFit="1" customWidth="1"/>
    <col min="6137" max="6137" width="9.140625" bestFit="1" customWidth="1"/>
    <col min="6138" max="6138" width="21.42578125" bestFit="1" customWidth="1"/>
    <col min="6139" max="6141" width="15.42578125" bestFit="1" customWidth="1"/>
    <col min="6142" max="6142" width="8.85546875" bestFit="1" customWidth="1"/>
    <col min="6143" max="6143" width="10" bestFit="1" customWidth="1"/>
    <col min="6144" max="6144" width="12.7109375" bestFit="1" customWidth="1"/>
    <col min="6145" max="6145" width="8.85546875" bestFit="1" customWidth="1"/>
    <col min="6146" max="6146" width="17.7109375" bestFit="1" customWidth="1"/>
    <col min="6147" max="6147" width="13" bestFit="1" customWidth="1"/>
    <col min="6148" max="6148" width="13.42578125" bestFit="1" customWidth="1"/>
    <col min="6149" max="6149" width="10.85546875" bestFit="1" customWidth="1"/>
    <col min="6150" max="6150" width="26.85546875" bestFit="1" customWidth="1"/>
    <col min="6151" max="6151" width="20.85546875" bestFit="1" customWidth="1"/>
    <col min="6152" max="6152" width="30.42578125" bestFit="1" customWidth="1"/>
    <col min="6153" max="6153" width="19.42578125" bestFit="1" customWidth="1"/>
    <col min="6154" max="6154" width="20.28515625" bestFit="1" customWidth="1"/>
    <col min="6155" max="6156" width="12" bestFit="1" customWidth="1"/>
    <col min="6157" max="6158" width="12.5703125" bestFit="1" customWidth="1"/>
    <col min="6159" max="6159" width="11.7109375" bestFit="1" customWidth="1"/>
    <col min="6160" max="6160" width="19" bestFit="1" customWidth="1"/>
    <col min="6161" max="6161" width="12.140625" bestFit="1" customWidth="1"/>
    <col min="6391" max="6391" width="15" bestFit="1" customWidth="1"/>
    <col min="6392" max="6392" width="68.28515625" bestFit="1" customWidth="1"/>
    <col min="6393" max="6393" width="9.140625" bestFit="1" customWidth="1"/>
    <col min="6394" max="6394" width="21.42578125" bestFit="1" customWidth="1"/>
    <col min="6395" max="6397" width="15.42578125" bestFit="1" customWidth="1"/>
    <col min="6398" max="6398" width="8.85546875" bestFit="1" customWidth="1"/>
    <col min="6399" max="6399" width="10" bestFit="1" customWidth="1"/>
    <col min="6400" max="6400" width="12.7109375" bestFit="1" customWidth="1"/>
    <col min="6401" max="6401" width="8.85546875" bestFit="1" customWidth="1"/>
    <col min="6402" max="6402" width="17.7109375" bestFit="1" customWidth="1"/>
    <col min="6403" max="6403" width="13" bestFit="1" customWidth="1"/>
    <col min="6404" max="6404" width="13.42578125" bestFit="1" customWidth="1"/>
    <col min="6405" max="6405" width="10.85546875" bestFit="1" customWidth="1"/>
    <col min="6406" max="6406" width="26.85546875" bestFit="1" customWidth="1"/>
    <col min="6407" max="6407" width="20.85546875" bestFit="1" customWidth="1"/>
    <col min="6408" max="6408" width="30.42578125" bestFit="1" customWidth="1"/>
    <col min="6409" max="6409" width="19.42578125" bestFit="1" customWidth="1"/>
    <col min="6410" max="6410" width="20.28515625" bestFit="1" customWidth="1"/>
    <col min="6411" max="6412" width="12" bestFit="1" customWidth="1"/>
    <col min="6413" max="6414" width="12.5703125" bestFit="1" customWidth="1"/>
    <col min="6415" max="6415" width="11.7109375" bestFit="1" customWidth="1"/>
    <col min="6416" max="6416" width="19" bestFit="1" customWidth="1"/>
    <col min="6417" max="6417" width="12.140625" bestFit="1" customWidth="1"/>
    <col min="6647" max="6647" width="15" bestFit="1" customWidth="1"/>
    <col min="6648" max="6648" width="68.28515625" bestFit="1" customWidth="1"/>
    <col min="6649" max="6649" width="9.140625" bestFit="1" customWidth="1"/>
    <col min="6650" max="6650" width="21.42578125" bestFit="1" customWidth="1"/>
    <col min="6651" max="6653" width="15.42578125" bestFit="1" customWidth="1"/>
    <col min="6654" max="6654" width="8.85546875" bestFit="1" customWidth="1"/>
    <col min="6655" max="6655" width="10" bestFit="1" customWidth="1"/>
    <col min="6656" max="6656" width="12.7109375" bestFit="1" customWidth="1"/>
    <col min="6657" max="6657" width="8.85546875" bestFit="1" customWidth="1"/>
    <col min="6658" max="6658" width="17.7109375" bestFit="1" customWidth="1"/>
    <col min="6659" max="6659" width="13" bestFit="1" customWidth="1"/>
    <col min="6660" max="6660" width="13.42578125" bestFit="1" customWidth="1"/>
    <col min="6661" max="6661" width="10.85546875" bestFit="1" customWidth="1"/>
    <col min="6662" max="6662" width="26.85546875" bestFit="1" customWidth="1"/>
    <col min="6663" max="6663" width="20.85546875" bestFit="1" customWidth="1"/>
    <col min="6664" max="6664" width="30.42578125" bestFit="1" customWidth="1"/>
    <col min="6665" max="6665" width="19.42578125" bestFit="1" customWidth="1"/>
    <col min="6666" max="6666" width="20.28515625" bestFit="1" customWidth="1"/>
    <col min="6667" max="6668" width="12" bestFit="1" customWidth="1"/>
    <col min="6669" max="6670" width="12.5703125" bestFit="1" customWidth="1"/>
    <col min="6671" max="6671" width="11.7109375" bestFit="1" customWidth="1"/>
    <col min="6672" max="6672" width="19" bestFit="1" customWidth="1"/>
    <col min="6673" max="6673" width="12.140625" bestFit="1" customWidth="1"/>
    <col min="6903" max="6903" width="15" bestFit="1" customWidth="1"/>
    <col min="6904" max="6904" width="68.28515625" bestFit="1" customWidth="1"/>
    <col min="6905" max="6905" width="9.140625" bestFit="1" customWidth="1"/>
    <col min="6906" max="6906" width="21.42578125" bestFit="1" customWidth="1"/>
    <col min="6907" max="6909" width="15.42578125" bestFit="1" customWidth="1"/>
    <col min="6910" max="6910" width="8.85546875" bestFit="1" customWidth="1"/>
    <col min="6911" max="6911" width="10" bestFit="1" customWidth="1"/>
    <col min="6912" max="6912" width="12.7109375" bestFit="1" customWidth="1"/>
    <col min="6913" max="6913" width="8.85546875" bestFit="1" customWidth="1"/>
    <col min="6914" max="6914" width="17.7109375" bestFit="1" customWidth="1"/>
    <col min="6915" max="6915" width="13" bestFit="1" customWidth="1"/>
    <col min="6916" max="6916" width="13.42578125" bestFit="1" customWidth="1"/>
    <col min="6917" max="6917" width="10.85546875" bestFit="1" customWidth="1"/>
    <col min="6918" max="6918" width="26.85546875" bestFit="1" customWidth="1"/>
    <col min="6919" max="6919" width="20.85546875" bestFit="1" customWidth="1"/>
    <col min="6920" max="6920" width="30.42578125" bestFit="1" customWidth="1"/>
    <col min="6921" max="6921" width="19.42578125" bestFit="1" customWidth="1"/>
    <col min="6922" max="6922" width="20.28515625" bestFit="1" customWidth="1"/>
    <col min="6923" max="6924" width="12" bestFit="1" customWidth="1"/>
    <col min="6925" max="6926" width="12.5703125" bestFit="1" customWidth="1"/>
    <col min="6927" max="6927" width="11.7109375" bestFit="1" customWidth="1"/>
    <col min="6928" max="6928" width="19" bestFit="1" customWidth="1"/>
    <col min="6929" max="6929" width="12.140625" bestFit="1" customWidth="1"/>
    <col min="7159" max="7159" width="15" bestFit="1" customWidth="1"/>
    <col min="7160" max="7160" width="68.28515625" bestFit="1" customWidth="1"/>
    <col min="7161" max="7161" width="9.140625" bestFit="1" customWidth="1"/>
    <col min="7162" max="7162" width="21.42578125" bestFit="1" customWidth="1"/>
    <col min="7163" max="7165" width="15.42578125" bestFit="1" customWidth="1"/>
    <col min="7166" max="7166" width="8.85546875" bestFit="1" customWidth="1"/>
    <col min="7167" max="7167" width="10" bestFit="1" customWidth="1"/>
    <col min="7168" max="7168" width="12.7109375" bestFit="1" customWidth="1"/>
    <col min="7169" max="7169" width="8.85546875" bestFit="1" customWidth="1"/>
    <col min="7170" max="7170" width="17.7109375" bestFit="1" customWidth="1"/>
    <col min="7171" max="7171" width="13" bestFit="1" customWidth="1"/>
    <col min="7172" max="7172" width="13.42578125" bestFit="1" customWidth="1"/>
    <col min="7173" max="7173" width="10.85546875" bestFit="1" customWidth="1"/>
    <col min="7174" max="7174" width="26.85546875" bestFit="1" customWidth="1"/>
    <col min="7175" max="7175" width="20.85546875" bestFit="1" customWidth="1"/>
    <col min="7176" max="7176" width="30.42578125" bestFit="1" customWidth="1"/>
    <col min="7177" max="7177" width="19.42578125" bestFit="1" customWidth="1"/>
    <col min="7178" max="7178" width="20.28515625" bestFit="1" customWidth="1"/>
    <col min="7179" max="7180" width="12" bestFit="1" customWidth="1"/>
    <col min="7181" max="7182" width="12.5703125" bestFit="1" customWidth="1"/>
    <col min="7183" max="7183" width="11.7109375" bestFit="1" customWidth="1"/>
    <col min="7184" max="7184" width="19" bestFit="1" customWidth="1"/>
    <col min="7185" max="7185" width="12.140625" bestFit="1" customWidth="1"/>
    <col min="7415" max="7415" width="15" bestFit="1" customWidth="1"/>
    <col min="7416" max="7416" width="68.28515625" bestFit="1" customWidth="1"/>
    <col min="7417" max="7417" width="9.140625" bestFit="1" customWidth="1"/>
    <col min="7418" max="7418" width="21.42578125" bestFit="1" customWidth="1"/>
    <col min="7419" max="7421" width="15.42578125" bestFit="1" customWidth="1"/>
    <col min="7422" max="7422" width="8.85546875" bestFit="1" customWidth="1"/>
    <col min="7423" max="7423" width="10" bestFit="1" customWidth="1"/>
    <col min="7424" max="7424" width="12.7109375" bestFit="1" customWidth="1"/>
    <col min="7425" max="7425" width="8.85546875" bestFit="1" customWidth="1"/>
    <col min="7426" max="7426" width="17.7109375" bestFit="1" customWidth="1"/>
    <col min="7427" max="7427" width="13" bestFit="1" customWidth="1"/>
    <col min="7428" max="7428" width="13.42578125" bestFit="1" customWidth="1"/>
    <col min="7429" max="7429" width="10.85546875" bestFit="1" customWidth="1"/>
    <col min="7430" max="7430" width="26.85546875" bestFit="1" customWidth="1"/>
    <col min="7431" max="7431" width="20.85546875" bestFit="1" customWidth="1"/>
    <col min="7432" max="7432" width="30.42578125" bestFit="1" customWidth="1"/>
    <col min="7433" max="7433" width="19.42578125" bestFit="1" customWidth="1"/>
    <col min="7434" max="7434" width="20.28515625" bestFit="1" customWidth="1"/>
    <col min="7435" max="7436" width="12" bestFit="1" customWidth="1"/>
    <col min="7437" max="7438" width="12.5703125" bestFit="1" customWidth="1"/>
    <col min="7439" max="7439" width="11.7109375" bestFit="1" customWidth="1"/>
    <col min="7440" max="7440" width="19" bestFit="1" customWidth="1"/>
    <col min="7441" max="7441" width="12.140625" bestFit="1" customWidth="1"/>
    <col min="7671" max="7671" width="15" bestFit="1" customWidth="1"/>
    <col min="7672" max="7672" width="68.28515625" bestFit="1" customWidth="1"/>
    <col min="7673" max="7673" width="9.140625" bestFit="1" customWidth="1"/>
    <col min="7674" max="7674" width="21.42578125" bestFit="1" customWidth="1"/>
    <col min="7675" max="7677" width="15.42578125" bestFit="1" customWidth="1"/>
    <col min="7678" max="7678" width="8.85546875" bestFit="1" customWidth="1"/>
    <col min="7679" max="7679" width="10" bestFit="1" customWidth="1"/>
    <col min="7680" max="7680" width="12.7109375" bestFit="1" customWidth="1"/>
    <col min="7681" max="7681" width="8.85546875" bestFit="1" customWidth="1"/>
    <col min="7682" max="7682" width="17.7109375" bestFit="1" customWidth="1"/>
    <col min="7683" max="7683" width="13" bestFit="1" customWidth="1"/>
    <col min="7684" max="7684" width="13.42578125" bestFit="1" customWidth="1"/>
    <col min="7685" max="7685" width="10.85546875" bestFit="1" customWidth="1"/>
    <col min="7686" max="7686" width="26.85546875" bestFit="1" customWidth="1"/>
    <col min="7687" max="7687" width="20.85546875" bestFit="1" customWidth="1"/>
    <col min="7688" max="7688" width="30.42578125" bestFit="1" customWidth="1"/>
    <col min="7689" max="7689" width="19.42578125" bestFit="1" customWidth="1"/>
    <col min="7690" max="7690" width="20.28515625" bestFit="1" customWidth="1"/>
    <col min="7691" max="7692" width="12" bestFit="1" customWidth="1"/>
    <col min="7693" max="7694" width="12.5703125" bestFit="1" customWidth="1"/>
    <col min="7695" max="7695" width="11.7109375" bestFit="1" customWidth="1"/>
    <col min="7696" max="7696" width="19" bestFit="1" customWidth="1"/>
    <col min="7697" max="7697" width="12.140625" bestFit="1" customWidth="1"/>
    <col min="7927" max="7927" width="15" bestFit="1" customWidth="1"/>
    <col min="7928" max="7928" width="68.28515625" bestFit="1" customWidth="1"/>
    <col min="7929" max="7929" width="9.140625" bestFit="1" customWidth="1"/>
    <col min="7930" max="7930" width="21.42578125" bestFit="1" customWidth="1"/>
    <col min="7931" max="7933" width="15.42578125" bestFit="1" customWidth="1"/>
    <col min="7934" max="7934" width="8.85546875" bestFit="1" customWidth="1"/>
    <col min="7935" max="7935" width="10" bestFit="1" customWidth="1"/>
    <col min="7936" max="7936" width="12.7109375" bestFit="1" customWidth="1"/>
    <col min="7937" max="7937" width="8.85546875" bestFit="1" customWidth="1"/>
    <col min="7938" max="7938" width="17.7109375" bestFit="1" customWidth="1"/>
    <col min="7939" max="7939" width="13" bestFit="1" customWidth="1"/>
    <col min="7940" max="7940" width="13.42578125" bestFit="1" customWidth="1"/>
    <col min="7941" max="7941" width="10.85546875" bestFit="1" customWidth="1"/>
    <col min="7942" max="7942" width="26.85546875" bestFit="1" customWidth="1"/>
    <col min="7943" max="7943" width="20.85546875" bestFit="1" customWidth="1"/>
    <col min="7944" max="7944" width="30.42578125" bestFit="1" customWidth="1"/>
    <col min="7945" max="7945" width="19.42578125" bestFit="1" customWidth="1"/>
    <col min="7946" max="7946" width="20.28515625" bestFit="1" customWidth="1"/>
    <col min="7947" max="7948" width="12" bestFit="1" customWidth="1"/>
    <col min="7949" max="7950" width="12.5703125" bestFit="1" customWidth="1"/>
    <col min="7951" max="7951" width="11.7109375" bestFit="1" customWidth="1"/>
    <col min="7952" max="7952" width="19" bestFit="1" customWidth="1"/>
    <col min="7953" max="7953" width="12.140625" bestFit="1" customWidth="1"/>
    <col min="8183" max="8183" width="15" bestFit="1" customWidth="1"/>
    <col min="8184" max="8184" width="68.28515625" bestFit="1" customWidth="1"/>
    <col min="8185" max="8185" width="9.140625" bestFit="1" customWidth="1"/>
    <col min="8186" max="8186" width="21.42578125" bestFit="1" customWidth="1"/>
    <col min="8187" max="8189" width="15.42578125" bestFit="1" customWidth="1"/>
    <col min="8190" max="8190" width="8.85546875" bestFit="1" customWidth="1"/>
    <col min="8191" max="8191" width="10" bestFit="1" customWidth="1"/>
    <col min="8192" max="8192" width="12.7109375" bestFit="1" customWidth="1"/>
    <col min="8193" max="8193" width="8.85546875" bestFit="1" customWidth="1"/>
    <col min="8194" max="8194" width="17.7109375" bestFit="1" customWidth="1"/>
    <col min="8195" max="8195" width="13" bestFit="1" customWidth="1"/>
    <col min="8196" max="8196" width="13.42578125" bestFit="1" customWidth="1"/>
    <col min="8197" max="8197" width="10.85546875" bestFit="1" customWidth="1"/>
    <col min="8198" max="8198" width="26.85546875" bestFit="1" customWidth="1"/>
    <col min="8199" max="8199" width="20.85546875" bestFit="1" customWidth="1"/>
    <col min="8200" max="8200" width="30.42578125" bestFit="1" customWidth="1"/>
    <col min="8201" max="8201" width="19.42578125" bestFit="1" customWidth="1"/>
    <col min="8202" max="8202" width="20.28515625" bestFit="1" customWidth="1"/>
    <col min="8203" max="8204" width="12" bestFit="1" customWidth="1"/>
    <col min="8205" max="8206" width="12.5703125" bestFit="1" customWidth="1"/>
    <col min="8207" max="8207" width="11.7109375" bestFit="1" customWidth="1"/>
    <col min="8208" max="8208" width="19" bestFit="1" customWidth="1"/>
    <col min="8209" max="8209" width="12.140625" bestFit="1" customWidth="1"/>
    <col min="8439" max="8439" width="15" bestFit="1" customWidth="1"/>
    <col min="8440" max="8440" width="68.28515625" bestFit="1" customWidth="1"/>
    <col min="8441" max="8441" width="9.140625" bestFit="1" customWidth="1"/>
    <col min="8442" max="8442" width="21.42578125" bestFit="1" customWidth="1"/>
    <col min="8443" max="8445" width="15.42578125" bestFit="1" customWidth="1"/>
    <col min="8446" max="8446" width="8.85546875" bestFit="1" customWidth="1"/>
    <col min="8447" max="8447" width="10" bestFit="1" customWidth="1"/>
    <col min="8448" max="8448" width="12.7109375" bestFit="1" customWidth="1"/>
    <col min="8449" max="8449" width="8.85546875" bestFit="1" customWidth="1"/>
    <col min="8450" max="8450" width="17.7109375" bestFit="1" customWidth="1"/>
    <col min="8451" max="8451" width="13" bestFit="1" customWidth="1"/>
    <col min="8452" max="8452" width="13.42578125" bestFit="1" customWidth="1"/>
    <col min="8453" max="8453" width="10.85546875" bestFit="1" customWidth="1"/>
    <col min="8454" max="8454" width="26.85546875" bestFit="1" customWidth="1"/>
    <col min="8455" max="8455" width="20.85546875" bestFit="1" customWidth="1"/>
    <col min="8456" max="8456" width="30.42578125" bestFit="1" customWidth="1"/>
    <col min="8457" max="8457" width="19.42578125" bestFit="1" customWidth="1"/>
    <col min="8458" max="8458" width="20.28515625" bestFit="1" customWidth="1"/>
    <col min="8459" max="8460" width="12" bestFit="1" customWidth="1"/>
    <col min="8461" max="8462" width="12.5703125" bestFit="1" customWidth="1"/>
    <col min="8463" max="8463" width="11.7109375" bestFit="1" customWidth="1"/>
    <col min="8464" max="8464" width="19" bestFit="1" customWidth="1"/>
    <col min="8465" max="8465" width="12.140625" bestFit="1" customWidth="1"/>
    <col min="8695" max="8695" width="15" bestFit="1" customWidth="1"/>
    <col min="8696" max="8696" width="68.28515625" bestFit="1" customWidth="1"/>
    <col min="8697" max="8697" width="9.140625" bestFit="1" customWidth="1"/>
    <col min="8698" max="8698" width="21.42578125" bestFit="1" customWidth="1"/>
    <col min="8699" max="8701" width="15.42578125" bestFit="1" customWidth="1"/>
    <col min="8702" max="8702" width="8.85546875" bestFit="1" customWidth="1"/>
    <col min="8703" max="8703" width="10" bestFit="1" customWidth="1"/>
    <col min="8704" max="8704" width="12.7109375" bestFit="1" customWidth="1"/>
    <col min="8705" max="8705" width="8.85546875" bestFit="1" customWidth="1"/>
    <col min="8706" max="8706" width="17.7109375" bestFit="1" customWidth="1"/>
    <col min="8707" max="8707" width="13" bestFit="1" customWidth="1"/>
    <col min="8708" max="8708" width="13.42578125" bestFit="1" customWidth="1"/>
    <col min="8709" max="8709" width="10.85546875" bestFit="1" customWidth="1"/>
    <col min="8710" max="8710" width="26.85546875" bestFit="1" customWidth="1"/>
    <col min="8711" max="8711" width="20.85546875" bestFit="1" customWidth="1"/>
    <col min="8712" max="8712" width="30.42578125" bestFit="1" customWidth="1"/>
    <col min="8713" max="8713" width="19.42578125" bestFit="1" customWidth="1"/>
    <col min="8714" max="8714" width="20.28515625" bestFit="1" customWidth="1"/>
    <col min="8715" max="8716" width="12" bestFit="1" customWidth="1"/>
    <col min="8717" max="8718" width="12.5703125" bestFit="1" customWidth="1"/>
    <col min="8719" max="8719" width="11.7109375" bestFit="1" customWidth="1"/>
    <col min="8720" max="8720" width="19" bestFit="1" customWidth="1"/>
    <col min="8721" max="8721" width="12.140625" bestFit="1" customWidth="1"/>
    <col min="8951" max="8951" width="15" bestFit="1" customWidth="1"/>
    <col min="8952" max="8952" width="68.28515625" bestFit="1" customWidth="1"/>
    <col min="8953" max="8953" width="9.140625" bestFit="1" customWidth="1"/>
    <col min="8954" max="8954" width="21.42578125" bestFit="1" customWidth="1"/>
    <col min="8955" max="8957" width="15.42578125" bestFit="1" customWidth="1"/>
    <col min="8958" max="8958" width="8.85546875" bestFit="1" customWidth="1"/>
    <col min="8959" max="8959" width="10" bestFit="1" customWidth="1"/>
    <col min="8960" max="8960" width="12.7109375" bestFit="1" customWidth="1"/>
    <col min="8961" max="8961" width="8.85546875" bestFit="1" customWidth="1"/>
    <col min="8962" max="8962" width="17.7109375" bestFit="1" customWidth="1"/>
    <col min="8963" max="8963" width="13" bestFit="1" customWidth="1"/>
    <col min="8964" max="8964" width="13.42578125" bestFit="1" customWidth="1"/>
    <col min="8965" max="8965" width="10.85546875" bestFit="1" customWidth="1"/>
    <col min="8966" max="8966" width="26.85546875" bestFit="1" customWidth="1"/>
    <col min="8967" max="8967" width="20.85546875" bestFit="1" customWidth="1"/>
    <col min="8968" max="8968" width="30.42578125" bestFit="1" customWidth="1"/>
    <col min="8969" max="8969" width="19.42578125" bestFit="1" customWidth="1"/>
    <col min="8970" max="8970" width="20.28515625" bestFit="1" customWidth="1"/>
    <col min="8971" max="8972" width="12" bestFit="1" customWidth="1"/>
    <col min="8973" max="8974" width="12.5703125" bestFit="1" customWidth="1"/>
    <col min="8975" max="8975" width="11.7109375" bestFit="1" customWidth="1"/>
    <col min="8976" max="8976" width="19" bestFit="1" customWidth="1"/>
    <col min="8977" max="8977" width="12.140625" bestFit="1" customWidth="1"/>
    <col min="9207" max="9207" width="15" bestFit="1" customWidth="1"/>
    <col min="9208" max="9208" width="68.28515625" bestFit="1" customWidth="1"/>
    <col min="9209" max="9209" width="9.140625" bestFit="1" customWidth="1"/>
    <col min="9210" max="9210" width="21.42578125" bestFit="1" customWidth="1"/>
    <col min="9211" max="9213" width="15.42578125" bestFit="1" customWidth="1"/>
    <col min="9214" max="9214" width="8.85546875" bestFit="1" customWidth="1"/>
    <col min="9215" max="9215" width="10" bestFit="1" customWidth="1"/>
    <col min="9216" max="9216" width="12.7109375" bestFit="1" customWidth="1"/>
    <col min="9217" max="9217" width="8.85546875" bestFit="1" customWidth="1"/>
    <col min="9218" max="9218" width="17.7109375" bestFit="1" customWidth="1"/>
    <col min="9219" max="9219" width="13" bestFit="1" customWidth="1"/>
    <col min="9220" max="9220" width="13.42578125" bestFit="1" customWidth="1"/>
    <col min="9221" max="9221" width="10.85546875" bestFit="1" customWidth="1"/>
    <col min="9222" max="9222" width="26.85546875" bestFit="1" customWidth="1"/>
    <col min="9223" max="9223" width="20.85546875" bestFit="1" customWidth="1"/>
    <col min="9224" max="9224" width="30.42578125" bestFit="1" customWidth="1"/>
    <col min="9225" max="9225" width="19.42578125" bestFit="1" customWidth="1"/>
    <col min="9226" max="9226" width="20.28515625" bestFit="1" customWidth="1"/>
    <col min="9227" max="9228" width="12" bestFit="1" customWidth="1"/>
    <col min="9229" max="9230" width="12.5703125" bestFit="1" customWidth="1"/>
    <col min="9231" max="9231" width="11.7109375" bestFit="1" customWidth="1"/>
    <col min="9232" max="9232" width="19" bestFit="1" customWidth="1"/>
    <col min="9233" max="9233" width="12.140625" bestFit="1" customWidth="1"/>
    <col min="9463" max="9463" width="15" bestFit="1" customWidth="1"/>
    <col min="9464" max="9464" width="68.28515625" bestFit="1" customWidth="1"/>
    <col min="9465" max="9465" width="9.140625" bestFit="1" customWidth="1"/>
    <col min="9466" max="9466" width="21.42578125" bestFit="1" customWidth="1"/>
    <col min="9467" max="9469" width="15.42578125" bestFit="1" customWidth="1"/>
    <col min="9470" max="9470" width="8.85546875" bestFit="1" customWidth="1"/>
    <col min="9471" max="9471" width="10" bestFit="1" customWidth="1"/>
    <col min="9472" max="9472" width="12.7109375" bestFit="1" customWidth="1"/>
    <col min="9473" max="9473" width="8.85546875" bestFit="1" customWidth="1"/>
    <col min="9474" max="9474" width="17.7109375" bestFit="1" customWidth="1"/>
    <col min="9475" max="9475" width="13" bestFit="1" customWidth="1"/>
    <col min="9476" max="9476" width="13.42578125" bestFit="1" customWidth="1"/>
    <col min="9477" max="9477" width="10.85546875" bestFit="1" customWidth="1"/>
    <col min="9478" max="9478" width="26.85546875" bestFit="1" customWidth="1"/>
    <col min="9479" max="9479" width="20.85546875" bestFit="1" customWidth="1"/>
    <col min="9480" max="9480" width="30.42578125" bestFit="1" customWidth="1"/>
    <col min="9481" max="9481" width="19.42578125" bestFit="1" customWidth="1"/>
    <col min="9482" max="9482" width="20.28515625" bestFit="1" customWidth="1"/>
    <col min="9483" max="9484" width="12" bestFit="1" customWidth="1"/>
    <col min="9485" max="9486" width="12.5703125" bestFit="1" customWidth="1"/>
    <col min="9487" max="9487" width="11.7109375" bestFit="1" customWidth="1"/>
    <col min="9488" max="9488" width="19" bestFit="1" customWidth="1"/>
    <col min="9489" max="9489" width="12.140625" bestFit="1" customWidth="1"/>
    <col min="9719" max="9719" width="15" bestFit="1" customWidth="1"/>
    <col min="9720" max="9720" width="68.28515625" bestFit="1" customWidth="1"/>
    <col min="9721" max="9721" width="9.140625" bestFit="1" customWidth="1"/>
    <col min="9722" max="9722" width="21.42578125" bestFit="1" customWidth="1"/>
    <col min="9723" max="9725" width="15.42578125" bestFit="1" customWidth="1"/>
    <col min="9726" max="9726" width="8.85546875" bestFit="1" customWidth="1"/>
    <col min="9727" max="9727" width="10" bestFit="1" customWidth="1"/>
    <col min="9728" max="9728" width="12.7109375" bestFit="1" customWidth="1"/>
    <col min="9729" max="9729" width="8.85546875" bestFit="1" customWidth="1"/>
    <col min="9730" max="9730" width="17.7109375" bestFit="1" customWidth="1"/>
    <col min="9731" max="9731" width="13" bestFit="1" customWidth="1"/>
    <col min="9732" max="9732" width="13.42578125" bestFit="1" customWidth="1"/>
    <col min="9733" max="9733" width="10.85546875" bestFit="1" customWidth="1"/>
    <col min="9734" max="9734" width="26.85546875" bestFit="1" customWidth="1"/>
    <col min="9735" max="9735" width="20.85546875" bestFit="1" customWidth="1"/>
    <col min="9736" max="9736" width="30.42578125" bestFit="1" customWidth="1"/>
    <col min="9737" max="9737" width="19.42578125" bestFit="1" customWidth="1"/>
    <col min="9738" max="9738" width="20.28515625" bestFit="1" customWidth="1"/>
    <col min="9739" max="9740" width="12" bestFit="1" customWidth="1"/>
    <col min="9741" max="9742" width="12.5703125" bestFit="1" customWidth="1"/>
    <col min="9743" max="9743" width="11.7109375" bestFit="1" customWidth="1"/>
    <col min="9744" max="9744" width="19" bestFit="1" customWidth="1"/>
    <col min="9745" max="9745" width="12.140625" bestFit="1" customWidth="1"/>
    <col min="9975" max="9975" width="15" bestFit="1" customWidth="1"/>
    <col min="9976" max="9976" width="68.28515625" bestFit="1" customWidth="1"/>
    <col min="9977" max="9977" width="9.140625" bestFit="1" customWidth="1"/>
    <col min="9978" max="9978" width="21.42578125" bestFit="1" customWidth="1"/>
    <col min="9979" max="9981" width="15.42578125" bestFit="1" customWidth="1"/>
    <col min="9982" max="9982" width="8.85546875" bestFit="1" customWidth="1"/>
    <col min="9983" max="9983" width="10" bestFit="1" customWidth="1"/>
    <col min="9984" max="9984" width="12.7109375" bestFit="1" customWidth="1"/>
    <col min="9985" max="9985" width="8.85546875" bestFit="1" customWidth="1"/>
    <col min="9986" max="9986" width="17.7109375" bestFit="1" customWidth="1"/>
    <col min="9987" max="9987" width="13" bestFit="1" customWidth="1"/>
    <col min="9988" max="9988" width="13.42578125" bestFit="1" customWidth="1"/>
    <col min="9989" max="9989" width="10.85546875" bestFit="1" customWidth="1"/>
    <col min="9990" max="9990" width="26.85546875" bestFit="1" customWidth="1"/>
    <col min="9991" max="9991" width="20.85546875" bestFit="1" customWidth="1"/>
    <col min="9992" max="9992" width="30.42578125" bestFit="1" customWidth="1"/>
    <col min="9993" max="9993" width="19.42578125" bestFit="1" customWidth="1"/>
    <col min="9994" max="9994" width="20.28515625" bestFit="1" customWidth="1"/>
    <col min="9995" max="9996" width="12" bestFit="1" customWidth="1"/>
    <col min="9997" max="9998" width="12.5703125" bestFit="1" customWidth="1"/>
    <col min="9999" max="9999" width="11.7109375" bestFit="1" customWidth="1"/>
    <col min="10000" max="10000" width="19" bestFit="1" customWidth="1"/>
    <col min="10001" max="10001" width="12.140625" bestFit="1" customWidth="1"/>
    <col min="10231" max="10231" width="15" bestFit="1" customWidth="1"/>
    <col min="10232" max="10232" width="68.28515625" bestFit="1" customWidth="1"/>
    <col min="10233" max="10233" width="9.140625" bestFit="1" customWidth="1"/>
    <col min="10234" max="10234" width="21.42578125" bestFit="1" customWidth="1"/>
    <col min="10235" max="10237" width="15.42578125" bestFit="1" customWidth="1"/>
    <col min="10238" max="10238" width="8.85546875" bestFit="1" customWidth="1"/>
    <col min="10239" max="10239" width="10" bestFit="1" customWidth="1"/>
    <col min="10240" max="10240" width="12.7109375" bestFit="1" customWidth="1"/>
    <col min="10241" max="10241" width="8.85546875" bestFit="1" customWidth="1"/>
    <col min="10242" max="10242" width="17.7109375" bestFit="1" customWidth="1"/>
    <col min="10243" max="10243" width="13" bestFit="1" customWidth="1"/>
    <col min="10244" max="10244" width="13.42578125" bestFit="1" customWidth="1"/>
    <col min="10245" max="10245" width="10.85546875" bestFit="1" customWidth="1"/>
    <col min="10246" max="10246" width="26.85546875" bestFit="1" customWidth="1"/>
    <col min="10247" max="10247" width="20.85546875" bestFit="1" customWidth="1"/>
    <col min="10248" max="10248" width="30.42578125" bestFit="1" customWidth="1"/>
    <col min="10249" max="10249" width="19.42578125" bestFit="1" customWidth="1"/>
    <col min="10250" max="10250" width="20.28515625" bestFit="1" customWidth="1"/>
    <col min="10251" max="10252" width="12" bestFit="1" customWidth="1"/>
    <col min="10253" max="10254" width="12.5703125" bestFit="1" customWidth="1"/>
    <col min="10255" max="10255" width="11.7109375" bestFit="1" customWidth="1"/>
    <col min="10256" max="10256" width="19" bestFit="1" customWidth="1"/>
    <col min="10257" max="10257" width="12.140625" bestFit="1" customWidth="1"/>
    <col min="10487" max="10487" width="15" bestFit="1" customWidth="1"/>
    <col min="10488" max="10488" width="68.28515625" bestFit="1" customWidth="1"/>
    <col min="10489" max="10489" width="9.140625" bestFit="1" customWidth="1"/>
    <col min="10490" max="10490" width="21.42578125" bestFit="1" customWidth="1"/>
    <col min="10491" max="10493" width="15.42578125" bestFit="1" customWidth="1"/>
    <col min="10494" max="10494" width="8.85546875" bestFit="1" customWidth="1"/>
    <col min="10495" max="10495" width="10" bestFit="1" customWidth="1"/>
    <col min="10496" max="10496" width="12.7109375" bestFit="1" customWidth="1"/>
    <col min="10497" max="10497" width="8.85546875" bestFit="1" customWidth="1"/>
    <col min="10498" max="10498" width="17.7109375" bestFit="1" customWidth="1"/>
    <col min="10499" max="10499" width="13" bestFit="1" customWidth="1"/>
    <col min="10500" max="10500" width="13.42578125" bestFit="1" customWidth="1"/>
    <col min="10501" max="10501" width="10.85546875" bestFit="1" customWidth="1"/>
    <col min="10502" max="10502" width="26.85546875" bestFit="1" customWidth="1"/>
    <col min="10503" max="10503" width="20.85546875" bestFit="1" customWidth="1"/>
    <col min="10504" max="10504" width="30.42578125" bestFit="1" customWidth="1"/>
    <col min="10505" max="10505" width="19.42578125" bestFit="1" customWidth="1"/>
    <col min="10506" max="10506" width="20.28515625" bestFit="1" customWidth="1"/>
    <col min="10507" max="10508" width="12" bestFit="1" customWidth="1"/>
    <col min="10509" max="10510" width="12.5703125" bestFit="1" customWidth="1"/>
    <col min="10511" max="10511" width="11.7109375" bestFit="1" customWidth="1"/>
    <col min="10512" max="10512" width="19" bestFit="1" customWidth="1"/>
    <col min="10513" max="10513" width="12.140625" bestFit="1" customWidth="1"/>
    <col min="10743" max="10743" width="15" bestFit="1" customWidth="1"/>
    <col min="10744" max="10744" width="68.28515625" bestFit="1" customWidth="1"/>
    <col min="10745" max="10745" width="9.140625" bestFit="1" customWidth="1"/>
    <col min="10746" max="10746" width="21.42578125" bestFit="1" customWidth="1"/>
    <col min="10747" max="10749" width="15.42578125" bestFit="1" customWidth="1"/>
    <col min="10750" max="10750" width="8.85546875" bestFit="1" customWidth="1"/>
    <col min="10751" max="10751" width="10" bestFit="1" customWidth="1"/>
    <col min="10752" max="10752" width="12.7109375" bestFit="1" customWidth="1"/>
    <col min="10753" max="10753" width="8.85546875" bestFit="1" customWidth="1"/>
    <col min="10754" max="10754" width="17.7109375" bestFit="1" customWidth="1"/>
    <col min="10755" max="10755" width="13" bestFit="1" customWidth="1"/>
    <col min="10756" max="10756" width="13.42578125" bestFit="1" customWidth="1"/>
    <col min="10757" max="10757" width="10.85546875" bestFit="1" customWidth="1"/>
    <col min="10758" max="10758" width="26.85546875" bestFit="1" customWidth="1"/>
    <col min="10759" max="10759" width="20.85546875" bestFit="1" customWidth="1"/>
    <col min="10760" max="10760" width="30.42578125" bestFit="1" customWidth="1"/>
    <col min="10761" max="10761" width="19.42578125" bestFit="1" customWidth="1"/>
    <col min="10762" max="10762" width="20.28515625" bestFit="1" customWidth="1"/>
    <col min="10763" max="10764" width="12" bestFit="1" customWidth="1"/>
    <col min="10765" max="10766" width="12.5703125" bestFit="1" customWidth="1"/>
    <col min="10767" max="10767" width="11.7109375" bestFit="1" customWidth="1"/>
    <col min="10768" max="10768" width="19" bestFit="1" customWidth="1"/>
    <col min="10769" max="10769" width="12.140625" bestFit="1" customWidth="1"/>
    <col min="10999" max="10999" width="15" bestFit="1" customWidth="1"/>
    <col min="11000" max="11000" width="68.28515625" bestFit="1" customWidth="1"/>
    <col min="11001" max="11001" width="9.140625" bestFit="1" customWidth="1"/>
    <col min="11002" max="11002" width="21.42578125" bestFit="1" customWidth="1"/>
    <col min="11003" max="11005" width="15.42578125" bestFit="1" customWidth="1"/>
    <col min="11006" max="11006" width="8.85546875" bestFit="1" customWidth="1"/>
    <col min="11007" max="11007" width="10" bestFit="1" customWidth="1"/>
    <col min="11008" max="11008" width="12.7109375" bestFit="1" customWidth="1"/>
    <col min="11009" max="11009" width="8.85546875" bestFit="1" customWidth="1"/>
    <col min="11010" max="11010" width="17.7109375" bestFit="1" customWidth="1"/>
    <col min="11011" max="11011" width="13" bestFit="1" customWidth="1"/>
    <col min="11012" max="11012" width="13.42578125" bestFit="1" customWidth="1"/>
    <col min="11013" max="11013" width="10.85546875" bestFit="1" customWidth="1"/>
    <col min="11014" max="11014" width="26.85546875" bestFit="1" customWidth="1"/>
    <col min="11015" max="11015" width="20.85546875" bestFit="1" customWidth="1"/>
    <col min="11016" max="11016" width="30.42578125" bestFit="1" customWidth="1"/>
    <col min="11017" max="11017" width="19.42578125" bestFit="1" customWidth="1"/>
    <col min="11018" max="11018" width="20.28515625" bestFit="1" customWidth="1"/>
    <col min="11019" max="11020" width="12" bestFit="1" customWidth="1"/>
    <col min="11021" max="11022" width="12.5703125" bestFit="1" customWidth="1"/>
    <col min="11023" max="11023" width="11.7109375" bestFit="1" customWidth="1"/>
    <col min="11024" max="11024" width="19" bestFit="1" customWidth="1"/>
    <col min="11025" max="11025" width="12.140625" bestFit="1" customWidth="1"/>
    <col min="11255" max="11255" width="15" bestFit="1" customWidth="1"/>
    <col min="11256" max="11256" width="68.28515625" bestFit="1" customWidth="1"/>
    <col min="11257" max="11257" width="9.140625" bestFit="1" customWidth="1"/>
    <col min="11258" max="11258" width="21.42578125" bestFit="1" customWidth="1"/>
    <col min="11259" max="11261" width="15.42578125" bestFit="1" customWidth="1"/>
    <col min="11262" max="11262" width="8.85546875" bestFit="1" customWidth="1"/>
    <col min="11263" max="11263" width="10" bestFit="1" customWidth="1"/>
    <col min="11264" max="11264" width="12.7109375" bestFit="1" customWidth="1"/>
    <col min="11265" max="11265" width="8.85546875" bestFit="1" customWidth="1"/>
    <col min="11266" max="11266" width="17.7109375" bestFit="1" customWidth="1"/>
    <col min="11267" max="11267" width="13" bestFit="1" customWidth="1"/>
    <col min="11268" max="11268" width="13.42578125" bestFit="1" customWidth="1"/>
    <col min="11269" max="11269" width="10.85546875" bestFit="1" customWidth="1"/>
    <col min="11270" max="11270" width="26.85546875" bestFit="1" customWidth="1"/>
    <col min="11271" max="11271" width="20.85546875" bestFit="1" customWidth="1"/>
    <col min="11272" max="11272" width="30.42578125" bestFit="1" customWidth="1"/>
    <col min="11273" max="11273" width="19.42578125" bestFit="1" customWidth="1"/>
    <col min="11274" max="11274" width="20.28515625" bestFit="1" customWidth="1"/>
    <col min="11275" max="11276" width="12" bestFit="1" customWidth="1"/>
    <col min="11277" max="11278" width="12.5703125" bestFit="1" customWidth="1"/>
    <col min="11279" max="11279" width="11.7109375" bestFit="1" customWidth="1"/>
    <col min="11280" max="11280" width="19" bestFit="1" customWidth="1"/>
    <col min="11281" max="11281" width="12.140625" bestFit="1" customWidth="1"/>
    <col min="11511" max="11511" width="15" bestFit="1" customWidth="1"/>
    <col min="11512" max="11512" width="68.28515625" bestFit="1" customWidth="1"/>
    <col min="11513" max="11513" width="9.140625" bestFit="1" customWidth="1"/>
    <col min="11514" max="11514" width="21.42578125" bestFit="1" customWidth="1"/>
    <col min="11515" max="11517" width="15.42578125" bestFit="1" customWidth="1"/>
    <col min="11518" max="11518" width="8.85546875" bestFit="1" customWidth="1"/>
    <col min="11519" max="11519" width="10" bestFit="1" customWidth="1"/>
    <col min="11520" max="11520" width="12.7109375" bestFit="1" customWidth="1"/>
    <col min="11521" max="11521" width="8.85546875" bestFit="1" customWidth="1"/>
    <col min="11522" max="11522" width="17.7109375" bestFit="1" customWidth="1"/>
    <col min="11523" max="11523" width="13" bestFit="1" customWidth="1"/>
    <col min="11524" max="11524" width="13.42578125" bestFit="1" customWidth="1"/>
    <col min="11525" max="11525" width="10.85546875" bestFit="1" customWidth="1"/>
    <col min="11526" max="11526" width="26.85546875" bestFit="1" customWidth="1"/>
    <col min="11527" max="11527" width="20.85546875" bestFit="1" customWidth="1"/>
    <col min="11528" max="11528" width="30.42578125" bestFit="1" customWidth="1"/>
    <col min="11529" max="11529" width="19.42578125" bestFit="1" customWidth="1"/>
    <col min="11530" max="11530" width="20.28515625" bestFit="1" customWidth="1"/>
    <col min="11531" max="11532" width="12" bestFit="1" customWidth="1"/>
    <col min="11533" max="11534" width="12.5703125" bestFit="1" customWidth="1"/>
    <col min="11535" max="11535" width="11.7109375" bestFit="1" customWidth="1"/>
    <col min="11536" max="11536" width="19" bestFit="1" customWidth="1"/>
    <col min="11537" max="11537" width="12.140625" bestFit="1" customWidth="1"/>
    <col min="11767" max="11767" width="15" bestFit="1" customWidth="1"/>
    <col min="11768" max="11768" width="68.28515625" bestFit="1" customWidth="1"/>
    <col min="11769" max="11769" width="9.140625" bestFit="1" customWidth="1"/>
    <col min="11770" max="11770" width="21.42578125" bestFit="1" customWidth="1"/>
    <col min="11771" max="11773" width="15.42578125" bestFit="1" customWidth="1"/>
    <col min="11774" max="11774" width="8.85546875" bestFit="1" customWidth="1"/>
    <col min="11775" max="11775" width="10" bestFit="1" customWidth="1"/>
    <col min="11776" max="11776" width="12.7109375" bestFit="1" customWidth="1"/>
    <col min="11777" max="11777" width="8.85546875" bestFit="1" customWidth="1"/>
    <col min="11778" max="11778" width="17.7109375" bestFit="1" customWidth="1"/>
    <col min="11779" max="11779" width="13" bestFit="1" customWidth="1"/>
    <col min="11780" max="11780" width="13.42578125" bestFit="1" customWidth="1"/>
    <col min="11781" max="11781" width="10.85546875" bestFit="1" customWidth="1"/>
    <col min="11782" max="11782" width="26.85546875" bestFit="1" customWidth="1"/>
    <col min="11783" max="11783" width="20.85546875" bestFit="1" customWidth="1"/>
    <col min="11784" max="11784" width="30.42578125" bestFit="1" customWidth="1"/>
    <col min="11785" max="11785" width="19.42578125" bestFit="1" customWidth="1"/>
    <col min="11786" max="11786" width="20.28515625" bestFit="1" customWidth="1"/>
    <col min="11787" max="11788" width="12" bestFit="1" customWidth="1"/>
    <col min="11789" max="11790" width="12.5703125" bestFit="1" customWidth="1"/>
    <col min="11791" max="11791" width="11.7109375" bestFit="1" customWidth="1"/>
    <col min="11792" max="11792" width="19" bestFit="1" customWidth="1"/>
    <col min="11793" max="11793" width="12.140625" bestFit="1" customWidth="1"/>
    <col min="12023" max="12023" width="15" bestFit="1" customWidth="1"/>
    <col min="12024" max="12024" width="68.28515625" bestFit="1" customWidth="1"/>
    <col min="12025" max="12025" width="9.140625" bestFit="1" customWidth="1"/>
    <col min="12026" max="12026" width="21.42578125" bestFit="1" customWidth="1"/>
    <col min="12027" max="12029" width="15.42578125" bestFit="1" customWidth="1"/>
    <col min="12030" max="12030" width="8.85546875" bestFit="1" customWidth="1"/>
    <col min="12031" max="12031" width="10" bestFit="1" customWidth="1"/>
    <col min="12032" max="12032" width="12.7109375" bestFit="1" customWidth="1"/>
    <col min="12033" max="12033" width="8.85546875" bestFit="1" customWidth="1"/>
    <col min="12034" max="12034" width="17.7109375" bestFit="1" customWidth="1"/>
    <col min="12035" max="12035" width="13" bestFit="1" customWidth="1"/>
    <col min="12036" max="12036" width="13.42578125" bestFit="1" customWidth="1"/>
    <col min="12037" max="12037" width="10.85546875" bestFit="1" customWidth="1"/>
    <col min="12038" max="12038" width="26.85546875" bestFit="1" customWidth="1"/>
    <col min="12039" max="12039" width="20.85546875" bestFit="1" customWidth="1"/>
    <col min="12040" max="12040" width="30.42578125" bestFit="1" customWidth="1"/>
    <col min="12041" max="12041" width="19.42578125" bestFit="1" customWidth="1"/>
    <col min="12042" max="12042" width="20.28515625" bestFit="1" customWidth="1"/>
    <col min="12043" max="12044" width="12" bestFit="1" customWidth="1"/>
    <col min="12045" max="12046" width="12.5703125" bestFit="1" customWidth="1"/>
    <col min="12047" max="12047" width="11.7109375" bestFit="1" customWidth="1"/>
    <col min="12048" max="12048" width="19" bestFit="1" customWidth="1"/>
    <col min="12049" max="12049" width="12.140625" bestFit="1" customWidth="1"/>
    <col min="12279" max="12279" width="15" bestFit="1" customWidth="1"/>
    <col min="12280" max="12280" width="68.28515625" bestFit="1" customWidth="1"/>
    <col min="12281" max="12281" width="9.140625" bestFit="1" customWidth="1"/>
    <col min="12282" max="12282" width="21.42578125" bestFit="1" customWidth="1"/>
    <col min="12283" max="12285" width="15.42578125" bestFit="1" customWidth="1"/>
    <col min="12286" max="12286" width="8.85546875" bestFit="1" customWidth="1"/>
    <col min="12287" max="12287" width="10" bestFit="1" customWidth="1"/>
    <col min="12288" max="12288" width="12.7109375" bestFit="1" customWidth="1"/>
    <col min="12289" max="12289" width="8.85546875" bestFit="1" customWidth="1"/>
    <col min="12290" max="12290" width="17.7109375" bestFit="1" customWidth="1"/>
    <col min="12291" max="12291" width="13" bestFit="1" customWidth="1"/>
    <col min="12292" max="12292" width="13.42578125" bestFit="1" customWidth="1"/>
    <col min="12293" max="12293" width="10.85546875" bestFit="1" customWidth="1"/>
    <col min="12294" max="12294" width="26.85546875" bestFit="1" customWidth="1"/>
    <col min="12295" max="12295" width="20.85546875" bestFit="1" customWidth="1"/>
    <col min="12296" max="12296" width="30.42578125" bestFit="1" customWidth="1"/>
    <col min="12297" max="12297" width="19.42578125" bestFit="1" customWidth="1"/>
    <col min="12298" max="12298" width="20.28515625" bestFit="1" customWidth="1"/>
    <col min="12299" max="12300" width="12" bestFit="1" customWidth="1"/>
    <col min="12301" max="12302" width="12.5703125" bestFit="1" customWidth="1"/>
    <col min="12303" max="12303" width="11.7109375" bestFit="1" customWidth="1"/>
    <col min="12304" max="12304" width="19" bestFit="1" customWidth="1"/>
    <col min="12305" max="12305" width="12.140625" bestFit="1" customWidth="1"/>
    <col min="12535" max="12535" width="15" bestFit="1" customWidth="1"/>
    <col min="12536" max="12536" width="68.28515625" bestFit="1" customWidth="1"/>
    <col min="12537" max="12537" width="9.140625" bestFit="1" customWidth="1"/>
    <col min="12538" max="12538" width="21.42578125" bestFit="1" customWidth="1"/>
    <col min="12539" max="12541" width="15.42578125" bestFit="1" customWidth="1"/>
    <col min="12542" max="12542" width="8.85546875" bestFit="1" customWidth="1"/>
    <col min="12543" max="12543" width="10" bestFit="1" customWidth="1"/>
    <col min="12544" max="12544" width="12.7109375" bestFit="1" customWidth="1"/>
    <col min="12545" max="12545" width="8.85546875" bestFit="1" customWidth="1"/>
    <col min="12546" max="12546" width="17.7109375" bestFit="1" customWidth="1"/>
    <col min="12547" max="12547" width="13" bestFit="1" customWidth="1"/>
    <col min="12548" max="12548" width="13.42578125" bestFit="1" customWidth="1"/>
    <col min="12549" max="12549" width="10.85546875" bestFit="1" customWidth="1"/>
    <col min="12550" max="12550" width="26.85546875" bestFit="1" customWidth="1"/>
    <col min="12551" max="12551" width="20.85546875" bestFit="1" customWidth="1"/>
    <col min="12552" max="12552" width="30.42578125" bestFit="1" customWidth="1"/>
    <col min="12553" max="12553" width="19.42578125" bestFit="1" customWidth="1"/>
    <col min="12554" max="12554" width="20.28515625" bestFit="1" customWidth="1"/>
    <col min="12555" max="12556" width="12" bestFit="1" customWidth="1"/>
    <col min="12557" max="12558" width="12.5703125" bestFit="1" customWidth="1"/>
    <col min="12559" max="12559" width="11.7109375" bestFit="1" customWidth="1"/>
    <col min="12560" max="12560" width="19" bestFit="1" customWidth="1"/>
    <col min="12561" max="12561" width="12.140625" bestFit="1" customWidth="1"/>
    <col min="12791" max="12791" width="15" bestFit="1" customWidth="1"/>
    <col min="12792" max="12792" width="68.28515625" bestFit="1" customWidth="1"/>
    <col min="12793" max="12793" width="9.140625" bestFit="1" customWidth="1"/>
    <col min="12794" max="12794" width="21.42578125" bestFit="1" customWidth="1"/>
    <col min="12795" max="12797" width="15.42578125" bestFit="1" customWidth="1"/>
    <col min="12798" max="12798" width="8.85546875" bestFit="1" customWidth="1"/>
    <col min="12799" max="12799" width="10" bestFit="1" customWidth="1"/>
    <col min="12800" max="12800" width="12.7109375" bestFit="1" customWidth="1"/>
    <col min="12801" max="12801" width="8.85546875" bestFit="1" customWidth="1"/>
    <col min="12802" max="12802" width="17.7109375" bestFit="1" customWidth="1"/>
    <col min="12803" max="12803" width="13" bestFit="1" customWidth="1"/>
    <col min="12804" max="12804" width="13.42578125" bestFit="1" customWidth="1"/>
    <col min="12805" max="12805" width="10.85546875" bestFit="1" customWidth="1"/>
    <col min="12806" max="12806" width="26.85546875" bestFit="1" customWidth="1"/>
    <col min="12807" max="12807" width="20.85546875" bestFit="1" customWidth="1"/>
    <col min="12808" max="12808" width="30.42578125" bestFit="1" customWidth="1"/>
    <col min="12809" max="12809" width="19.42578125" bestFit="1" customWidth="1"/>
    <col min="12810" max="12810" width="20.28515625" bestFit="1" customWidth="1"/>
    <col min="12811" max="12812" width="12" bestFit="1" customWidth="1"/>
    <col min="12813" max="12814" width="12.5703125" bestFit="1" customWidth="1"/>
    <col min="12815" max="12815" width="11.7109375" bestFit="1" customWidth="1"/>
    <col min="12816" max="12816" width="19" bestFit="1" customWidth="1"/>
    <col min="12817" max="12817" width="12.140625" bestFit="1" customWidth="1"/>
    <col min="13047" max="13047" width="15" bestFit="1" customWidth="1"/>
    <col min="13048" max="13048" width="68.28515625" bestFit="1" customWidth="1"/>
    <col min="13049" max="13049" width="9.140625" bestFit="1" customWidth="1"/>
    <col min="13050" max="13050" width="21.42578125" bestFit="1" customWidth="1"/>
    <col min="13051" max="13053" width="15.42578125" bestFit="1" customWidth="1"/>
    <col min="13054" max="13054" width="8.85546875" bestFit="1" customWidth="1"/>
    <col min="13055" max="13055" width="10" bestFit="1" customWidth="1"/>
    <col min="13056" max="13056" width="12.7109375" bestFit="1" customWidth="1"/>
    <col min="13057" max="13057" width="8.85546875" bestFit="1" customWidth="1"/>
    <col min="13058" max="13058" width="17.7109375" bestFit="1" customWidth="1"/>
    <col min="13059" max="13059" width="13" bestFit="1" customWidth="1"/>
    <col min="13060" max="13060" width="13.42578125" bestFit="1" customWidth="1"/>
    <col min="13061" max="13061" width="10.85546875" bestFit="1" customWidth="1"/>
    <col min="13062" max="13062" width="26.85546875" bestFit="1" customWidth="1"/>
    <col min="13063" max="13063" width="20.85546875" bestFit="1" customWidth="1"/>
    <col min="13064" max="13064" width="30.42578125" bestFit="1" customWidth="1"/>
    <col min="13065" max="13065" width="19.42578125" bestFit="1" customWidth="1"/>
    <col min="13066" max="13066" width="20.28515625" bestFit="1" customWidth="1"/>
    <col min="13067" max="13068" width="12" bestFit="1" customWidth="1"/>
    <col min="13069" max="13070" width="12.5703125" bestFit="1" customWidth="1"/>
    <col min="13071" max="13071" width="11.7109375" bestFit="1" customWidth="1"/>
    <col min="13072" max="13072" width="19" bestFit="1" customWidth="1"/>
    <col min="13073" max="13073" width="12.140625" bestFit="1" customWidth="1"/>
    <col min="13303" max="13303" width="15" bestFit="1" customWidth="1"/>
    <col min="13304" max="13304" width="68.28515625" bestFit="1" customWidth="1"/>
    <col min="13305" max="13305" width="9.140625" bestFit="1" customWidth="1"/>
    <col min="13306" max="13306" width="21.42578125" bestFit="1" customWidth="1"/>
    <col min="13307" max="13309" width="15.42578125" bestFit="1" customWidth="1"/>
    <col min="13310" max="13310" width="8.85546875" bestFit="1" customWidth="1"/>
    <col min="13311" max="13311" width="10" bestFit="1" customWidth="1"/>
    <col min="13312" max="13312" width="12.7109375" bestFit="1" customWidth="1"/>
    <col min="13313" max="13313" width="8.85546875" bestFit="1" customWidth="1"/>
    <col min="13314" max="13314" width="17.7109375" bestFit="1" customWidth="1"/>
    <col min="13315" max="13315" width="13" bestFit="1" customWidth="1"/>
    <col min="13316" max="13316" width="13.42578125" bestFit="1" customWidth="1"/>
    <col min="13317" max="13317" width="10.85546875" bestFit="1" customWidth="1"/>
    <col min="13318" max="13318" width="26.85546875" bestFit="1" customWidth="1"/>
    <col min="13319" max="13319" width="20.85546875" bestFit="1" customWidth="1"/>
    <col min="13320" max="13320" width="30.42578125" bestFit="1" customWidth="1"/>
    <col min="13321" max="13321" width="19.42578125" bestFit="1" customWidth="1"/>
    <col min="13322" max="13322" width="20.28515625" bestFit="1" customWidth="1"/>
    <col min="13323" max="13324" width="12" bestFit="1" customWidth="1"/>
    <col min="13325" max="13326" width="12.5703125" bestFit="1" customWidth="1"/>
    <col min="13327" max="13327" width="11.7109375" bestFit="1" customWidth="1"/>
    <col min="13328" max="13328" width="19" bestFit="1" customWidth="1"/>
    <col min="13329" max="13329" width="12.140625" bestFit="1" customWidth="1"/>
    <col min="13559" max="13559" width="15" bestFit="1" customWidth="1"/>
    <col min="13560" max="13560" width="68.28515625" bestFit="1" customWidth="1"/>
    <col min="13561" max="13561" width="9.140625" bestFit="1" customWidth="1"/>
    <col min="13562" max="13562" width="21.42578125" bestFit="1" customWidth="1"/>
    <col min="13563" max="13565" width="15.42578125" bestFit="1" customWidth="1"/>
    <col min="13566" max="13566" width="8.85546875" bestFit="1" customWidth="1"/>
    <col min="13567" max="13567" width="10" bestFit="1" customWidth="1"/>
    <col min="13568" max="13568" width="12.7109375" bestFit="1" customWidth="1"/>
    <col min="13569" max="13569" width="8.85546875" bestFit="1" customWidth="1"/>
    <col min="13570" max="13570" width="17.7109375" bestFit="1" customWidth="1"/>
    <col min="13571" max="13571" width="13" bestFit="1" customWidth="1"/>
    <col min="13572" max="13572" width="13.42578125" bestFit="1" customWidth="1"/>
    <col min="13573" max="13573" width="10.85546875" bestFit="1" customWidth="1"/>
    <col min="13574" max="13574" width="26.85546875" bestFit="1" customWidth="1"/>
    <col min="13575" max="13575" width="20.85546875" bestFit="1" customWidth="1"/>
    <col min="13576" max="13576" width="30.42578125" bestFit="1" customWidth="1"/>
    <col min="13577" max="13577" width="19.42578125" bestFit="1" customWidth="1"/>
    <col min="13578" max="13578" width="20.28515625" bestFit="1" customWidth="1"/>
    <col min="13579" max="13580" width="12" bestFit="1" customWidth="1"/>
    <col min="13581" max="13582" width="12.5703125" bestFit="1" customWidth="1"/>
    <col min="13583" max="13583" width="11.7109375" bestFit="1" customWidth="1"/>
    <col min="13584" max="13584" width="19" bestFit="1" customWidth="1"/>
    <col min="13585" max="13585" width="12.140625" bestFit="1" customWidth="1"/>
    <col min="13815" max="13815" width="15" bestFit="1" customWidth="1"/>
    <col min="13816" max="13816" width="68.28515625" bestFit="1" customWidth="1"/>
    <col min="13817" max="13817" width="9.140625" bestFit="1" customWidth="1"/>
    <col min="13818" max="13818" width="21.42578125" bestFit="1" customWidth="1"/>
    <col min="13819" max="13821" width="15.42578125" bestFit="1" customWidth="1"/>
    <col min="13822" max="13822" width="8.85546875" bestFit="1" customWidth="1"/>
    <col min="13823" max="13823" width="10" bestFit="1" customWidth="1"/>
    <col min="13824" max="13824" width="12.7109375" bestFit="1" customWidth="1"/>
    <col min="13825" max="13825" width="8.85546875" bestFit="1" customWidth="1"/>
    <col min="13826" max="13826" width="17.7109375" bestFit="1" customWidth="1"/>
    <col min="13827" max="13827" width="13" bestFit="1" customWidth="1"/>
    <col min="13828" max="13828" width="13.42578125" bestFit="1" customWidth="1"/>
    <col min="13829" max="13829" width="10.85546875" bestFit="1" customWidth="1"/>
    <col min="13830" max="13830" width="26.85546875" bestFit="1" customWidth="1"/>
    <col min="13831" max="13831" width="20.85546875" bestFit="1" customWidth="1"/>
    <col min="13832" max="13832" width="30.42578125" bestFit="1" customWidth="1"/>
    <col min="13833" max="13833" width="19.42578125" bestFit="1" customWidth="1"/>
    <col min="13834" max="13834" width="20.28515625" bestFit="1" customWidth="1"/>
    <col min="13835" max="13836" width="12" bestFit="1" customWidth="1"/>
    <col min="13837" max="13838" width="12.5703125" bestFit="1" customWidth="1"/>
    <col min="13839" max="13839" width="11.7109375" bestFit="1" customWidth="1"/>
    <col min="13840" max="13840" width="19" bestFit="1" customWidth="1"/>
    <col min="13841" max="13841" width="12.140625" bestFit="1" customWidth="1"/>
    <col min="14071" max="14071" width="15" bestFit="1" customWidth="1"/>
    <col min="14072" max="14072" width="68.28515625" bestFit="1" customWidth="1"/>
    <col min="14073" max="14073" width="9.140625" bestFit="1" customWidth="1"/>
    <col min="14074" max="14074" width="21.42578125" bestFit="1" customWidth="1"/>
    <col min="14075" max="14077" width="15.42578125" bestFit="1" customWidth="1"/>
    <col min="14078" max="14078" width="8.85546875" bestFit="1" customWidth="1"/>
    <col min="14079" max="14079" width="10" bestFit="1" customWidth="1"/>
    <col min="14080" max="14080" width="12.7109375" bestFit="1" customWidth="1"/>
    <col min="14081" max="14081" width="8.85546875" bestFit="1" customWidth="1"/>
    <col min="14082" max="14082" width="17.7109375" bestFit="1" customWidth="1"/>
    <col min="14083" max="14083" width="13" bestFit="1" customWidth="1"/>
    <col min="14084" max="14084" width="13.42578125" bestFit="1" customWidth="1"/>
    <col min="14085" max="14085" width="10.85546875" bestFit="1" customWidth="1"/>
    <col min="14086" max="14086" width="26.85546875" bestFit="1" customWidth="1"/>
    <col min="14087" max="14087" width="20.85546875" bestFit="1" customWidth="1"/>
    <col min="14088" max="14088" width="30.42578125" bestFit="1" customWidth="1"/>
    <col min="14089" max="14089" width="19.42578125" bestFit="1" customWidth="1"/>
    <col min="14090" max="14090" width="20.28515625" bestFit="1" customWidth="1"/>
    <col min="14091" max="14092" width="12" bestFit="1" customWidth="1"/>
    <col min="14093" max="14094" width="12.5703125" bestFit="1" customWidth="1"/>
    <col min="14095" max="14095" width="11.7109375" bestFit="1" customWidth="1"/>
    <col min="14096" max="14096" width="19" bestFit="1" customWidth="1"/>
    <col min="14097" max="14097" width="12.140625" bestFit="1" customWidth="1"/>
    <col min="14327" max="14327" width="15" bestFit="1" customWidth="1"/>
    <col min="14328" max="14328" width="68.28515625" bestFit="1" customWidth="1"/>
    <col min="14329" max="14329" width="9.140625" bestFit="1" customWidth="1"/>
    <col min="14330" max="14330" width="21.42578125" bestFit="1" customWidth="1"/>
    <col min="14331" max="14333" width="15.42578125" bestFit="1" customWidth="1"/>
    <col min="14334" max="14334" width="8.85546875" bestFit="1" customWidth="1"/>
    <col min="14335" max="14335" width="10" bestFit="1" customWidth="1"/>
    <col min="14336" max="14336" width="12.7109375" bestFit="1" customWidth="1"/>
    <col min="14337" max="14337" width="8.85546875" bestFit="1" customWidth="1"/>
    <col min="14338" max="14338" width="17.7109375" bestFit="1" customWidth="1"/>
    <col min="14339" max="14339" width="13" bestFit="1" customWidth="1"/>
    <col min="14340" max="14340" width="13.42578125" bestFit="1" customWidth="1"/>
    <col min="14341" max="14341" width="10.85546875" bestFit="1" customWidth="1"/>
    <col min="14342" max="14342" width="26.85546875" bestFit="1" customWidth="1"/>
    <col min="14343" max="14343" width="20.85546875" bestFit="1" customWidth="1"/>
    <col min="14344" max="14344" width="30.42578125" bestFit="1" customWidth="1"/>
    <col min="14345" max="14345" width="19.42578125" bestFit="1" customWidth="1"/>
    <col min="14346" max="14346" width="20.28515625" bestFit="1" customWidth="1"/>
    <col min="14347" max="14348" width="12" bestFit="1" customWidth="1"/>
    <col min="14349" max="14350" width="12.5703125" bestFit="1" customWidth="1"/>
    <col min="14351" max="14351" width="11.7109375" bestFit="1" customWidth="1"/>
    <col min="14352" max="14352" width="19" bestFit="1" customWidth="1"/>
    <col min="14353" max="14353" width="12.140625" bestFit="1" customWidth="1"/>
    <col min="14583" max="14583" width="15" bestFit="1" customWidth="1"/>
    <col min="14584" max="14584" width="68.28515625" bestFit="1" customWidth="1"/>
    <col min="14585" max="14585" width="9.140625" bestFit="1" customWidth="1"/>
    <col min="14586" max="14586" width="21.42578125" bestFit="1" customWidth="1"/>
    <col min="14587" max="14589" width="15.42578125" bestFit="1" customWidth="1"/>
    <col min="14590" max="14590" width="8.85546875" bestFit="1" customWidth="1"/>
    <col min="14591" max="14591" width="10" bestFit="1" customWidth="1"/>
    <col min="14592" max="14592" width="12.7109375" bestFit="1" customWidth="1"/>
    <col min="14593" max="14593" width="8.85546875" bestFit="1" customWidth="1"/>
    <col min="14594" max="14594" width="17.7109375" bestFit="1" customWidth="1"/>
    <col min="14595" max="14595" width="13" bestFit="1" customWidth="1"/>
    <col min="14596" max="14596" width="13.42578125" bestFit="1" customWidth="1"/>
    <col min="14597" max="14597" width="10.85546875" bestFit="1" customWidth="1"/>
    <col min="14598" max="14598" width="26.85546875" bestFit="1" customWidth="1"/>
    <col min="14599" max="14599" width="20.85546875" bestFit="1" customWidth="1"/>
    <col min="14600" max="14600" width="30.42578125" bestFit="1" customWidth="1"/>
    <col min="14601" max="14601" width="19.42578125" bestFit="1" customWidth="1"/>
    <col min="14602" max="14602" width="20.28515625" bestFit="1" customWidth="1"/>
    <col min="14603" max="14604" width="12" bestFit="1" customWidth="1"/>
    <col min="14605" max="14606" width="12.5703125" bestFit="1" customWidth="1"/>
    <col min="14607" max="14607" width="11.7109375" bestFit="1" customWidth="1"/>
    <col min="14608" max="14608" width="19" bestFit="1" customWidth="1"/>
    <col min="14609" max="14609" width="12.140625" bestFit="1" customWidth="1"/>
    <col min="14839" max="14839" width="15" bestFit="1" customWidth="1"/>
    <col min="14840" max="14840" width="68.28515625" bestFit="1" customWidth="1"/>
    <col min="14841" max="14841" width="9.140625" bestFit="1" customWidth="1"/>
    <col min="14842" max="14842" width="21.42578125" bestFit="1" customWidth="1"/>
    <col min="14843" max="14845" width="15.42578125" bestFit="1" customWidth="1"/>
    <col min="14846" max="14846" width="8.85546875" bestFit="1" customWidth="1"/>
    <col min="14847" max="14847" width="10" bestFit="1" customWidth="1"/>
    <col min="14848" max="14848" width="12.7109375" bestFit="1" customWidth="1"/>
    <col min="14849" max="14849" width="8.85546875" bestFit="1" customWidth="1"/>
    <col min="14850" max="14850" width="17.7109375" bestFit="1" customWidth="1"/>
    <col min="14851" max="14851" width="13" bestFit="1" customWidth="1"/>
    <col min="14852" max="14852" width="13.42578125" bestFit="1" customWidth="1"/>
    <col min="14853" max="14853" width="10.85546875" bestFit="1" customWidth="1"/>
    <col min="14854" max="14854" width="26.85546875" bestFit="1" customWidth="1"/>
    <col min="14855" max="14855" width="20.85546875" bestFit="1" customWidth="1"/>
    <col min="14856" max="14856" width="30.42578125" bestFit="1" customWidth="1"/>
    <col min="14857" max="14857" width="19.42578125" bestFit="1" customWidth="1"/>
    <col min="14858" max="14858" width="20.28515625" bestFit="1" customWidth="1"/>
    <col min="14859" max="14860" width="12" bestFit="1" customWidth="1"/>
    <col min="14861" max="14862" width="12.5703125" bestFit="1" customWidth="1"/>
    <col min="14863" max="14863" width="11.7109375" bestFit="1" customWidth="1"/>
    <col min="14864" max="14864" width="19" bestFit="1" customWidth="1"/>
    <col min="14865" max="14865" width="12.140625" bestFit="1" customWidth="1"/>
    <col min="15095" max="15095" width="15" bestFit="1" customWidth="1"/>
    <col min="15096" max="15096" width="68.28515625" bestFit="1" customWidth="1"/>
    <col min="15097" max="15097" width="9.140625" bestFit="1" customWidth="1"/>
    <col min="15098" max="15098" width="21.42578125" bestFit="1" customWidth="1"/>
    <col min="15099" max="15101" width="15.42578125" bestFit="1" customWidth="1"/>
    <col min="15102" max="15102" width="8.85546875" bestFit="1" customWidth="1"/>
    <col min="15103" max="15103" width="10" bestFit="1" customWidth="1"/>
    <col min="15104" max="15104" width="12.7109375" bestFit="1" customWidth="1"/>
    <col min="15105" max="15105" width="8.85546875" bestFit="1" customWidth="1"/>
    <col min="15106" max="15106" width="17.7109375" bestFit="1" customWidth="1"/>
    <col min="15107" max="15107" width="13" bestFit="1" customWidth="1"/>
    <col min="15108" max="15108" width="13.42578125" bestFit="1" customWidth="1"/>
    <col min="15109" max="15109" width="10.85546875" bestFit="1" customWidth="1"/>
    <col min="15110" max="15110" width="26.85546875" bestFit="1" customWidth="1"/>
    <col min="15111" max="15111" width="20.85546875" bestFit="1" customWidth="1"/>
    <col min="15112" max="15112" width="30.42578125" bestFit="1" customWidth="1"/>
    <col min="15113" max="15113" width="19.42578125" bestFit="1" customWidth="1"/>
    <col min="15114" max="15114" width="20.28515625" bestFit="1" customWidth="1"/>
    <col min="15115" max="15116" width="12" bestFit="1" customWidth="1"/>
    <col min="15117" max="15118" width="12.5703125" bestFit="1" customWidth="1"/>
    <col min="15119" max="15119" width="11.7109375" bestFit="1" customWidth="1"/>
    <col min="15120" max="15120" width="19" bestFit="1" customWidth="1"/>
    <col min="15121" max="15121" width="12.140625" bestFit="1" customWidth="1"/>
    <col min="15351" max="15351" width="15" bestFit="1" customWidth="1"/>
    <col min="15352" max="15352" width="68.28515625" bestFit="1" customWidth="1"/>
    <col min="15353" max="15353" width="9.140625" bestFit="1" customWidth="1"/>
    <col min="15354" max="15354" width="21.42578125" bestFit="1" customWidth="1"/>
    <col min="15355" max="15357" width="15.42578125" bestFit="1" customWidth="1"/>
    <col min="15358" max="15358" width="8.85546875" bestFit="1" customWidth="1"/>
    <col min="15359" max="15359" width="10" bestFit="1" customWidth="1"/>
    <col min="15360" max="15360" width="12.7109375" bestFit="1" customWidth="1"/>
    <col min="15361" max="15361" width="8.85546875" bestFit="1" customWidth="1"/>
    <col min="15362" max="15362" width="17.7109375" bestFit="1" customWidth="1"/>
    <col min="15363" max="15363" width="13" bestFit="1" customWidth="1"/>
    <col min="15364" max="15364" width="13.42578125" bestFit="1" customWidth="1"/>
    <col min="15365" max="15365" width="10.85546875" bestFit="1" customWidth="1"/>
    <col min="15366" max="15366" width="26.85546875" bestFit="1" customWidth="1"/>
    <col min="15367" max="15367" width="20.85546875" bestFit="1" customWidth="1"/>
    <col min="15368" max="15368" width="30.42578125" bestFit="1" customWidth="1"/>
    <col min="15369" max="15369" width="19.42578125" bestFit="1" customWidth="1"/>
    <col min="15370" max="15370" width="20.28515625" bestFit="1" customWidth="1"/>
    <col min="15371" max="15372" width="12" bestFit="1" customWidth="1"/>
    <col min="15373" max="15374" width="12.5703125" bestFit="1" customWidth="1"/>
    <col min="15375" max="15375" width="11.7109375" bestFit="1" customWidth="1"/>
    <col min="15376" max="15376" width="19" bestFit="1" customWidth="1"/>
    <col min="15377" max="15377" width="12.140625" bestFit="1" customWidth="1"/>
    <col min="15607" max="15607" width="15" bestFit="1" customWidth="1"/>
    <col min="15608" max="15608" width="68.28515625" bestFit="1" customWidth="1"/>
    <col min="15609" max="15609" width="9.140625" bestFit="1" customWidth="1"/>
    <col min="15610" max="15610" width="21.42578125" bestFit="1" customWidth="1"/>
    <col min="15611" max="15613" width="15.42578125" bestFit="1" customWidth="1"/>
    <col min="15614" max="15614" width="8.85546875" bestFit="1" customWidth="1"/>
    <col min="15615" max="15615" width="10" bestFit="1" customWidth="1"/>
    <col min="15616" max="15616" width="12.7109375" bestFit="1" customWidth="1"/>
    <col min="15617" max="15617" width="8.85546875" bestFit="1" customWidth="1"/>
    <col min="15618" max="15618" width="17.7109375" bestFit="1" customWidth="1"/>
    <col min="15619" max="15619" width="13" bestFit="1" customWidth="1"/>
    <col min="15620" max="15620" width="13.42578125" bestFit="1" customWidth="1"/>
    <col min="15621" max="15621" width="10.85546875" bestFit="1" customWidth="1"/>
    <col min="15622" max="15622" width="26.85546875" bestFit="1" customWidth="1"/>
    <col min="15623" max="15623" width="20.85546875" bestFit="1" customWidth="1"/>
    <col min="15624" max="15624" width="30.42578125" bestFit="1" customWidth="1"/>
    <col min="15625" max="15625" width="19.42578125" bestFit="1" customWidth="1"/>
    <col min="15626" max="15626" width="20.28515625" bestFit="1" customWidth="1"/>
    <col min="15627" max="15628" width="12" bestFit="1" customWidth="1"/>
    <col min="15629" max="15630" width="12.5703125" bestFit="1" customWidth="1"/>
    <col min="15631" max="15631" width="11.7109375" bestFit="1" customWidth="1"/>
    <col min="15632" max="15632" width="19" bestFit="1" customWidth="1"/>
    <col min="15633" max="15633" width="12.140625" bestFit="1" customWidth="1"/>
    <col min="15863" max="15863" width="15" bestFit="1" customWidth="1"/>
    <col min="15864" max="15864" width="68.28515625" bestFit="1" customWidth="1"/>
    <col min="15865" max="15865" width="9.140625" bestFit="1" customWidth="1"/>
    <col min="15866" max="15866" width="21.42578125" bestFit="1" customWidth="1"/>
    <col min="15867" max="15869" width="15.42578125" bestFit="1" customWidth="1"/>
    <col min="15870" max="15870" width="8.85546875" bestFit="1" customWidth="1"/>
    <col min="15871" max="15871" width="10" bestFit="1" customWidth="1"/>
    <col min="15872" max="15872" width="12.7109375" bestFit="1" customWidth="1"/>
    <col min="15873" max="15873" width="8.85546875" bestFit="1" customWidth="1"/>
    <col min="15874" max="15874" width="17.7109375" bestFit="1" customWidth="1"/>
    <col min="15875" max="15875" width="13" bestFit="1" customWidth="1"/>
    <col min="15876" max="15876" width="13.42578125" bestFit="1" customWidth="1"/>
    <col min="15877" max="15877" width="10.85546875" bestFit="1" customWidth="1"/>
    <col min="15878" max="15878" width="26.85546875" bestFit="1" customWidth="1"/>
    <col min="15879" max="15879" width="20.85546875" bestFit="1" customWidth="1"/>
    <col min="15880" max="15880" width="30.42578125" bestFit="1" customWidth="1"/>
    <col min="15881" max="15881" width="19.42578125" bestFit="1" customWidth="1"/>
    <col min="15882" max="15882" width="20.28515625" bestFit="1" customWidth="1"/>
    <col min="15883" max="15884" width="12" bestFit="1" customWidth="1"/>
    <col min="15885" max="15886" width="12.5703125" bestFit="1" customWidth="1"/>
    <col min="15887" max="15887" width="11.7109375" bestFit="1" customWidth="1"/>
    <col min="15888" max="15888" width="19" bestFit="1" customWidth="1"/>
    <col min="15889" max="15889" width="12.140625" bestFit="1" customWidth="1"/>
    <col min="16119" max="16119" width="15" bestFit="1" customWidth="1"/>
    <col min="16120" max="16120" width="68.28515625" bestFit="1" customWidth="1"/>
    <col min="16121" max="16121" width="9.140625" bestFit="1" customWidth="1"/>
    <col min="16122" max="16122" width="21.42578125" bestFit="1" customWidth="1"/>
    <col min="16123" max="16125" width="15.42578125" bestFit="1" customWidth="1"/>
    <col min="16126" max="16126" width="8.85546875" bestFit="1" customWidth="1"/>
    <col min="16127" max="16127" width="10" bestFit="1" customWidth="1"/>
    <col min="16128" max="16128" width="12.7109375" bestFit="1" customWidth="1"/>
    <col min="16129" max="16129" width="8.85546875" bestFit="1" customWidth="1"/>
    <col min="16130" max="16130" width="17.7109375" bestFit="1" customWidth="1"/>
    <col min="16131" max="16131" width="13" bestFit="1" customWidth="1"/>
    <col min="16132" max="16132" width="13.42578125" bestFit="1" customWidth="1"/>
    <col min="16133" max="16133" width="10.85546875" bestFit="1" customWidth="1"/>
    <col min="16134" max="16134" width="26.85546875" bestFit="1" customWidth="1"/>
    <col min="16135" max="16135" width="20.85546875" bestFit="1" customWidth="1"/>
    <col min="16136" max="16136" width="30.42578125" bestFit="1" customWidth="1"/>
    <col min="16137" max="16137" width="19.42578125" bestFit="1" customWidth="1"/>
    <col min="16138" max="16138" width="20.28515625" bestFit="1" customWidth="1"/>
    <col min="16139" max="16140" width="12" bestFit="1" customWidth="1"/>
    <col min="16141" max="16142" width="12.5703125" bestFit="1" customWidth="1"/>
    <col min="16143" max="16143" width="11.7109375" bestFit="1" customWidth="1"/>
    <col min="16144" max="16144" width="19" bestFit="1" customWidth="1"/>
    <col min="16145" max="16145" width="12.140625" bestFit="1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118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x14ac:dyDescent="0.25">
      <c r="A2" s="1" t="s">
        <v>11067</v>
      </c>
      <c r="C2" t="str">
        <f t="shared" ref="C2:C33" si="0">CONCATENATE(LEFT(T2,3),RIGHT(A2,8))</f>
        <v>BEB58060183</v>
      </c>
      <c r="D2" t="s">
        <v>8689</v>
      </c>
      <c r="E2" s="1" t="s">
        <v>11068</v>
      </c>
      <c r="F2" s="61"/>
      <c r="G2" s="119">
        <v>0</v>
      </c>
      <c r="H2" s="4" t="s">
        <v>8690</v>
      </c>
      <c r="I2">
        <v>12</v>
      </c>
      <c r="J2">
        <v>12</v>
      </c>
      <c r="L2" s="65">
        <f>((ARTICULOS_HCLASVEGAS[[#This Row],[P. Compra]]*(1+ARTICULOS_HCLASVEGAS[[#This Row],[IVA]]))/ARTICULOS_HCLASVEGAS[[#This Row],[UnidFact]])+ARTICULOS_HCLASVEGAS[[#This Row],[CostoFlete]]</f>
        <v>0</v>
      </c>
      <c r="M2">
        <v>30</v>
      </c>
      <c r="N2" s="63">
        <f t="shared" ref="N2:N33" si="1">IF(L2&gt;=5,MROUND(L2/(1-M2/100),100),50)</f>
        <v>50</v>
      </c>
      <c r="O2" s="3">
        <f>MROUND((ARTICULOS_HCLASVEGAS[[#This Row],[Precio]]/0.6),50)</f>
        <v>100</v>
      </c>
      <c r="P2" t="s">
        <v>8693</v>
      </c>
      <c r="Q2">
        <v>4</v>
      </c>
      <c r="R2" s="3">
        <f>ARTICULOS_HCLASVEGAS[[#This Row],[Bulto]]+ARTICULOS_HCLASVEGAS[[#This Row],[Minimo]]</f>
        <v>16</v>
      </c>
      <c r="S2" t="s">
        <v>23</v>
      </c>
      <c r="T2" t="s">
        <v>10</v>
      </c>
      <c r="U2" t="s">
        <v>5</v>
      </c>
      <c r="V2" t="s">
        <v>11069</v>
      </c>
      <c r="W2" t="s">
        <v>8692</v>
      </c>
      <c r="X2">
        <v>1</v>
      </c>
      <c r="Y2">
        <v>0</v>
      </c>
      <c r="Z2"/>
      <c r="AB2" s="80">
        <f>ARTICULOS_HCLASVEGAS[[#This Row],[Costo]]*ARTICULOS_HCLASVEGAS[[#This Row],[Pedido]]</f>
        <v>0</v>
      </c>
      <c r="AD2"/>
      <c r="AF2" s="2"/>
      <c r="AH2" s="2" t="str">
        <f>IF(AND(ARTICULOS_HCLASVEGAS[[#This Row],[FechaVenc]]=0,ARTICULOS_HCLASVEGAS[[#This Row],[DiasVenc]]=0),"",ARTICULOS_HCLASVEGAS[[#This Row],[FechaVenc]]-ARTICULOS_HCLASVEGAS[[#This Row],[DiasVenc]])</f>
        <v/>
      </c>
      <c r="AK2"/>
      <c r="AM2"/>
      <c r="AO2" t="s">
        <v>8689</v>
      </c>
    </row>
    <row r="3" spans="1:43" x14ac:dyDescent="0.25">
      <c r="A3" s="1" t="s">
        <v>11070</v>
      </c>
      <c r="C3" t="str">
        <f t="shared" si="0"/>
        <v>BEB58060190</v>
      </c>
      <c r="D3" t="s">
        <v>8689</v>
      </c>
      <c r="E3" s="1" t="s">
        <v>11071</v>
      </c>
      <c r="F3" s="61"/>
      <c r="G3" s="119">
        <v>0</v>
      </c>
      <c r="H3" s="4" t="s">
        <v>8690</v>
      </c>
      <c r="I3">
        <v>12</v>
      </c>
      <c r="J3">
        <v>12</v>
      </c>
      <c r="L3" s="65">
        <f>((ARTICULOS_HCLASVEGAS[[#This Row],[P. Compra]]*(1+ARTICULOS_HCLASVEGAS[[#This Row],[IVA]]))/ARTICULOS_HCLASVEGAS[[#This Row],[UnidFact]])+ARTICULOS_HCLASVEGAS[[#This Row],[CostoFlete]]</f>
        <v>0</v>
      </c>
      <c r="M3">
        <v>30</v>
      </c>
      <c r="N3" s="63">
        <f t="shared" si="1"/>
        <v>50</v>
      </c>
      <c r="O3" s="3">
        <f>MROUND((ARTICULOS_HCLASVEGAS[[#This Row],[Precio]]/0.6),50)</f>
        <v>100</v>
      </c>
      <c r="P3" t="s">
        <v>8693</v>
      </c>
      <c r="Q3">
        <v>4</v>
      </c>
      <c r="R3" s="3">
        <f>ARTICULOS_HCLASVEGAS[[#This Row],[Bulto]]+ARTICULOS_HCLASVEGAS[[#This Row],[Minimo]]</f>
        <v>16</v>
      </c>
      <c r="S3" t="s">
        <v>23</v>
      </c>
      <c r="T3" t="s">
        <v>10</v>
      </c>
      <c r="U3" t="s">
        <v>5</v>
      </c>
      <c r="V3" t="s">
        <v>11069</v>
      </c>
      <c r="W3" t="s">
        <v>8692</v>
      </c>
      <c r="X3">
        <v>1</v>
      </c>
      <c r="Y3">
        <v>0</v>
      </c>
      <c r="Z3"/>
      <c r="AB3" s="80">
        <f>ARTICULOS_HCLASVEGAS[[#This Row],[Costo]]*ARTICULOS_HCLASVEGAS[[#This Row],[Pedido]]</f>
        <v>0</v>
      </c>
      <c r="AD3"/>
      <c r="AH3" s="2" t="str">
        <f>IF(AND(ARTICULOS_HCLASVEGAS[[#This Row],[FechaVenc]]=0,ARTICULOS_HCLASVEGAS[[#This Row],[DiasVenc]]=0),"",ARTICULOS_HCLASVEGAS[[#This Row],[FechaVenc]]-ARTICULOS_HCLASVEGAS[[#This Row],[DiasVenc]])</f>
        <v/>
      </c>
      <c r="AK3"/>
      <c r="AM3"/>
      <c r="AO3" t="s">
        <v>8689</v>
      </c>
    </row>
    <row r="4" spans="1:43" x14ac:dyDescent="0.25">
      <c r="A4" s="1" t="s">
        <v>11139</v>
      </c>
      <c r="C4" t="str">
        <f t="shared" si="0"/>
        <v>BOD10517348</v>
      </c>
      <c r="D4" t="s">
        <v>8689</v>
      </c>
      <c r="E4" s="1" t="s">
        <v>11140</v>
      </c>
      <c r="F4" s="61">
        <v>2199</v>
      </c>
      <c r="G4" s="119">
        <v>0</v>
      </c>
      <c r="H4" s="4" t="s">
        <v>8690</v>
      </c>
      <c r="I4">
        <v>6</v>
      </c>
      <c r="J4">
        <v>1</v>
      </c>
      <c r="L4" s="65">
        <f>((ARTICULOS_HCLASVEGAS[[#This Row],[P. Compra]]*(1+ARTICULOS_HCLASVEGAS[[#This Row],[IVA]]))/ARTICULOS_HCLASVEGAS[[#This Row],[UnidFact]])+ARTICULOS_HCLASVEGAS[[#This Row],[CostoFlete]]</f>
        <v>2199</v>
      </c>
      <c r="M4">
        <v>30</v>
      </c>
      <c r="N4" s="63">
        <f t="shared" si="1"/>
        <v>3100</v>
      </c>
      <c r="O4" s="3">
        <f>MROUND((ARTICULOS_HCLASVEGAS[[#This Row],[Precio]]/0.6),50)</f>
        <v>5150</v>
      </c>
      <c r="P4" t="s">
        <v>8693</v>
      </c>
      <c r="Q4">
        <v>2</v>
      </c>
      <c r="R4" s="3">
        <f>ARTICULOS_HCLASVEGAS[[#This Row],[Bulto]]+ARTICULOS_HCLASVEGAS[[#This Row],[Minimo]]</f>
        <v>8</v>
      </c>
      <c r="S4" t="s">
        <v>23</v>
      </c>
      <c r="T4" t="s">
        <v>13</v>
      </c>
      <c r="U4" t="s">
        <v>34</v>
      </c>
      <c r="V4" t="s">
        <v>11141</v>
      </c>
      <c r="W4" t="s">
        <v>8692</v>
      </c>
      <c r="X4">
        <v>1</v>
      </c>
      <c r="Y4">
        <v>10</v>
      </c>
      <c r="Z4"/>
      <c r="AB4" s="80">
        <f>ARTICULOS_HCLASVEGAS[[#This Row],[Costo]]*ARTICULOS_HCLASVEGAS[[#This Row],[Pedido]]</f>
        <v>0</v>
      </c>
      <c r="AD4"/>
      <c r="AH4" s="2" t="str">
        <f>IF(AND(ARTICULOS_HCLASVEGAS[[#This Row],[FechaVenc]]=0,ARTICULOS_HCLASVEGAS[[#This Row],[DiasVenc]]=0),"",ARTICULOS_HCLASVEGAS[[#This Row],[FechaVenc]]-ARTICULOS_HCLASVEGAS[[#This Row],[DiasVenc]])</f>
        <v/>
      </c>
      <c r="AK4"/>
      <c r="AM4"/>
      <c r="AO4" t="s">
        <v>8689</v>
      </c>
    </row>
    <row r="5" spans="1:43" x14ac:dyDescent="0.25">
      <c r="A5" s="24" t="s">
        <v>11137</v>
      </c>
      <c r="C5" t="str">
        <f t="shared" si="0"/>
        <v>BOD77991829</v>
      </c>
      <c r="D5" t="s">
        <v>8689</v>
      </c>
      <c r="E5" s="24" t="s">
        <v>11138</v>
      </c>
      <c r="F5" s="61">
        <v>1400</v>
      </c>
      <c r="G5" s="119">
        <v>0</v>
      </c>
      <c r="H5" s="4" t="s">
        <v>8690</v>
      </c>
      <c r="I5">
        <v>6</v>
      </c>
      <c r="J5">
        <v>1</v>
      </c>
      <c r="L5" s="65">
        <f>((ARTICULOS_HCLASVEGAS[[#This Row],[P. Compra]]*(1+ARTICULOS_HCLASVEGAS[[#This Row],[IVA]]))/ARTICULOS_HCLASVEGAS[[#This Row],[UnidFact]])+ARTICULOS_HCLASVEGAS[[#This Row],[CostoFlete]]</f>
        <v>1400</v>
      </c>
      <c r="M5">
        <v>30</v>
      </c>
      <c r="N5" s="63">
        <f t="shared" si="1"/>
        <v>2000</v>
      </c>
      <c r="O5" s="3">
        <f>MROUND((ARTICULOS_HCLASVEGAS[[#This Row],[Precio]]/0.6),50)</f>
        <v>3350</v>
      </c>
      <c r="P5" t="s">
        <v>8693</v>
      </c>
      <c r="Q5">
        <v>2</v>
      </c>
      <c r="R5" s="3">
        <f>ARTICULOS_HCLASVEGAS[[#This Row],[Bulto]]+ARTICULOS_HCLASVEGAS[[#This Row],[Minimo]]</f>
        <v>8</v>
      </c>
      <c r="S5" t="s">
        <v>23</v>
      </c>
      <c r="T5" t="s">
        <v>13</v>
      </c>
      <c r="U5" t="s">
        <v>34</v>
      </c>
      <c r="V5" t="s">
        <v>11136</v>
      </c>
      <c r="W5" t="s">
        <v>8692</v>
      </c>
      <c r="X5">
        <v>1</v>
      </c>
      <c r="Y5">
        <v>0</v>
      </c>
      <c r="Z5"/>
      <c r="AB5" s="80">
        <f>ARTICULOS_HCLASVEGAS[[#This Row],[Costo]]*ARTICULOS_HCLASVEGAS[[#This Row],[Pedido]]</f>
        <v>0</v>
      </c>
      <c r="AD5"/>
      <c r="AH5" s="2" t="str">
        <f>IF(AND(ARTICULOS_HCLASVEGAS[[#This Row],[FechaVenc]]=0,ARTICULOS_HCLASVEGAS[[#This Row],[DiasVenc]]=0),"",ARTICULOS_HCLASVEGAS[[#This Row],[FechaVenc]]-ARTICULOS_HCLASVEGAS[[#This Row],[DiasVenc]])</f>
        <v/>
      </c>
      <c r="AK5"/>
      <c r="AM5"/>
      <c r="AO5" t="s">
        <v>8689</v>
      </c>
    </row>
    <row r="6" spans="1:43" x14ac:dyDescent="0.25">
      <c r="A6" s="1" t="s">
        <v>11134</v>
      </c>
      <c r="C6" t="str">
        <f t="shared" si="0"/>
        <v>BOD60006029</v>
      </c>
      <c r="D6" t="s">
        <v>8689</v>
      </c>
      <c r="E6" s="1" t="s">
        <v>11135</v>
      </c>
      <c r="F6" s="61">
        <v>4300</v>
      </c>
      <c r="G6" s="119">
        <v>0</v>
      </c>
      <c r="H6" s="4" t="s">
        <v>8690</v>
      </c>
      <c r="I6">
        <v>6</v>
      </c>
      <c r="J6">
        <v>1</v>
      </c>
      <c r="L6" s="65">
        <f>((ARTICULOS_HCLASVEGAS[[#This Row],[P. Compra]]*(1+ARTICULOS_HCLASVEGAS[[#This Row],[IVA]]))/ARTICULOS_HCLASVEGAS[[#This Row],[UnidFact]])+ARTICULOS_HCLASVEGAS[[#This Row],[CostoFlete]]</f>
        <v>4300</v>
      </c>
      <c r="M6">
        <v>30</v>
      </c>
      <c r="N6" s="63">
        <f t="shared" si="1"/>
        <v>6100</v>
      </c>
      <c r="O6" s="3">
        <f>MROUND((ARTICULOS_HCLASVEGAS[[#This Row],[Precio]]/0.6),50)</f>
        <v>10150</v>
      </c>
      <c r="P6" t="s">
        <v>8693</v>
      </c>
      <c r="Q6">
        <v>2</v>
      </c>
      <c r="R6" s="3">
        <f>ARTICULOS_HCLASVEGAS[[#This Row],[Bulto]]+ARTICULOS_HCLASVEGAS[[#This Row],[Minimo]]</f>
        <v>8</v>
      </c>
      <c r="S6" t="s">
        <v>23</v>
      </c>
      <c r="T6" t="s">
        <v>13</v>
      </c>
      <c r="U6" t="s">
        <v>34</v>
      </c>
      <c r="V6" t="s">
        <v>11136</v>
      </c>
      <c r="W6" t="s">
        <v>8692</v>
      </c>
      <c r="X6">
        <v>1</v>
      </c>
      <c r="Y6">
        <v>0</v>
      </c>
      <c r="Z6"/>
      <c r="AB6" s="80">
        <f>ARTICULOS_HCLASVEGAS[[#This Row],[Costo]]*ARTICULOS_HCLASVEGAS[[#This Row],[Pedido]]</f>
        <v>0</v>
      </c>
      <c r="AD6"/>
      <c r="AH6" s="2" t="str">
        <f>IF(AND(ARTICULOS_HCLASVEGAS[[#This Row],[FechaVenc]]=0,ARTICULOS_HCLASVEGAS[[#This Row],[DiasVenc]]=0),"",ARTICULOS_HCLASVEGAS[[#This Row],[FechaVenc]]-ARTICULOS_HCLASVEGAS[[#This Row],[DiasVenc]])</f>
        <v/>
      </c>
      <c r="AK6"/>
      <c r="AM6"/>
      <c r="AO6" t="s">
        <v>8689</v>
      </c>
    </row>
    <row r="7" spans="1:43" x14ac:dyDescent="0.25">
      <c r="A7" s="1" t="s">
        <v>11142</v>
      </c>
      <c r="C7" t="str">
        <f t="shared" si="0"/>
        <v>BOD36057029</v>
      </c>
      <c r="D7" t="s">
        <v>8689</v>
      </c>
      <c r="E7" s="1" t="s">
        <v>11143</v>
      </c>
      <c r="F7" s="61">
        <v>6800</v>
      </c>
      <c r="G7" s="119">
        <v>0</v>
      </c>
      <c r="H7" s="4" t="s">
        <v>8690</v>
      </c>
      <c r="I7">
        <v>6</v>
      </c>
      <c r="J7">
        <v>1</v>
      </c>
      <c r="L7" s="65">
        <f>((ARTICULOS_HCLASVEGAS[[#This Row],[P. Compra]]*(1+ARTICULOS_HCLASVEGAS[[#This Row],[IVA]]))/ARTICULOS_HCLASVEGAS[[#This Row],[UnidFact]])+ARTICULOS_HCLASVEGAS[[#This Row],[CostoFlete]]</f>
        <v>6800</v>
      </c>
      <c r="M7">
        <v>30</v>
      </c>
      <c r="N7" s="63">
        <f t="shared" si="1"/>
        <v>9700</v>
      </c>
      <c r="O7" s="3">
        <f>MROUND((ARTICULOS_HCLASVEGAS[[#This Row],[Precio]]/0.6),50)</f>
        <v>16150</v>
      </c>
      <c r="P7" t="s">
        <v>8693</v>
      </c>
      <c r="Q7">
        <v>2</v>
      </c>
      <c r="R7" s="3">
        <f>ARTICULOS_HCLASVEGAS[[#This Row],[Bulto]]+ARTICULOS_HCLASVEGAS[[#This Row],[Minimo]]</f>
        <v>8</v>
      </c>
      <c r="S7" t="s">
        <v>23</v>
      </c>
      <c r="T7" t="s">
        <v>13</v>
      </c>
      <c r="U7" t="s">
        <v>83</v>
      </c>
      <c r="V7" t="s">
        <v>11144</v>
      </c>
      <c r="W7" t="s">
        <v>8692</v>
      </c>
      <c r="X7">
        <v>1</v>
      </c>
      <c r="Y7">
        <v>3</v>
      </c>
      <c r="Z7"/>
      <c r="AB7" s="80">
        <f>ARTICULOS_HCLASVEGAS[[#This Row],[Costo]]*ARTICULOS_HCLASVEGAS[[#This Row],[Pedido]]</f>
        <v>0</v>
      </c>
      <c r="AD7"/>
      <c r="AH7" s="2" t="str">
        <f>IF(AND(ARTICULOS_HCLASVEGAS[[#This Row],[FechaVenc]]=0,ARTICULOS_HCLASVEGAS[[#This Row],[DiasVenc]]=0),"",ARTICULOS_HCLASVEGAS[[#This Row],[FechaVenc]]-ARTICULOS_HCLASVEGAS[[#This Row],[DiasVenc]])</f>
        <v/>
      </c>
      <c r="AK7"/>
      <c r="AM7"/>
      <c r="AO7" t="s">
        <v>8689</v>
      </c>
    </row>
    <row r="8" spans="1:43" x14ac:dyDescent="0.25">
      <c r="A8" s="1" t="s">
        <v>11145</v>
      </c>
      <c r="C8" t="str">
        <f t="shared" si="0"/>
        <v>BOD36052000</v>
      </c>
      <c r="D8" t="s">
        <v>8689</v>
      </c>
      <c r="E8" s="1" t="s">
        <v>11146</v>
      </c>
      <c r="F8" s="61">
        <v>6900</v>
      </c>
      <c r="G8" s="119">
        <v>0</v>
      </c>
      <c r="H8" s="4" t="s">
        <v>8690</v>
      </c>
      <c r="I8">
        <v>6</v>
      </c>
      <c r="J8">
        <v>1</v>
      </c>
      <c r="L8" s="65">
        <f>((ARTICULOS_HCLASVEGAS[[#This Row],[P. Compra]]*(1+ARTICULOS_HCLASVEGAS[[#This Row],[IVA]]))/ARTICULOS_HCLASVEGAS[[#This Row],[UnidFact]])+ARTICULOS_HCLASVEGAS[[#This Row],[CostoFlete]]</f>
        <v>6900</v>
      </c>
      <c r="M8">
        <v>30</v>
      </c>
      <c r="N8" s="63">
        <f t="shared" si="1"/>
        <v>9900</v>
      </c>
      <c r="O8" s="3">
        <f>MROUND((ARTICULOS_HCLASVEGAS[[#This Row],[Precio]]/0.6),50)</f>
        <v>16500</v>
      </c>
      <c r="P8" t="s">
        <v>8693</v>
      </c>
      <c r="Q8">
        <v>2</v>
      </c>
      <c r="R8" s="3">
        <f>ARTICULOS_HCLASVEGAS[[#This Row],[Bulto]]+ARTICULOS_HCLASVEGAS[[#This Row],[Minimo]]</f>
        <v>8</v>
      </c>
      <c r="S8" t="s">
        <v>23</v>
      </c>
      <c r="T8" t="s">
        <v>13</v>
      </c>
      <c r="U8" t="s">
        <v>83</v>
      </c>
      <c r="V8" t="s">
        <v>11147</v>
      </c>
      <c r="W8" t="s">
        <v>8692</v>
      </c>
      <c r="X8">
        <v>1</v>
      </c>
      <c r="Y8">
        <v>2</v>
      </c>
      <c r="Z8"/>
      <c r="AB8" s="80">
        <f>ARTICULOS_HCLASVEGAS[[#This Row],[Costo]]*ARTICULOS_HCLASVEGAS[[#This Row],[Pedido]]</f>
        <v>0</v>
      </c>
      <c r="AD8"/>
      <c r="AH8" s="2" t="str">
        <f>IF(AND(ARTICULOS_HCLASVEGAS[[#This Row],[FechaVenc]]=0,ARTICULOS_HCLASVEGAS[[#This Row],[DiasVenc]]=0),"",ARTICULOS_HCLASVEGAS[[#This Row],[FechaVenc]]-ARTICULOS_HCLASVEGAS[[#This Row],[DiasVenc]])</f>
        <v/>
      </c>
      <c r="AK8"/>
      <c r="AM8"/>
      <c r="AO8" t="s">
        <v>8689</v>
      </c>
    </row>
    <row r="9" spans="1:43" ht="15" customHeight="1" x14ac:dyDescent="0.25">
      <c r="A9" s="1" t="s">
        <v>11148</v>
      </c>
      <c r="C9" t="str">
        <f t="shared" si="0"/>
        <v>BOD00000626</v>
      </c>
      <c r="D9" t="s">
        <v>8689</v>
      </c>
      <c r="E9" s="1" t="s">
        <v>11149</v>
      </c>
      <c r="F9" s="61">
        <v>6200</v>
      </c>
      <c r="G9" s="119">
        <v>0</v>
      </c>
      <c r="H9" s="4" t="s">
        <v>8690</v>
      </c>
      <c r="I9">
        <v>6</v>
      </c>
      <c r="J9">
        <v>1</v>
      </c>
      <c r="L9" s="65">
        <f>((ARTICULOS_HCLASVEGAS[[#This Row],[P. Compra]]*(1+ARTICULOS_HCLASVEGAS[[#This Row],[IVA]]))/ARTICULOS_HCLASVEGAS[[#This Row],[UnidFact]])+ARTICULOS_HCLASVEGAS[[#This Row],[CostoFlete]]</f>
        <v>6200</v>
      </c>
      <c r="M9">
        <v>30</v>
      </c>
      <c r="N9" s="63">
        <f t="shared" si="1"/>
        <v>8900</v>
      </c>
      <c r="O9" s="3">
        <f>MROUND((ARTICULOS_HCLASVEGAS[[#This Row],[Precio]]/0.6),50)</f>
        <v>14850</v>
      </c>
      <c r="P9" t="s">
        <v>8693</v>
      </c>
      <c r="Q9">
        <v>2</v>
      </c>
      <c r="R9" s="3">
        <f>ARTICULOS_HCLASVEGAS[[#This Row],[Bulto]]+ARTICULOS_HCLASVEGAS[[#This Row],[Minimo]]</f>
        <v>8</v>
      </c>
      <c r="S9" t="s">
        <v>23</v>
      </c>
      <c r="T9" t="s">
        <v>13</v>
      </c>
      <c r="U9" t="s">
        <v>83</v>
      </c>
      <c r="V9" t="s">
        <v>11150</v>
      </c>
      <c r="W9" t="s">
        <v>8692</v>
      </c>
      <c r="X9">
        <v>1</v>
      </c>
      <c r="Y9">
        <v>5</v>
      </c>
      <c r="Z9"/>
      <c r="AB9" s="80">
        <f>ARTICULOS_HCLASVEGAS[[#This Row],[Costo]]*ARTICULOS_HCLASVEGAS[[#This Row],[Pedido]]</f>
        <v>0</v>
      </c>
      <c r="AD9"/>
      <c r="AH9" s="2" t="str">
        <f>IF(AND(ARTICULOS_HCLASVEGAS[[#This Row],[FechaVenc]]=0,ARTICULOS_HCLASVEGAS[[#This Row],[DiasVenc]]=0),"",ARTICULOS_HCLASVEGAS[[#This Row],[FechaVenc]]-ARTICULOS_HCLASVEGAS[[#This Row],[DiasVenc]])</f>
        <v/>
      </c>
      <c r="AK9"/>
      <c r="AM9"/>
      <c r="AO9" t="s">
        <v>8689</v>
      </c>
    </row>
    <row r="10" spans="1:43" ht="15" customHeight="1" x14ac:dyDescent="0.25">
      <c r="A10" s="1" t="s">
        <v>11151</v>
      </c>
      <c r="C10" t="str">
        <f t="shared" si="0"/>
        <v>BOD67047923</v>
      </c>
      <c r="D10" t="s">
        <v>8689</v>
      </c>
      <c r="E10" s="1" t="s">
        <v>11152</v>
      </c>
      <c r="F10" s="61"/>
      <c r="G10" s="119">
        <v>0</v>
      </c>
      <c r="H10" s="4" t="s">
        <v>8690</v>
      </c>
      <c r="I10">
        <v>12</v>
      </c>
      <c r="J10">
        <v>1</v>
      </c>
      <c r="L10" s="65">
        <f>((ARTICULOS_HCLASVEGAS[[#This Row],[P. Compra]]*(1+ARTICULOS_HCLASVEGAS[[#This Row],[IVA]]))/ARTICULOS_HCLASVEGAS[[#This Row],[UnidFact]])+ARTICULOS_HCLASVEGAS[[#This Row],[CostoFlete]]</f>
        <v>0</v>
      </c>
      <c r="M10">
        <v>30</v>
      </c>
      <c r="N10" s="63">
        <f t="shared" si="1"/>
        <v>50</v>
      </c>
      <c r="O10" s="3">
        <f>MROUND((ARTICULOS_HCLASVEGAS[[#This Row],[Precio]]/0.6),50)</f>
        <v>100</v>
      </c>
      <c r="P10" t="s">
        <v>8693</v>
      </c>
      <c r="Q10">
        <v>4</v>
      </c>
      <c r="R10" s="3">
        <f>ARTICULOS_HCLASVEGAS[[#This Row],[Bulto]]+ARTICULOS_HCLASVEGAS[[#This Row],[Minimo]]</f>
        <v>16</v>
      </c>
      <c r="S10" t="s">
        <v>23</v>
      </c>
      <c r="T10" t="s">
        <v>13</v>
      </c>
      <c r="U10" t="s">
        <v>83</v>
      </c>
      <c r="V10" t="s">
        <v>11153</v>
      </c>
      <c r="W10" t="s">
        <v>8692</v>
      </c>
      <c r="X10">
        <v>1</v>
      </c>
      <c r="Y10">
        <v>0</v>
      </c>
      <c r="Z10"/>
      <c r="AB10" s="80">
        <f>ARTICULOS_HCLASVEGAS[[#This Row],[Costo]]*ARTICULOS_HCLASVEGAS[[#This Row],[Pedido]]</f>
        <v>0</v>
      </c>
      <c r="AD10"/>
      <c r="AH10" s="2" t="str">
        <f>IF(AND(ARTICULOS_HCLASVEGAS[[#This Row],[FechaVenc]]=0,ARTICULOS_HCLASVEGAS[[#This Row],[DiasVenc]]=0),"",ARTICULOS_HCLASVEGAS[[#This Row],[FechaVenc]]-ARTICULOS_HCLASVEGAS[[#This Row],[DiasVenc]])</f>
        <v/>
      </c>
      <c r="AK10"/>
      <c r="AM10"/>
      <c r="AO10" t="s">
        <v>8689</v>
      </c>
    </row>
    <row r="11" spans="1:43" x14ac:dyDescent="0.25">
      <c r="A11" s="1" t="s">
        <v>11154</v>
      </c>
      <c r="C11" t="str">
        <f t="shared" si="0"/>
        <v>BOD90001179</v>
      </c>
      <c r="D11" t="s">
        <v>8689</v>
      </c>
      <c r="E11" s="1" t="s">
        <v>11155</v>
      </c>
      <c r="F11" s="61">
        <v>5400</v>
      </c>
      <c r="G11" s="119">
        <v>0</v>
      </c>
      <c r="H11" s="4" t="s">
        <v>8690</v>
      </c>
      <c r="I11">
        <v>6</v>
      </c>
      <c r="J11">
        <v>1</v>
      </c>
      <c r="L11" s="65">
        <f>((ARTICULOS_HCLASVEGAS[[#This Row],[P. Compra]]*(1+ARTICULOS_HCLASVEGAS[[#This Row],[IVA]]))/ARTICULOS_HCLASVEGAS[[#This Row],[UnidFact]])+ARTICULOS_HCLASVEGAS[[#This Row],[CostoFlete]]</f>
        <v>5400</v>
      </c>
      <c r="M11">
        <v>30</v>
      </c>
      <c r="N11" s="63">
        <f t="shared" si="1"/>
        <v>7700</v>
      </c>
      <c r="O11" s="3">
        <f>MROUND((ARTICULOS_HCLASVEGAS[[#This Row],[Precio]]/0.6),50)</f>
        <v>12850</v>
      </c>
      <c r="P11" t="s">
        <v>8693</v>
      </c>
      <c r="Q11">
        <v>2</v>
      </c>
      <c r="R11" s="3">
        <f>ARTICULOS_HCLASVEGAS[[#This Row],[Bulto]]+ARTICULOS_HCLASVEGAS[[#This Row],[Minimo]]</f>
        <v>8</v>
      </c>
      <c r="S11" t="s">
        <v>23</v>
      </c>
      <c r="T11" t="s">
        <v>13</v>
      </c>
      <c r="U11" t="s">
        <v>83</v>
      </c>
      <c r="V11" t="s">
        <v>11153</v>
      </c>
      <c r="W11" t="s">
        <v>8692</v>
      </c>
      <c r="X11">
        <v>1</v>
      </c>
      <c r="Y11">
        <v>0</v>
      </c>
      <c r="Z11"/>
      <c r="AB11" s="80">
        <f>ARTICULOS_HCLASVEGAS[[#This Row],[Costo]]*ARTICULOS_HCLASVEGAS[[#This Row],[Pedido]]</f>
        <v>0</v>
      </c>
      <c r="AD11"/>
      <c r="AH11" s="2" t="str">
        <f>IF(AND(ARTICULOS_HCLASVEGAS[[#This Row],[FechaVenc]]=0,ARTICULOS_HCLASVEGAS[[#This Row],[DiasVenc]]=0),"",ARTICULOS_HCLASVEGAS[[#This Row],[FechaVenc]]-ARTICULOS_HCLASVEGAS[[#This Row],[DiasVenc]])</f>
        <v/>
      </c>
      <c r="AK11"/>
      <c r="AM11"/>
      <c r="AO11" t="s">
        <v>8689</v>
      </c>
    </row>
    <row r="12" spans="1:43" x14ac:dyDescent="0.25">
      <c r="A12" s="24" t="s">
        <v>11399</v>
      </c>
      <c r="C12" t="str">
        <f t="shared" si="0"/>
        <v>BOD90001254</v>
      </c>
      <c r="D12" t="s">
        <v>8689</v>
      </c>
      <c r="E12" s="24" t="s">
        <v>11400</v>
      </c>
      <c r="F12" s="61">
        <v>1300</v>
      </c>
      <c r="G12" s="119">
        <v>0</v>
      </c>
      <c r="H12" s="4" t="s">
        <v>8690</v>
      </c>
      <c r="I12">
        <v>6</v>
      </c>
      <c r="J12">
        <v>1</v>
      </c>
      <c r="L12" s="65">
        <f>((ARTICULOS_HCLASVEGAS[[#This Row],[P. Compra]]*(1+ARTICULOS_HCLASVEGAS[[#This Row],[IVA]]))/ARTICULOS_HCLASVEGAS[[#This Row],[UnidFact]])+ARTICULOS_HCLASVEGAS[[#This Row],[CostoFlete]]</f>
        <v>1300</v>
      </c>
      <c r="M12">
        <v>30</v>
      </c>
      <c r="N12" s="63">
        <f t="shared" si="1"/>
        <v>1900</v>
      </c>
      <c r="O12" s="3">
        <f>MROUND((ARTICULOS_HCLASVEGAS[[#This Row],[Precio]]/0.6),50)</f>
        <v>3150</v>
      </c>
      <c r="P12" t="s">
        <v>8693</v>
      </c>
      <c r="Q12">
        <v>2</v>
      </c>
      <c r="R12" s="3">
        <f>ARTICULOS_HCLASVEGAS[[#This Row],[Bulto]]+ARTICULOS_HCLASVEGAS[[#This Row],[Minimo]]</f>
        <v>8</v>
      </c>
      <c r="S12" t="s">
        <v>23</v>
      </c>
      <c r="T12" t="s">
        <v>13</v>
      </c>
      <c r="U12" t="s">
        <v>83</v>
      </c>
      <c r="V12" t="s">
        <v>11153</v>
      </c>
      <c r="W12" t="s">
        <v>8692</v>
      </c>
      <c r="X12">
        <v>1</v>
      </c>
      <c r="Y12">
        <v>0</v>
      </c>
      <c r="Z12"/>
      <c r="AB12" s="80">
        <f>ARTICULOS_HCLASVEGAS[[#This Row],[Costo]]*ARTICULOS_HCLASVEGAS[[#This Row],[Pedido]]</f>
        <v>0</v>
      </c>
      <c r="AD12"/>
      <c r="AH12" s="2" t="str">
        <f>IF(AND(ARTICULOS_HCLASVEGAS[[#This Row],[FechaVenc]]=0,ARTICULOS_HCLASVEGAS[[#This Row],[DiasVenc]]=0),"",ARTICULOS_HCLASVEGAS[[#This Row],[FechaVenc]]-ARTICULOS_HCLASVEGAS[[#This Row],[DiasVenc]])</f>
        <v/>
      </c>
      <c r="AK12"/>
      <c r="AM12"/>
      <c r="AO12" t="s">
        <v>8689</v>
      </c>
    </row>
    <row r="13" spans="1:43" x14ac:dyDescent="0.25">
      <c r="A13" s="1" t="s">
        <v>11156</v>
      </c>
      <c r="C13" t="str">
        <f t="shared" si="0"/>
        <v>BOD90101602</v>
      </c>
      <c r="D13" t="s">
        <v>8689</v>
      </c>
      <c r="E13" s="1" t="s">
        <v>11157</v>
      </c>
      <c r="F13" s="61">
        <v>8200</v>
      </c>
      <c r="G13" s="119">
        <v>0</v>
      </c>
      <c r="H13" s="4" t="s">
        <v>8690</v>
      </c>
      <c r="I13">
        <v>6</v>
      </c>
      <c r="J13">
        <v>1</v>
      </c>
      <c r="L13" s="65">
        <f>((ARTICULOS_HCLASVEGAS[[#This Row],[P. Compra]]*(1+ARTICULOS_HCLASVEGAS[[#This Row],[IVA]]))/ARTICULOS_HCLASVEGAS[[#This Row],[UnidFact]])+ARTICULOS_HCLASVEGAS[[#This Row],[CostoFlete]]</f>
        <v>8200</v>
      </c>
      <c r="M13">
        <v>30</v>
      </c>
      <c r="N13" s="63">
        <f t="shared" si="1"/>
        <v>11700</v>
      </c>
      <c r="O13" s="3">
        <f>MROUND((ARTICULOS_HCLASVEGAS[[#This Row],[Precio]]/0.6),50)</f>
        <v>19500</v>
      </c>
      <c r="P13" t="s">
        <v>8693</v>
      </c>
      <c r="Q13">
        <v>2</v>
      </c>
      <c r="R13" s="3">
        <f>ARTICULOS_HCLASVEGAS[[#This Row],[Bulto]]+ARTICULOS_HCLASVEGAS[[#This Row],[Minimo]]</f>
        <v>8</v>
      </c>
      <c r="S13" t="s">
        <v>23</v>
      </c>
      <c r="T13" t="s">
        <v>13</v>
      </c>
      <c r="U13" t="s">
        <v>83</v>
      </c>
      <c r="V13" t="s">
        <v>11153</v>
      </c>
      <c r="W13" t="s">
        <v>8692</v>
      </c>
      <c r="X13">
        <v>1</v>
      </c>
      <c r="Y13">
        <v>0</v>
      </c>
      <c r="Z13"/>
      <c r="AB13" s="80">
        <f>ARTICULOS_HCLASVEGAS[[#This Row],[Costo]]*ARTICULOS_HCLASVEGAS[[#This Row],[Pedido]]</f>
        <v>0</v>
      </c>
      <c r="AD13"/>
      <c r="AH13" s="2" t="str">
        <f>IF(AND(ARTICULOS_HCLASVEGAS[[#This Row],[FechaVenc]]=0,ARTICULOS_HCLASVEGAS[[#This Row],[DiasVenc]]=0),"",ARTICULOS_HCLASVEGAS[[#This Row],[FechaVenc]]-ARTICULOS_HCLASVEGAS[[#This Row],[DiasVenc]])</f>
        <v/>
      </c>
      <c r="AK13"/>
      <c r="AM13"/>
      <c r="AO13" t="s">
        <v>8689</v>
      </c>
    </row>
    <row r="14" spans="1:43" x14ac:dyDescent="0.25">
      <c r="A14" s="1" t="s">
        <v>11158</v>
      </c>
      <c r="C14" t="str">
        <f t="shared" si="0"/>
        <v>BOD53231619</v>
      </c>
      <c r="D14" t="s">
        <v>8689</v>
      </c>
      <c r="E14" s="1" t="s">
        <v>11159</v>
      </c>
      <c r="F14" s="61"/>
      <c r="G14" s="119">
        <v>0</v>
      </c>
      <c r="H14" s="4" t="s">
        <v>8690</v>
      </c>
      <c r="I14">
        <v>6</v>
      </c>
      <c r="J14">
        <v>1</v>
      </c>
      <c r="L14" s="65">
        <f>((ARTICULOS_HCLASVEGAS[[#This Row],[P. Compra]]*(1+ARTICULOS_HCLASVEGAS[[#This Row],[IVA]]))/ARTICULOS_HCLASVEGAS[[#This Row],[UnidFact]])+ARTICULOS_HCLASVEGAS[[#This Row],[CostoFlete]]</f>
        <v>0</v>
      </c>
      <c r="M14">
        <v>30</v>
      </c>
      <c r="N14" s="63">
        <f t="shared" si="1"/>
        <v>50</v>
      </c>
      <c r="O14" s="3">
        <f>MROUND((ARTICULOS_HCLASVEGAS[[#This Row],[Precio]]/0.6),50)</f>
        <v>100</v>
      </c>
      <c r="P14" t="s">
        <v>8693</v>
      </c>
      <c r="Q14">
        <v>2</v>
      </c>
      <c r="R14" s="3">
        <f>ARTICULOS_HCLASVEGAS[[#This Row],[Bulto]]+ARTICULOS_HCLASVEGAS[[#This Row],[Minimo]]</f>
        <v>8</v>
      </c>
      <c r="S14" t="s">
        <v>23</v>
      </c>
      <c r="T14" t="s">
        <v>13</v>
      </c>
      <c r="U14" t="s">
        <v>83</v>
      </c>
      <c r="V14" t="s">
        <v>11153</v>
      </c>
      <c r="W14" t="s">
        <v>8692</v>
      </c>
      <c r="X14">
        <v>1</v>
      </c>
      <c r="Y14">
        <v>0</v>
      </c>
      <c r="Z14"/>
      <c r="AB14" s="80">
        <f>ARTICULOS_HCLASVEGAS[[#This Row],[Costo]]*ARTICULOS_HCLASVEGAS[[#This Row],[Pedido]]</f>
        <v>0</v>
      </c>
      <c r="AD14"/>
      <c r="AH14" s="2" t="str">
        <f>IF(AND(ARTICULOS_HCLASVEGAS[[#This Row],[FechaVenc]]=0,ARTICULOS_HCLASVEGAS[[#This Row],[DiasVenc]]=0),"",ARTICULOS_HCLASVEGAS[[#This Row],[FechaVenc]]-ARTICULOS_HCLASVEGAS[[#This Row],[DiasVenc]])</f>
        <v/>
      </c>
      <c r="AK14"/>
      <c r="AM14"/>
      <c r="AO14" t="s">
        <v>8689</v>
      </c>
    </row>
    <row r="15" spans="1:43" x14ac:dyDescent="0.25">
      <c r="A15" s="1" t="s">
        <v>11160</v>
      </c>
      <c r="C15" t="str">
        <f t="shared" si="0"/>
        <v>BOD50000191</v>
      </c>
      <c r="D15" t="s">
        <v>8689</v>
      </c>
      <c r="E15" s="1" t="s">
        <v>11161</v>
      </c>
      <c r="F15" s="61">
        <v>1900</v>
      </c>
      <c r="G15" s="119">
        <v>0</v>
      </c>
      <c r="H15" s="4" t="s">
        <v>8690</v>
      </c>
      <c r="I15">
        <v>6</v>
      </c>
      <c r="J15">
        <v>1</v>
      </c>
      <c r="L15" s="65">
        <f>((ARTICULOS_HCLASVEGAS[[#This Row],[P. Compra]]*(1+ARTICULOS_HCLASVEGAS[[#This Row],[IVA]]))/ARTICULOS_HCLASVEGAS[[#This Row],[UnidFact]])+ARTICULOS_HCLASVEGAS[[#This Row],[CostoFlete]]</f>
        <v>1900</v>
      </c>
      <c r="M15">
        <v>30</v>
      </c>
      <c r="N15" s="63">
        <f t="shared" si="1"/>
        <v>2700</v>
      </c>
      <c r="O15" s="3">
        <f>MROUND((ARTICULOS_HCLASVEGAS[[#This Row],[Precio]]/0.6),50)</f>
        <v>4500</v>
      </c>
      <c r="P15" t="s">
        <v>8693</v>
      </c>
      <c r="Q15">
        <v>2</v>
      </c>
      <c r="R15" s="3">
        <f>ARTICULOS_HCLASVEGAS[[#This Row],[Bulto]]+ARTICULOS_HCLASVEGAS[[#This Row],[Minimo]]</f>
        <v>8</v>
      </c>
      <c r="S15" t="s">
        <v>23</v>
      </c>
      <c r="T15" t="s">
        <v>13</v>
      </c>
      <c r="U15" t="s">
        <v>83</v>
      </c>
      <c r="V15" t="s">
        <v>11162</v>
      </c>
      <c r="W15" t="s">
        <v>8692</v>
      </c>
      <c r="X15">
        <v>1</v>
      </c>
      <c r="Y15">
        <v>0</v>
      </c>
      <c r="Z15"/>
      <c r="AB15" s="80">
        <f>ARTICULOS_HCLASVEGAS[[#This Row],[Costo]]*ARTICULOS_HCLASVEGAS[[#This Row],[Pedido]]</f>
        <v>0</v>
      </c>
      <c r="AD15"/>
      <c r="AH15" s="2" t="str">
        <f>IF(AND(ARTICULOS_HCLASVEGAS[[#This Row],[FechaVenc]]=0,ARTICULOS_HCLASVEGAS[[#This Row],[DiasVenc]]=0),"",ARTICULOS_HCLASVEGAS[[#This Row],[FechaVenc]]-ARTICULOS_HCLASVEGAS[[#This Row],[DiasVenc]])</f>
        <v/>
      </c>
      <c r="AK15"/>
      <c r="AM15"/>
      <c r="AO15" t="s">
        <v>8689</v>
      </c>
    </row>
    <row r="16" spans="1:43" ht="15" customHeight="1" x14ac:dyDescent="0.25">
      <c r="A16" s="1" t="s">
        <v>11163</v>
      </c>
      <c r="C16" t="str">
        <f t="shared" si="0"/>
        <v>BOD50000160</v>
      </c>
      <c r="D16" t="s">
        <v>8689</v>
      </c>
      <c r="E16" s="1" t="s">
        <v>11164</v>
      </c>
      <c r="F16" s="61">
        <v>3400</v>
      </c>
      <c r="G16" s="119">
        <v>0</v>
      </c>
      <c r="H16" s="4" t="s">
        <v>8690</v>
      </c>
      <c r="I16">
        <v>6</v>
      </c>
      <c r="J16">
        <v>1</v>
      </c>
      <c r="L16" s="65">
        <f>((ARTICULOS_HCLASVEGAS[[#This Row],[P. Compra]]*(1+ARTICULOS_HCLASVEGAS[[#This Row],[IVA]]))/ARTICULOS_HCLASVEGAS[[#This Row],[UnidFact]])+ARTICULOS_HCLASVEGAS[[#This Row],[CostoFlete]]</f>
        <v>3400</v>
      </c>
      <c r="M16">
        <v>30</v>
      </c>
      <c r="N16" s="63">
        <f t="shared" si="1"/>
        <v>4900</v>
      </c>
      <c r="O16" s="3">
        <f>MROUND((ARTICULOS_HCLASVEGAS[[#This Row],[Precio]]/0.6),50)</f>
        <v>8150</v>
      </c>
      <c r="P16" t="s">
        <v>8693</v>
      </c>
      <c r="Q16">
        <v>2</v>
      </c>
      <c r="R16" s="3">
        <f>ARTICULOS_HCLASVEGAS[[#This Row],[Bulto]]+ARTICULOS_HCLASVEGAS[[#This Row],[Minimo]]</f>
        <v>8</v>
      </c>
      <c r="S16" t="s">
        <v>23</v>
      </c>
      <c r="T16" t="s">
        <v>13</v>
      </c>
      <c r="U16" t="s">
        <v>83</v>
      </c>
      <c r="V16" t="s">
        <v>11162</v>
      </c>
      <c r="W16" t="s">
        <v>8692</v>
      </c>
      <c r="X16">
        <v>1</v>
      </c>
      <c r="Y16">
        <v>6</v>
      </c>
      <c r="Z16"/>
      <c r="AB16" s="80">
        <f>ARTICULOS_HCLASVEGAS[[#This Row],[Costo]]*ARTICULOS_HCLASVEGAS[[#This Row],[Pedido]]</f>
        <v>0</v>
      </c>
      <c r="AD16"/>
      <c r="AH16" s="2" t="str">
        <f>IF(AND(ARTICULOS_HCLASVEGAS[[#This Row],[FechaVenc]]=0,ARTICULOS_HCLASVEGAS[[#This Row],[DiasVenc]]=0),"",ARTICULOS_HCLASVEGAS[[#This Row],[FechaVenc]]-ARTICULOS_HCLASVEGAS[[#This Row],[DiasVenc]])</f>
        <v/>
      </c>
      <c r="AK16"/>
      <c r="AM16"/>
      <c r="AO16" t="s">
        <v>8689</v>
      </c>
    </row>
    <row r="17" spans="1:41" ht="15" customHeight="1" x14ac:dyDescent="0.25">
      <c r="A17" s="1" t="s">
        <v>11261</v>
      </c>
      <c r="C17" t="str">
        <f t="shared" si="0"/>
        <v>BOD50142921</v>
      </c>
      <c r="D17" t="s">
        <v>8689</v>
      </c>
      <c r="E17" s="1" t="s">
        <v>11262</v>
      </c>
      <c r="F17" s="61">
        <v>1200</v>
      </c>
      <c r="G17" s="119">
        <v>0</v>
      </c>
      <c r="H17" s="31" t="s">
        <v>8690</v>
      </c>
      <c r="I17">
        <v>12</v>
      </c>
      <c r="J17">
        <v>1</v>
      </c>
      <c r="L17" s="65">
        <f>((ARTICULOS_HCLASVEGAS[[#This Row],[P. Compra]]*(1+ARTICULOS_HCLASVEGAS[[#This Row],[IVA]]))/ARTICULOS_HCLASVEGAS[[#This Row],[UnidFact]])+ARTICULOS_HCLASVEGAS[[#This Row],[CostoFlete]]</f>
        <v>1200</v>
      </c>
      <c r="M17">
        <v>30</v>
      </c>
      <c r="N17" s="63">
        <f t="shared" si="1"/>
        <v>1700</v>
      </c>
      <c r="O17" s="3">
        <f>MROUND((ARTICULOS_HCLASVEGAS[[#This Row],[Precio]]/0.6),50)</f>
        <v>2850</v>
      </c>
      <c r="P17" t="s">
        <v>8693</v>
      </c>
      <c r="Q17">
        <v>4</v>
      </c>
      <c r="R17" s="23">
        <f>ARTICULOS_HCLASVEGAS[[#This Row],[Bulto]]+ARTICULOS_HCLASVEGAS[[#This Row],[Minimo]]</f>
        <v>16</v>
      </c>
      <c r="S17" t="s">
        <v>35</v>
      </c>
      <c r="T17" t="s">
        <v>13</v>
      </c>
      <c r="U17" t="s">
        <v>83</v>
      </c>
      <c r="V17" t="s">
        <v>11162</v>
      </c>
      <c r="W17" t="s">
        <v>8692</v>
      </c>
      <c r="X17">
        <v>1</v>
      </c>
      <c r="Y17">
        <v>0</v>
      </c>
      <c r="Z17"/>
      <c r="AB17" s="80">
        <f>ARTICULOS_HCLASVEGAS[[#This Row],[Costo]]*ARTICULOS_HCLASVEGAS[[#This Row],[Pedido]]</f>
        <v>0</v>
      </c>
      <c r="AD17"/>
      <c r="AH17" s="2" t="str">
        <f>IF(AND(ARTICULOS_HCLASVEGAS[[#This Row],[FechaVenc]]=0,ARTICULOS_HCLASVEGAS[[#This Row],[DiasVenc]]=0),"",ARTICULOS_HCLASVEGAS[[#This Row],[FechaVenc]]-ARTICULOS_HCLASVEGAS[[#This Row],[DiasVenc]])</f>
        <v/>
      </c>
      <c r="AK17"/>
      <c r="AM17"/>
      <c r="AO17" t="s">
        <v>8689</v>
      </c>
    </row>
    <row r="18" spans="1:41" x14ac:dyDescent="0.25">
      <c r="A18" s="1" t="s">
        <v>11168</v>
      </c>
      <c r="C18" t="str">
        <f t="shared" si="0"/>
        <v>BOD77975225</v>
      </c>
      <c r="D18" t="s">
        <v>8689</v>
      </c>
      <c r="E18" s="1" t="s">
        <v>11169</v>
      </c>
      <c r="F18" s="61">
        <v>1750</v>
      </c>
      <c r="G18" s="119">
        <v>0</v>
      </c>
      <c r="H18" s="4" t="s">
        <v>8690</v>
      </c>
      <c r="I18">
        <v>12</v>
      </c>
      <c r="J18">
        <v>1</v>
      </c>
      <c r="L18" s="65">
        <f>((ARTICULOS_HCLASVEGAS[[#This Row],[P. Compra]]*(1+ARTICULOS_HCLASVEGAS[[#This Row],[IVA]]))/ARTICULOS_HCLASVEGAS[[#This Row],[UnidFact]])+ARTICULOS_HCLASVEGAS[[#This Row],[CostoFlete]]</f>
        <v>1750</v>
      </c>
      <c r="M18">
        <v>30</v>
      </c>
      <c r="N18" s="63">
        <f t="shared" si="1"/>
        <v>2500</v>
      </c>
      <c r="O18" s="3">
        <f>MROUND((ARTICULOS_HCLASVEGAS[[#This Row],[Precio]]/0.6),50)</f>
        <v>4150</v>
      </c>
      <c r="P18" t="s">
        <v>8693</v>
      </c>
      <c r="Q18">
        <v>2</v>
      </c>
      <c r="R18" s="3">
        <f>ARTICULOS_HCLASVEGAS[[#This Row],[Bulto]]+ARTICULOS_HCLASVEGAS[[#This Row],[Minimo]]</f>
        <v>14</v>
      </c>
      <c r="S18" t="s">
        <v>23</v>
      </c>
      <c r="T18" t="s">
        <v>13</v>
      </c>
      <c r="U18" t="s">
        <v>94</v>
      </c>
      <c r="V18" t="s">
        <v>11170</v>
      </c>
      <c r="W18" t="s">
        <v>8692</v>
      </c>
      <c r="X18">
        <v>1</v>
      </c>
      <c r="Y18">
        <v>0</v>
      </c>
      <c r="Z18"/>
      <c r="AB18" s="80">
        <f>ARTICULOS_HCLASVEGAS[[#This Row],[Costo]]*ARTICULOS_HCLASVEGAS[[#This Row],[Pedido]]</f>
        <v>0</v>
      </c>
      <c r="AD18"/>
      <c r="AH18" s="2" t="str">
        <f>IF(AND(ARTICULOS_HCLASVEGAS[[#This Row],[FechaVenc]]=0,ARTICULOS_HCLASVEGAS[[#This Row],[DiasVenc]]=0),"",ARTICULOS_HCLASVEGAS[[#This Row],[FechaVenc]]-ARTICULOS_HCLASVEGAS[[#This Row],[DiasVenc]])</f>
        <v/>
      </c>
      <c r="AK18"/>
      <c r="AM18"/>
      <c r="AO18" t="s">
        <v>8689</v>
      </c>
    </row>
    <row r="19" spans="1:41" x14ac:dyDescent="0.25">
      <c r="A19" s="1" t="s">
        <v>11174</v>
      </c>
      <c r="C19" t="str">
        <f t="shared" si="0"/>
        <v>BOD60025037</v>
      </c>
      <c r="D19" t="s">
        <v>8689</v>
      </c>
      <c r="E19" s="1" t="s">
        <v>11175</v>
      </c>
      <c r="F19" s="61">
        <v>1500</v>
      </c>
      <c r="G19" s="119">
        <v>0</v>
      </c>
      <c r="H19" s="4" t="s">
        <v>8690</v>
      </c>
      <c r="I19">
        <v>12</v>
      </c>
      <c r="J19">
        <v>1</v>
      </c>
      <c r="L19" s="65">
        <f>((ARTICULOS_HCLASVEGAS[[#This Row],[P. Compra]]*(1+ARTICULOS_HCLASVEGAS[[#This Row],[IVA]]))/ARTICULOS_HCLASVEGAS[[#This Row],[UnidFact]])+ARTICULOS_HCLASVEGAS[[#This Row],[CostoFlete]]</f>
        <v>1500</v>
      </c>
      <c r="M19">
        <v>30</v>
      </c>
      <c r="N19" s="63">
        <f t="shared" si="1"/>
        <v>2100</v>
      </c>
      <c r="O19" s="3">
        <f>MROUND((ARTICULOS_HCLASVEGAS[[#This Row],[Precio]]/0.6),50)</f>
        <v>3500</v>
      </c>
      <c r="P19" t="s">
        <v>8693</v>
      </c>
      <c r="Q19">
        <v>2</v>
      </c>
      <c r="R19" s="3">
        <f>ARTICULOS_HCLASVEGAS[[#This Row],[Bulto]]+ARTICULOS_HCLASVEGAS[[#This Row],[Minimo]]</f>
        <v>14</v>
      </c>
      <c r="S19" t="s">
        <v>23</v>
      </c>
      <c r="T19" t="s">
        <v>13</v>
      </c>
      <c r="U19" t="s">
        <v>94</v>
      </c>
      <c r="V19" t="s">
        <v>11176</v>
      </c>
      <c r="W19" t="s">
        <v>8692</v>
      </c>
      <c r="X19">
        <v>1</v>
      </c>
      <c r="Y19">
        <v>8</v>
      </c>
      <c r="Z19"/>
      <c r="AB19" s="80">
        <f>ARTICULOS_HCLASVEGAS[[#This Row],[Costo]]*ARTICULOS_HCLASVEGAS[[#This Row],[Pedido]]</f>
        <v>0</v>
      </c>
      <c r="AD19"/>
      <c r="AH19" s="2" t="str">
        <f>IF(AND(ARTICULOS_HCLASVEGAS[[#This Row],[FechaVenc]]=0,ARTICULOS_HCLASVEGAS[[#This Row],[DiasVenc]]=0),"",ARTICULOS_HCLASVEGAS[[#This Row],[FechaVenc]]-ARTICULOS_HCLASVEGAS[[#This Row],[DiasVenc]])</f>
        <v/>
      </c>
      <c r="AK19"/>
      <c r="AM19"/>
      <c r="AO19" t="s">
        <v>8689</v>
      </c>
    </row>
    <row r="20" spans="1:41" x14ac:dyDescent="0.25">
      <c r="A20" s="1" t="s">
        <v>11165</v>
      </c>
      <c r="C20" t="str">
        <f t="shared" si="0"/>
        <v>BOD10010047</v>
      </c>
      <c r="D20" t="s">
        <v>8689</v>
      </c>
      <c r="E20" s="1" t="s">
        <v>11166</v>
      </c>
      <c r="F20" s="61">
        <v>1600</v>
      </c>
      <c r="G20" s="119">
        <v>0</v>
      </c>
      <c r="H20" s="4" t="s">
        <v>8690</v>
      </c>
      <c r="I20">
        <v>12</v>
      </c>
      <c r="J20">
        <v>1</v>
      </c>
      <c r="L20" s="65">
        <f>((ARTICULOS_HCLASVEGAS[[#This Row],[P. Compra]]*(1+ARTICULOS_HCLASVEGAS[[#This Row],[IVA]]))/ARTICULOS_HCLASVEGAS[[#This Row],[UnidFact]])+ARTICULOS_HCLASVEGAS[[#This Row],[CostoFlete]]</f>
        <v>1600</v>
      </c>
      <c r="M20">
        <v>30</v>
      </c>
      <c r="N20" s="63">
        <f t="shared" si="1"/>
        <v>2300</v>
      </c>
      <c r="O20" s="3">
        <f>MROUND((ARTICULOS_HCLASVEGAS[[#This Row],[Precio]]/0.6),50)</f>
        <v>3850</v>
      </c>
      <c r="P20" t="s">
        <v>8693</v>
      </c>
      <c r="Q20">
        <v>2</v>
      </c>
      <c r="R20" s="3">
        <f>ARTICULOS_HCLASVEGAS[[#This Row],[Bulto]]+ARTICULOS_HCLASVEGAS[[#This Row],[Minimo]]</f>
        <v>14</v>
      </c>
      <c r="S20" t="s">
        <v>23</v>
      </c>
      <c r="T20" t="s">
        <v>13</v>
      </c>
      <c r="U20" t="s">
        <v>94</v>
      </c>
      <c r="V20" t="s">
        <v>11167</v>
      </c>
      <c r="W20" t="s">
        <v>8692</v>
      </c>
      <c r="X20">
        <v>1</v>
      </c>
      <c r="Y20">
        <v>0</v>
      </c>
      <c r="Z20"/>
      <c r="AB20" s="80">
        <f>ARTICULOS_HCLASVEGAS[[#This Row],[Costo]]*ARTICULOS_HCLASVEGAS[[#This Row],[Pedido]]</f>
        <v>0</v>
      </c>
      <c r="AD20"/>
      <c r="AH20" s="2" t="str">
        <f>IF(AND(ARTICULOS_HCLASVEGAS[[#This Row],[FechaVenc]]=0,ARTICULOS_HCLASVEGAS[[#This Row],[DiasVenc]]=0),"",ARTICULOS_HCLASVEGAS[[#This Row],[FechaVenc]]-ARTICULOS_HCLASVEGAS[[#This Row],[DiasVenc]])</f>
        <v/>
      </c>
      <c r="AK20"/>
      <c r="AM20"/>
      <c r="AO20" t="s">
        <v>8689</v>
      </c>
    </row>
    <row r="21" spans="1:41" x14ac:dyDescent="0.25">
      <c r="A21" s="1" t="s">
        <v>11171</v>
      </c>
      <c r="C21" t="str">
        <f t="shared" si="0"/>
        <v>BOD10527897</v>
      </c>
      <c r="D21" t="s">
        <v>8689</v>
      </c>
      <c r="E21" s="1" t="s">
        <v>11172</v>
      </c>
      <c r="F21" s="61">
        <v>1200</v>
      </c>
      <c r="G21" s="119">
        <v>0</v>
      </c>
      <c r="H21" s="4" t="s">
        <v>8690</v>
      </c>
      <c r="I21">
        <v>12</v>
      </c>
      <c r="J21">
        <v>1</v>
      </c>
      <c r="L21" s="65">
        <f>((ARTICULOS_HCLASVEGAS[[#This Row],[P. Compra]]*(1+ARTICULOS_HCLASVEGAS[[#This Row],[IVA]]))/ARTICULOS_HCLASVEGAS[[#This Row],[UnidFact]])+ARTICULOS_HCLASVEGAS[[#This Row],[CostoFlete]]</f>
        <v>1200</v>
      </c>
      <c r="M21">
        <v>30</v>
      </c>
      <c r="N21" s="63">
        <f t="shared" si="1"/>
        <v>1700</v>
      </c>
      <c r="O21" s="3">
        <f>MROUND((ARTICULOS_HCLASVEGAS[[#This Row],[Precio]]/0.6),50)</f>
        <v>2850</v>
      </c>
      <c r="P21" t="s">
        <v>8693</v>
      </c>
      <c r="Q21">
        <v>2</v>
      </c>
      <c r="R21" s="3">
        <f>ARTICULOS_HCLASVEGAS[[#This Row],[Bulto]]+ARTICULOS_HCLASVEGAS[[#This Row],[Minimo]]</f>
        <v>14</v>
      </c>
      <c r="S21" t="s">
        <v>23</v>
      </c>
      <c r="T21" t="s">
        <v>13</v>
      </c>
      <c r="U21" t="s">
        <v>94</v>
      </c>
      <c r="V21" t="s">
        <v>11173</v>
      </c>
      <c r="W21" t="s">
        <v>8692</v>
      </c>
      <c r="X21">
        <v>1</v>
      </c>
      <c r="Y21">
        <v>7</v>
      </c>
      <c r="Z21"/>
      <c r="AB21" s="80">
        <f>ARTICULOS_HCLASVEGAS[[#This Row],[Costo]]*ARTICULOS_HCLASVEGAS[[#This Row],[Pedido]]</f>
        <v>0</v>
      </c>
      <c r="AD21"/>
      <c r="AH21" s="2" t="str">
        <f>IF(AND(ARTICULOS_HCLASVEGAS[[#This Row],[FechaVenc]]=0,ARTICULOS_HCLASVEGAS[[#This Row],[DiasVenc]]=0),"",ARTICULOS_HCLASVEGAS[[#This Row],[FechaVenc]]-ARTICULOS_HCLASVEGAS[[#This Row],[DiasVenc]])</f>
        <v/>
      </c>
      <c r="AK21"/>
      <c r="AM21"/>
      <c r="AO21" t="s">
        <v>8689</v>
      </c>
    </row>
    <row r="22" spans="1:41" x14ac:dyDescent="0.25">
      <c r="A22" s="1" t="s">
        <v>11179</v>
      </c>
      <c r="C22" t="str">
        <f t="shared" si="0"/>
        <v>BOD10080910</v>
      </c>
      <c r="D22" t="s">
        <v>8689</v>
      </c>
      <c r="E22" s="1" t="s">
        <v>11180</v>
      </c>
      <c r="F22" s="61">
        <v>7000</v>
      </c>
      <c r="G22" s="119">
        <v>0</v>
      </c>
      <c r="H22" s="4" t="s">
        <v>8690</v>
      </c>
      <c r="I22">
        <v>6</v>
      </c>
      <c r="J22">
        <v>1</v>
      </c>
      <c r="L22" s="65">
        <f>((ARTICULOS_HCLASVEGAS[[#This Row],[P. Compra]]*(1+ARTICULOS_HCLASVEGAS[[#This Row],[IVA]]))/ARTICULOS_HCLASVEGAS[[#This Row],[UnidFact]])+ARTICULOS_HCLASVEGAS[[#This Row],[CostoFlete]]</f>
        <v>7000</v>
      </c>
      <c r="M22">
        <v>30</v>
      </c>
      <c r="N22" s="63">
        <f t="shared" si="1"/>
        <v>10000</v>
      </c>
      <c r="O22" s="3">
        <f>MROUND((ARTICULOS_HCLASVEGAS[[#This Row],[Precio]]/0.6),50)</f>
        <v>16650</v>
      </c>
      <c r="P22" t="s">
        <v>8693</v>
      </c>
      <c r="Q22">
        <v>2</v>
      </c>
      <c r="R22" s="3">
        <f>ARTICULOS_HCLASVEGAS[[#This Row],[Bulto]]+ARTICULOS_HCLASVEGAS[[#This Row],[Minimo]]</f>
        <v>8</v>
      </c>
      <c r="S22" t="s">
        <v>23</v>
      </c>
      <c r="T22" t="s">
        <v>13</v>
      </c>
      <c r="U22" t="s">
        <v>99</v>
      </c>
      <c r="V22" t="s">
        <v>11181</v>
      </c>
      <c r="W22" t="s">
        <v>8692</v>
      </c>
      <c r="X22">
        <v>1</v>
      </c>
      <c r="Y22">
        <v>0</v>
      </c>
      <c r="Z22"/>
      <c r="AB22" s="80">
        <f>ARTICULOS_HCLASVEGAS[[#This Row],[Costo]]*ARTICULOS_HCLASVEGAS[[#This Row],[Pedido]]</f>
        <v>0</v>
      </c>
      <c r="AD22"/>
      <c r="AH22" s="2" t="str">
        <f>IF(AND(ARTICULOS_HCLASVEGAS[[#This Row],[FechaVenc]]=0,ARTICULOS_HCLASVEGAS[[#This Row],[DiasVenc]]=0),"",ARTICULOS_HCLASVEGAS[[#This Row],[FechaVenc]]-ARTICULOS_HCLASVEGAS[[#This Row],[DiasVenc]])</f>
        <v/>
      </c>
      <c r="AK22"/>
      <c r="AM22"/>
      <c r="AO22" t="s">
        <v>8689</v>
      </c>
    </row>
    <row r="23" spans="1:41" x14ac:dyDescent="0.25">
      <c r="A23" s="1" t="s">
        <v>11177</v>
      </c>
      <c r="C23" t="str">
        <f t="shared" si="0"/>
        <v>BOD10527880</v>
      </c>
      <c r="D23" t="s">
        <v>8689</v>
      </c>
      <c r="E23" s="1" t="s">
        <v>11178</v>
      </c>
      <c r="F23" s="61">
        <v>3000</v>
      </c>
      <c r="G23" s="119">
        <v>0</v>
      </c>
      <c r="H23" s="4" t="s">
        <v>8690</v>
      </c>
      <c r="I23">
        <v>6</v>
      </c>
      <c r="J23">
        <v>1</v>
      </c>
      <c r="L23" s="65">
        <f>((ARTICULOS_HCLASVEGAS[[#This Row],[P. Compra]]*(1+ARTICULOS_HCLASVEGAS[[#This Row],[IVA]]))/ARTICULOS_HCLASVEGAS[[#This Row],[UnidFact]])+ARTICULOS_HCLASVEGAS[[#This Row],[CostoFlete]]</f>
        <v>3000</v>
      </c>
      <c r="M23">
        <v>30</v>
      </c>
      <c r="N23" s="63">
        <f t="shared" si="1"/>
        <v>4300</v>
      </c>
      <c r="O23" s="3">
        <f>MROUND((ARTICULOS_HCLASVEGAS[[#This Row],[Precio]]/0.6),50)</f>
        <v>7150</v>
      </c>
      <c r="P23" t="s">
        <v>8693</v>
      </c>
      <c r="Q23">
        <v>2</v>
      </c>
      <c r="R23" s="3">
        <f>ARTICULOS_HCLASVEGAS[[#This Row],[Bulto]]+ARTICULOS_HCLASVEGAS[[#This Row],[Minimo]]</f>
        <v>8</v>
      </c>
      <c r="S23" t="s">
        <v>23</v>
      </c>
      <c r="T23" t="s">
        <v>13</v>
      </c>
      <c r="U23" t="s">
        <v>99</v>
      </c>
      <c r="V23" t="s">
        <v>11173</v>
      </c>
      <c r="W23" t="s">
        <v>8692</v>
      </c>
      <c r="X23">
        <v>1</v>
      </c>
      <c r="Y23">
        <v>1</v>
      </c>
      <c r="Z23"/>
      <c r="AB23" s="80">
        <f>ARTICULOS_HCLASVEGAS[[#This Row],[Costo]]*ARTICULOS_HCLASVEGAS[[#This Row],[Pedido]]</f>
        <v>0</v>
      </c>
      <c r="AD23"/>
      <c r="AH23" s="2" t="str">
        <f>IF(AND(ARTICULOS_HCLASVEGAS[[#This Row],[FechaVenc]]=0,ARTICULOS_HCLASVEGAS[[#This Row],[DiasVenc]]=0),"",ARTICULOS_HCLASVEGAS[[#This Row],[FechaVenc]]-ARTICULOS_HCLASVEGAS[[#This Row],[DiasVenc]])</f>
        <v/>
      </c>
      <c r="AK23"/>
      <c r="AM23"/>
      <c r="AO23" t="s">
        <v>8689</v>
      </c>
    </row>
    <row r="24" spans="1:41" x14ac:dyDescent="0.25">
      <c r="A24" s="1" t="s">
        <v>11182</v>
      </c>
      <c r="C24" t="str">
        <f t="shared" si="0"/>
        <v>BOD50002977</v>
      </c>
      <c r="D24" t="s">
        <v>8689</v>
      </c>
      <c r="E24" s="1" t="s">
        <v>11183</v>
      </c>
      <c r="F24" s="61">
        <v>7000</v>
      </c>
      <c r="G24" s="119">
        <v>0</v>
      </c>
      <c r="H24" s="4" t="s">
        <v>8690</v>
      </c>
      <c r="I24">
        <v>6</v>
      </c>
      <c r="J24">
        <v>1</v>
      </c>
      <c r="L24" s="65">
        <f>((ARTICULOS_HCLASVEGAS[[#This Row],[P. Compra]]*(1+ARTICULOS_HCLASVEGAS[[#This Row],[IVA]]))/ARTICULOS_HCLASVEGAS[[#This Row],[UnidFact]])+ARTICULOS_HCLASVEGAS[[#This Row],[CostoFlete]]</f>
        <v>7000</v>
      </c>
      <c r="M24">
        <v>30</v>
      </c>
      <c r="N24" s="63">
        <f t="shared" si="1"/>
        <v>10000</v>
      </c>
      <c r="O24" s="3">
        <f>MROUND((ARTICULOS_HCLASVEGAS[[#This Row],[Precio]]/0.6),50)</f>
        <v>16650</v>
      </c>
      <c r="P24" t="s">
        <v>8693</v>
      </c>
      <c r="Q24">
        <v>2</v>
      </c>
      <c r="R24" s="3">
        <f>ARTICULOS_HCLASVEGAS[[#This Row],[Bulto]]+ARTICULOS_HCLASVEGAS[[#This Row],[Minimo]]</f>
        <v>8</v>
      </c>
      <c r="S24" t="s">
        <v>23</v>
      </c>
      <c r="T24" t="s">
        <v>13</v>
      </c>
      <c r="U24" t="s">
        <v>99</v>
      </c>
      <c r="V24" t="s">
        <v>11184</v>
      </c>
      <c r="W24" t="s">
        <v>8692</v>
      </c>
      <c r="X24">
        <v>1</v>
      </c>
      <c r="Y24">
        <v>0</v>
      </c>
      <c r="Z24"/>
      <c r="AB24" s="80">
        <f>ARTICULOS_HCLASVEGAS[[#This Row],[Costo]]*ARTICULOS_HCLASVEGAS[[#This Row],[Pedido]]</f>
        <v>0</v>
      </c>
      <c r="AD24"/>
      <c r="AH24" s="2" t="str">
        <f>IF(AND(ARTICULOS_HCLASVEGAS[[#This Row],[FechaVenc]]=0,ARTICULOS_HCLASVEGAS[[#This Row],[DiasVenc]]=0),"",ARTICULOS_HCLASVEGAS[[#This Row],[FechaVenc]]-ARTICULOS_HCLASVEGAS[[#This Row],[DiasVenc]])</f>
        <v/>
      </c>
      <c r="AK24"/>
      <c r="AM24"/>
      <c r="AO24" t="s">
        <v>8689</v>
      </c>
    </row>
    <row r="25" spans="1:41" ht="15" customHeight="1" x14ac:dyDescent="0.25">
      <c r="A25" s="24" t="s">
        <v>11185</v>
      </c>
      <c r="C25" t="str">
        <f t="shared" si="0"/>
        <v>BOD50002984</v>
      </c>
      <c r="D25" t="s">
        <v>8689</v>
      </c>
      <c r="E25" s="24" t="s">
        <v>11186</v>
      </c>
      <c r="F25" s="61">
        <v>7000</v>
      </c>
      <c r="G25" s="119">
        <v>0</v>
      </c>
      <c r="H25" s="4" t="s">
        <v>8690</v>
      </c>
      <c r="I25">
        <v>6</v>
      </c>
      <c r="J25">
        <v>1</v>
      </c>
      <c r="L25" s="65">
        <f>((ARTICULOS_HCLASVEGAS[[#This Row],[P. Compra]]*(1+ARTICULOS_HCLASVEGAS[[#This Row],[IVA]]))/ARTICULOS_HCLASVEGAS[[#This Row],[UnidFact]])+ARTICULOS_HCLASVEGAS[[#This Row],[CostoFlete]]</f>
        <v>7000</v>
      </c>
      <c r="M25">
        <v>30</v>
      </c>
      <c r="N25" s="63">
        <f t="shared" si="1"/>
        <v>10000</v>
      </c>
      <c r="O25" s="3">
        <f>MROUND((ARTICULOS_HCLASVEGAS[[#This Row],[Precio]]/0.6),50)</f>
        <v>16650</v>
      </c>
      <c r="P25" t="s">
        <v>8693</v>
      </c>
      <c r="Q25">
        <v>2</v>
      </c>
      <c r="R25" s="3">
        <f>ARTICULOS_HCLASVEGAS[[#This Row],[Bulto]]+ARTICULOS_HCLASVEGAS[[#This Row],[Minimo]]</f>
        <v>8</v>
      </c>
      <c r="S25" t="s">
        <v>23</v>
      </c>
      <c r="T25" t="s">
        <v>13</v>
      </c>
      <c r="U25" t="s">
        <v>99</v>
      </c>
      <c r="V25" t="s">
        <v>11184</v>
      </c>
      <c r="W25" t="s">
        <v>8692</v>
      </c>
      <c r="X25">
        <v>1</v>
      </c>
      <c r="Y25">
        <v>10</v>
      </c>
      <c r="Z25"/>
      <c r="AB25" s="80">
        <f>ARTICULOS_HCLASVEGAS[[#This Row],[Costo]]*ARTICULOS_HCLASVEGAS[[#This Row],[Pedido]]</f>
        <v>0</v>
      </c>
      <c r="AD25"/>
      <c r="AH25" s="2" t="str">
        <f>IF(AND(ARTICULOS_HCLASVEGAS[[#This Row],[FechaVenc]]=0,ARTICULOS_HCLASVEGAS[[#This Row],[DiasVenc]]=0),"",ARTICULOS_HCLASVEGAS[[#This Row],[FechaVenc]]-ARTICULOS_HCLASVEGAS[[#This Row],[DiasVenc]])</f>
        <v/>
      </c>
      <c r="AK25"/>
      <c r="AM25"/>
      <c r="AO25" t="s">
        <v>8689</v>
      </c>
    </row>
    <row r="26" spans="1:41" ht="15" customHeight="1" x14ac:dyDescent="0.25">
      <c r="A26" s="24" t="s">
        <v>11190</v>
      </c>
      <c r="C26" t="str">
        <f t="shared" si="0"/>
        <v>BOD75198934</v>
      </c>
      <c r="D26" t="s">
        <v>8689</v>
      </c>
      <c r="E26" s="24" t="s">
        <v>11191</v>
      </c>
      <c r="F26" s="61">
        <v>2720</v>
      </c>
      <c r="G26" s="119">
        <v>0</v>
      </c>
      <c r="H26" s="4" t="s">
        <v>8690</v>
      </c>
      <c r="I26">
        <v>6</v>
      </c>
      <c r="J26">
        <v>1</v>
      </c>
      <c r="L26" s="65">
        <f>((ARTICULOS_HCLASVEGAS[[#This Row],[P. Compra]]*(1+ARTICULOS_HCLASVEGAS[[#This Row],[IVA]]))/ARTICULOS_HCLASVEGAS[[#This Row],[UnidFact]])+ARTICULOS_HCLASVEGAS[[#This Row],[CostoFlete]]</f>
        <v>2720</v>
      </c>
      <c r="M26">
        <v>30</v>
      </c>
      <c r="N26" s="63">
        <f t="shared" si="1"/>
        <v>3900</v>
      </c>
      <c r="O26" s="3">
        <f>MROUND((ARTICULOS_HCLASVEGAS[[#This Row],[Precio]]/0.6),50)</f>
        <v>6500</v>
      </c>
      <c r="P26" t="s">
        <v>8693</v>
      </c>
      <c r="Q26">
        <v>2</v>
      </c>
      <c r="R26" s="3">
        <f>ARTICULOS_HCLASVEGAS[[#This Row],[Bulto]]+ARTICULOS_HCLASVEGAS[[#This Row],[Minimo]]</f>
        <v>8</v>
      </c>
      <c r="S26" t="s">
        <v>23</v>
      </c>
      <c r="T26" t="s">
        <v>13</v>
      </c>
      <c r="U26" t="s">
        <v>101</v>
      </c>
      <c r="V26" t="s">
        <v>11189</v>
      </c>
      <c r="W26" t="s">
        <v>8692</v>
      </c>
      <c r="X26">
        <v>1</v>
      </c>
      <c r="Y26">
        <v>12</v>
      </c>
      <c r="Z26"/>
      <c r="AB26" s="80">
        <f>ARTICULOS_HCLASVEGAS[[#This Row],[Costo]]*ARTICULOS_HCLASVEGAS[[#This Row],[Pedido]]</f>
        <v>0</v>
      </c>
      <c r="AD26"/>
      <c r="AH26" s="2" t="str">
        <f>IF(AND(ARTICULOS_HCLASVEGAS[[#This Row],[FechaVenc]]=0,ARTICULOS_HCLASVEGAS[[#This Row],[DiasVenc]]=0),"",ARTICULOS_HCLASVEGAS[[#This Row],[FechaVenc]]-ARTICULOS_HCLASVEGAS[[#This Row],[DiasVenc]])</f>
        <v/>
      </c>
      <c r="AK26"/>
      <c r="AM26"/>
      <c r="AO26" t="s">
        <v>8689</v>
      </c>
    </row>
    <row r="27" spans="1:41" ht="15" customHeight="1" x14ac:dyDescent="0.25">
      <c r="A27" s="1" t="s">
        <v>11187</v>
      </c>
      <c r="C27" t="str">
        <f t="shared" si="0"/>
        <v>BOD75198613</v>
      </c>
      <c r="D27" t="s">
        <v>8689</v>
      </c>
      <c r="E27" s="1" t="s">
        <v>11188</v>
      </c>
      <c r="F27" s="61">
        <v>7500</v>
      </c>
      <c r="G27" s="119">
        <v>0</v>
      </c>
      <c r="H27" s="4" t="s">
        <v>8690</v>
      </c>
      <c r="I27">
        <v>6</v>
      </c>
      <c r="J27">
        <v>1</v>
      </c>
      <c r="L27" s="65">
        <f>((ARTICULOS_HCLASVEGAS[[#This Row],[P. Compra]]*(1+ARTICULOS_HCLASVEGAS[[#This Row],[IVA]]))/ARTICULOS_HCLASVEGAS[[#This Row],[UnidFact]])+ARTICULOS_HCLASVEGAS[[#This Row],[CostoFlete]]</f>
        <v>7500</v>
      </c>
      <c r="M27">
        <v>30</v>
      </c>
      <c r="N27" s="63">
        <f t="shared" si="1"/>
        <v>10700</v>
      </c>
      <c r="O27" s="3">
        <f>MROUND((ARTICULOS_HCLASVEGAS[[#This Row],[Precio]]/0.6),50)</f>
        <v>17850</v>
      </c>
      <c r="P27" t="s">
        <v>8693</v>
      </c>
      <c r="Q27">
        <v>2</v>
      </c>
      <c r="R27" s="3">
        <f>ARTICULOS_HCLASVEGAS[[#This Row],[Bulto]]+ARTICULOS_HCLASVEGAS[[#This Row],[Minimo]]</f>
        <v>8</v>
      </c>
      <c r="S27" t="s">
        <v>23</v>
      </c>
      <c r="T27" t="s">
        <v>13</v>
      </c>
      <c r="U27" t="s">
        <v>101</v>
      </c>
      <c r="V27" t="s">
        <v>11189</v>
      </c>
      <c r="W27" t="s">
        <v>8692</v>
      </c>
      <c r="X27">
        <v>1</v>
      </c>
      <c r="Y27">
        <v>2</v>
      </c>
      <c r="Z27"/>
      <c r="AB27" s="80">
        <f>ARTICULOS_HCLASVEGAS[[#This Row],[Costo]]*ARTICULOS_HCLASVEGAS[[#This Row],[Pedido]]</f>
        <v>0</v>
      </c>
      <c r="AD27"/>
      <c r="AH27" s="2" t="str">
        <f>IF(AND(ARTICULOS_HCLASVEGAS[[#This Row],[FechaVenc]]=0,ARTICULOS_HCLASVEGAS[[#This Row],[DiasVenc]]=0),"",ARTICULOS_HCLASVEGAS[[#This Row],[FechaVenc]]-ARTICULOS_HCLASVEGAS[[#This Row],[DiasVenc]])</f>
        <v/>
      </c>
      <c r="AK27"/>
      <c r="AM27"/>
      <c r="AO27" t="s">
        <v>8689</v>
      </c>
    </row>
    <row r="28" spans="1:41" x14ac:dyDescent="0.25">
      <c r="A28" s="1" t="s">
        <v>12195</v>
      </c>
      <c r="C28" t="str">
        <f t="shared" si="0"/>
        <v>BOD70027642</v>
      </c>
      <c r="D28" t="s">
        <v>8689</v>
      </c>
      <c r="E28" s="1" t="s">
        <v>11192</v>
      </c>
      <c r="F28" s="61">
        <v>3300</v>
      </c>
      <c r="G28" s="119">
        <v>0</v>
      </c>
      <c r="H28" s="4" t="s">
        <v>8690</v>
      </c>
      <c r="I28">
        <v>6</v>
      </c>
      <c r="J28">
        <v>1</v>
      </c>
      <c r="L28" s="65">
        <f>((ARTICULOS_HCLASVEGAS[[#This Row],[P. Compra]]*(1+ARTICULOS_HCLASVEGAS[[#This Row],[IVA]]))/ARTICULOS_HCLASVEGAS[[#This Row],[UnidFact]])+ARTICULOS_HCLASVEGAS[[#This Row],[CostoFlete]]</f>
        <v>3300</v>
      </c>
      <c r="M28">
        <v>30</v>
      </c>
      <c r="N28" s="63">
        <f t="shared" si="1"/>
        <v>4700</v>
      </c>
      <c r="O28" s="3">
        <f>MROUND((ARTICULOS_HCLASVEGAS[[#This Row],[Precio]]/0.6),50)</f>
        <v>7850</v>
      </c>
      <c r="P28" t="s">
        <v>8693</v>
      </c>
      <c r="Q28">
        <v>2</v>
      </c>
      <c r="R28" s="3">
        <f>ARTICULOS_HCLASVEGAS[[#This Row],[Bulto]]+ARTICULOS_HCLASVEGAS[[#This Row],[Minimo]]</f>
        <v>8</v>
      </c>
      <c r="S28" t="s">
        <v>23</v>
      </c>
      <c r="T28" t="s">
        <v>13</v>
      </c>
      <c r="U28" t="s">
        <v>101</v>
      </c>
      <c r="V28" t="s">
        <v>11193</v>
      </c>
      <c r="W28" t="s">
        <v>8692</v>
      </c>
      <c r="X28">
        <v>1</v>
      </c>
      <c r="Y28">
        <v>11</v>
      </c>
      <c r="Z28"/>
      <c r="AB28" s="80">
        <f>ARTICULOS_HCLASVEGAS[[#This Row],[Costo]]*ARTICULOS_HCLASVEGAS[[#This Row],[Pedido]]</f>
        <v>0</v>
      </c>
      <c r="AD28"/>
      <c r="AH28" s="2" t="str">
        <f>IF(AND(ARTICULOS_HCLASVEGAS[[#This Row],[FechaVenc]]=0,ARTICULOS_HCLASVEGAS[[#This Row],[DiasVenc]]=0),"",ARTICULOS_HCLASVEGAS[[#This Row],[FechaVenc]]-ARTICULOS_HCLASVEGAS[[#This Row],[DiasVenc]])</f>
        <v/>
      </c>
      <c r="AK28"/>
      <c r="AM28"/>
      <c r="AO28" t="s">
        <v>8689</v>
      </c>
    </row>
    <row r="29" spans="1:41" x14ac:dyDescent="0.25">
      <c r="A29" s="1" t="s">
        <v>12196</v>
      </c>
      <c r="C29" t="str">
        <f t="shared" si="0"/>
        <v>BOD70027604</v>
      </c>
      <c r="D29" t="s">
        <v>8689</v>
      </c>
      <c r="E29" s="1" t="s">
        <v>11194</v>
      </c>
      <c r="F29" s="61">
        <f>F28</f>
        <v>3300</v>
      </c>
      <c r="G29" s="119">
        <v>0</v>
      </c>
      <c r="H29" s="4" t="s">
        <v>8690</v>
      </c>
      <c r="I29">
        <v>6</v>
      </c>
      <c r="J29">
        <v>1</v>
      </c>
      <c r="L29" s="65">
        <f>((ARTICULOS_HCLASVEGAS[[#This Row],[P. Compra]]*(1+ARTICULOS_HCLASVEGAS[[#This Row],[IVA]]))/ARTICULOS_HCLASVEGAS[[#This Row],[UnidFact]])+ARTICULOS_HCLASVEGAS[[#This Row],[CostoFlete]]</f>
        <v>3300</v>
      </c>
      <c r="M29">
        <v>30</v>
      </c>
      <c r="N29" s="63">
        <f t="shared" si="1"/>
        <v>4700</v>
      </c>
      <c r="O29" s="3">
        <f>MROUND((ARTICULOS_HCLASVEGAS[[#This Row],[Precio]]/0.6),50)</f>
        <v>7850</v>
      </c>
      <c r="P29" t="s">
        <v>8693</v>
      </c>
      <c r="Q29">
        <v>2</v>
      </c>
      <c r="R29" s="3">
        <f>ARTICULOS_HCLASVEGAS[[#This Row],[Bulto]]+ARTICULOS_HCLASVEGAS[[#This Row],[Minimo]]</f>
        <v>8</v>
      </c>
      <c r="S29" t="s">
        <v>23</v>
      </c>
      <c r="T29" t="s">
        <v>13</v>
      </c>
      <c r="U29" t="s">
        <v>101</v>
      </c>
      <c r="V29" t="s">
        <v>11193</v>
      </c>
      <c r="W29" t="s">
        <v>8692</v>
      </c>
      <c r="X29">
        <v>1</v>
      </c>
      <c r="Y29">
        <v>11</v>
      </c>
      <c r="Z29"/>
      <c r="AB29" s="80">
        <f>ARTICULOS_HCLASVEGAS[[#This Row],[Costo]]*ARTICULOS_HCLASVEGAS[[#This Row],[Pedido]]</f>
        <v>0</v>
      </c>
      <c r="AD29"/>
      <c r="AH29" s="2" t="str">
        <f>IF(AND(ARTICULOS_HCLASVEGAS[[#This Row],[FechaVenc]]=0,ARTICULOS_HCLASVEGAS[[#This Row],[DiasVenc]]=0),"",ARTICULOS_HCLASVEGAS[[#This Row],[FechaVenc]]-ARTICULOS_HCLASVEGAS[[#This Row],[DiasVenc]])</f>
        <v/>
      </c>
      <c r="AK29"/>
      <c r="AM29"/>
      <c r="AO29" t="s">
        <v>8689</v>
      </c>
    </row>
    <row r="30" spans="1:41" x14ac:dyDescent="0.25">
      <c r="A30" s="1" t="s">
        <v>11863</v>
      </c>
      <c r="C30" t="str">
        <f t="shared" ref="C30" si="2">CONCATENATE(LEFT(T30,3),RIGHT(A30,8))</f>
        <v>BOD70027635</v>
      </c>
      <c r="D30" t="s">
        <v>8689</v>
      </c>
      <c r="E30" s="1" t="s">
        <v>11864</v>
      </c>
      <c r="F30" s="61">
        <f t="shared" ref="F30:F31" si="3">F29</f>
        <v>3300</v>
      </c>
      <c r="G30" s="119">
        <v>0</v>
      </c>
      <c r="H30" s="4" t="s">
        <v>8690</v>
      </c>
      <c r="I30">
        <v>6</v>
      </c>
      <c r="J30">
        <v>1</v>
      </c>
      <c r="L30" s="65">
        <f>((ARTICULOS_HCLASVEGAS[[#This Row],[P. Compra]]*(1+ARTICULOS_HCLASVEGAS[[#This Row],[IVA]]))/ARTICULOS_HCLASVEGAS[[#This Row],[UnidFact]])+ARTICULOS_HCLASVEGAS[[#This Row],[CostoFlete]]</f>
        <v>3300</v>
      </c>
      <c r="M30">
        <v>30</v>
      </c>
      <c r="N30" s="63">
        <f t="shared" si="1"/>
        <v>4700</v>
      </c>
      <c r="O30" s="3">
        <f>MROUND((ARTICULOS_HCLASVEGAS[[#This Row],[Precio]]/0.6),50)</f>
        <v>7850</v>
      </c>
      <c r="P30" t="s">
        <v>8693</v>
      </c>
      <c r="Q30">
        <v>2</v>
      </c>
      <c r="R30" s="3">
        <f>ARTICULOS_HCLASVEGAS[[#This Row],[Bulto]]+ARTICULOS_HCLASVEGAS[[#This Row],[Minimo]]</f>
        <v>8</v>
      </c>
      <c r="S30" t="s">
        <v>23</v>
      </c>
      <c r="T30" t="s">
        <v>13</v>
      </c>
      <c r="U30" t="s">
        <v>101</v>
      </c>
      <c r="V30" t="s">
        <v>11193</v>
      </c>
      <c r="W30" t="s">
        <v>8692</v>
      </c>
      <c r="X30">
        <v>1</v>
      </c>
      <c r="Y30">
        <v>6</v>
      </c>
      <c r="Z30"/>
      <c r="AB30" s="80">
        <f>ARTICULOS_HCLASVEGAS[[#This Row],[Costo]]*ARTICULOS_HCLASVEGAS[[#This Row],[Pedido]]</f>
        <v>0</v>
      </c>
      <c r="AD30"/>
      <c r="AH30" s="2" t="str">
        <f>IF(AND(ARTICULOS_HCLASVEGAS[[#This Row],[FechaVenc]]=0,ARTICULOS_HCLASVEGAS[[#This Row],[DiasVenc]]=0),"",ARTICULOS_HCLASVEGAS[[#This Row],[FechaVenc]]-ARTICULOS_HCLASVEGAS[[#This Row],[DiasVenc]])</f>
        <v/>
      </c>
      <c r="AK30"/>
      <c r="AM30"/>
      <c r="AO30" t="s">
        <v>8689</v>
      </c>
    </row>
    <row r="31" spans="1:41" x14ac:dyDescent="0.25">
      <c r="A31" s="1" t="s">
        <v>12197</v>
      </c>
      <c r="C31" t="str">
        <f t="shared" si="0"/>
        <v>BOD70027628</v>
      </c>
      <c r="D31" t="s">
        <v>8689</v>
      </c>
      <c r="E31" s="1" t="s">
        <v>11195</v>
      </c>
      <c r="F31" s="61">
        <f t="shared" si="3"/>
        <v>3300</v>
      </c>
      <c r="G31" s="119">
        <v>0</v>
      </c>
      <c r="H31" s="4" t="s">
        <v>8690</v>
      </c>
      <c r="I31">
        <v>6</v>
      </c>
      <c r="J31">
        <v>1</v>
      </c>
      <c r="L31" s="65">
        <f>((ARTICULOS_HCLASVEGAS[[#This Row],[P. Compra]]*(1+ARTICULOS_HCLASVEGAS[[#This Row],[IVA]]))/ARTICULOS_HCLASVEGAS[[#This Row],[UnidFact]])+ARTICULOS_HCLASVEGAS[[#This Row],[CostoFlete]]</f>
        <v>3300</v>
      </c>
      <c r="M31">
        <v>30</v>
      </c>
      <c r="N31" s="63">
        <f t="shared" si="1"/>
        <v>4700</v>
      </c>
      <c r="O31" s="3">
        <f>MROUND((ARTICULOS_HCLASVEGAS[[#This Row],[Precio]]/0.6),50)</f>
        <v>7850</v>
      </c>
      <c r="P31" t="s">
        <v>8693</v>
      </c>
      <c r="Q31">
        <v>2</v>
      </c>
      <c r="R31" s="3">
        <f>ARTICULOS_HCLASVEGAS[[#This Row],[Bulto]]+ARTICULOS_HCLASVEGAS[[#This Row],[Minimo]]</f>
        <v>8</v>
      </c>
      <c r="S31" t="s">
        <v>23</v>
      </c>
      <c r="T31" t="s">
        <v>13</v>
      </c>
      <c r="U31" t="s">
        <v>101</v>
      </c>
      <c r="V31" t="s">
        <v>11193</v>
      </c>
      <c r="W31" t="s">
        <v>8692</v>
      </c>
      <c r="X31">
        <v>1</v>
      </c>
      <c r="Y31">
        <v>6</v>
      </c>
      <c r="Z31"/>
      <c r="AB31" s="80">
        <f>ARTICULOS_HCLASVEGAS[[#This Row],[Costo]]*ARTICULOS_HCLASVEGAS[[#This Row],[Pedido]]</f>
        <v>0</v>
      </c>
      <c r="AD31"/>
      <c r="AH31" s="2" t="str">
        <f>IF(AND(ARTICULOS_HCLASVEGAS[[#This Row],[FechaVenc]]=0,ARTICULOS_HCLASVEGAS[[#This Row],[DiasVenc]]=0),"",ARTICULOS_HCLASVEGAS[[#This Row],[FechaVenc]]-ARTICULOS_HCLASVEGAS[[#This Row],[DiasVenc]])</f>
        <v/>
      </c>
      <c r="AK31"/>
      <c r="AM31"/>
      <c r="AO31" t="s">
        <v>8689</v>
      </c>
    </row>
    <row r="32" spans="1:41" x14ac:dyDescent="0.25">
      <c r="A32" s="1" t="s">
        <v>11196</v>
      </c>
      <c r="C32" t="str">
        <f t="shared" si="0"/>
        <v>BOD50001529</v>
      </c>
      <c r="D32" t="s">
        <v>8689</v>
      </c>
      <c r="E32" s="1" t="s">
        <v>11197</v>
      </c>
      <c r="F32" s="61">
        <v>5100</v>
      </c>
      <c r="G32" s="119">
        <v>0</v>
      </c>
      <c r="H32" s="4" t="s">
        <v>8690</v>
      </c>
      <c r="I32">
        <v>6</v>
      </c>
      <c r="J32">
        <v>1</v>
      </c>
      <c r="L32" s="65">
        <f>((ARTICULOS_HCLASVEGAS[[#This Row],[P. Compra]]*(1+ARTICULOS_HCLASVEGAS[[#This Row],[IVA]]))/ARTICULOS_HCLASVEGAS[[#This Row],[UnidFact]])+ARTICULOS_HCLASVEGAS[[#This Row],[CostoFlete]]</f>
        <v>5100</v>
      </c>
      <c r="M32">
        <v>30</v>
      </c>
      <c r="N32" s="63">
        <f t="shared" si="1"/>
        <v>7300</v>
      </c>
      <c r="O32" s="3">
        <f>MROUND((ARTICULOS_HCLASVEGAS[[#This Row],[Precio]]/0.6),50)</f>
        <v>12150</v>
      </c>
      <c r="P32" t="s">
        <v>8693</v>
      </c>
      <c r="Q32">
        <v>2</v>
      </c>
      <c r="R32" s="3">
        <f>ARTICULOS_HCLASVEGAS[[#This Row],[Bulto]]+ARTICULOS_HCLASVEGAS[[#This Row],[Minimo]]</f>
        <v>8</v>
      </c>
      <c r="S32" t="s">
        <v>23</v>
      </c>
      <c r="T32" t="s">
        <v>13</v>
      </c>
      <c r="U32" t="s">
        <v>101</v>
      </c>
      <c r="V32" t="s">
        <v>11198</v>
      </c>
      <c r="W32" t="s">
        <v>8692</v>
      </c>
      <c r="X32">
        <v>1</v>
      </c>
      <c r="Y32">
        <v>6</v>
      </c>
      <c r="Z32"/>
      <c r="AB32" s="80">
        <f>ARTICULOS_HCLASVEGAS[[#This Row],[Costo]]*ARTICULOS_HCLASVEGAS[[#This Row],[Pedido]]</f>
        <v>0</v>
      </c>
      <c r="AD32"/>
      <c r="AH32" s="2" t="str">
        <f>IF(AND(ARTICULOS_HCLASVEGAS[[#This Row],[FechaVenc]]=0,ARTICULOS_HCLASVEGAS[[#This Row],[DiasVenc]]=0),"",ARTICULOS_HCLASVEGAS[[#This Row],[FechaVenc]]-ARTICULOS_HCLASVEGAS[[#This Row],[DiasVenc]])</f>
        <v/>
      </c>
      <c r="AK32"/>
      <c r="AM32"/>
      <c r="AO32" t="s">
        <v>8689</v>
      </c>
    </row>
    <row r="33" spans="1:41" x14ac:dyDescent="0.25">
      <c r="A33" s="1" t="s">
        <v>11217</v>
      </c>
      <c r="C33" t="str">
        <f t="shared" si="0"/>
        <v>BOD14073298</v>
      </c>
      <c r="D33" t="s">
        <v>8689</v>
      </c>
      <c r="E33" s="1" t="s">
        <v>11218</v>
      </c>
      <c r="F33" s="61">
        <v>2200</v>
      </c>
      <c r="G33" s="119">
        <v>0</v>
      </c>
      <c r="H33" s="4" t="s">
        <v>8690</v>
      </c>
      <c r="I33">
        <v>6</v>
      </c>
      <c r="J33">
        <v>1</v>
      </c>
      <c r="L33" s="65">
        <f>((ARTICULOS_HCLASVEGAS[[#This Row],[P. Compra]]*(1+ARTICULOS_HCLASVEGAS[[#This Row],[IVA]]))/ARTICULOS_HCLASVEGAS[[#This Row],[UnidFact]])+ARTICULOS_HCLASVEGAS[[#This Row],[CostoFlete]]</f>
        <v>2200</v>
      </c>
      <c r="M33">
        <v>30</v>
      </c>
      <c r="N33" s="63">
        <f t="shared" si="1"/>
        <v>3100</v>
      </c>
      <c r="O33" s="3">
        <f>MROUND((ARTICULOS_HCLASVEGAS[[#This Row],[Precio]]/0.6),50)</f>
        <v>5150</v>
      </c>
      <c r="P33" t="s">
        <v>8693</v>
      </c>
      <c r="Q33">
        <v>2</v>
      </c>
      <c r="R33" s="3">
        <f>ARTICULOS_HCLASVEGAS[[#This Row],[Bulto]]+ARTICULOS_HCLASVEGAS[[#This Row],[Minimo]]</f>
        <v>8</v>
      </c>
      <c r="S33" t="s">
        <v>23</v>
      </c>
      <c r="T33" t="s">
        <v>13</v>
      </c>
      <c r="U33" t="s">
        <v>104</v>
      </c>
      <c r="V33" t="s">
        <v>11219</v>
      </c>
      <c r="W33" t="s">
        <v>8692</v>
      </c>
      <c r="X33">
        <v>1</v>
      </c>
      <c r="Y33">
        <v>3</v>
      </c>
      <c r="Z33"/>
      <c r="AB33" s="80">
        <f>ARTICULOS_HCLASVEGAS[[#This Row],[Costo]]*ARTICULOS_HCLASVEGAS[[#This Row],[Pedido]]</f>
        <v>0</v>
      </c>
      <c r="AD33"/>
      <c r="AH33" s="2" t="str">
        <f>IF(AND(ARTICULOS_HCLASVEGAS[[#This Row],[FechaVenc]]=0,ARTICULOS_HCLASVEGAS[[#This Row],[DiasVenc]]=0),"",ARTICULOS_HCLASVEGAS[[#This Row],[FechaVenc]]-ARTICULOS_HCLASVEGAS[[#This Row],[DiasVenc]])</f>
        <v/>
      </c>
      <c r="AK33"/>
      <c r="AM33"/>
      <c r="AO33" t="s">
        <v>8689</v>
      </c>
    </row>
    <row r="34" spans="1:41" x14ac:dyDescent="0.25">
      <c r="A34" s="1" t="s">
        <v>11233</v>
      </c>
      <c r="C34" t="str">
        <f t="shared" ref="C34:C59" si="4">CONCATENATE(LEFT(T34,3),RIGHT(A34,8))</f>
        <v>BOD80000470</v>
      </c>
      <c r="D34" t="s">
        <v>8689</v>
      </c>
      <c r="E34" s="1" t="s">
        <v>11234</v>
      </c>
      <c r="F34" s="61">
        <v>1950</v>
      </c>
      <c r="G34" s="119">
        <v>0</v>
      </c>
      <c r="H34" s="4" t="s">
        <v>8690</v>
      </c>
      <c r="I34">
        <v>6</v>
      </c>
      <c r="J34">
        <v>1</v>
      </c>
      <c r="L34" s="65">
        <f>((ARTICULOS_HCLASVEGAS[[#This Row],[P. Compra]]*(1+ARTICULOS_HCLASVEGAS[[#This Row],[IVA]]))/ARTICULOS_HCLASVEGAS[[#This Row],[UnidFact]])+ARTICULOS_HCLASVEGAS[[#This Row],[CostoFlete]]</f>
        <v>1950</v>
      </c>
      <c r="M34">
        <v>30</v>
      </c>
      <c r="N34" s="63">
        <f t="shared" ref="N34:N59" si="5">IF(L34&gt;=5,MROUND(L34/(1-M34/100),100),50)</f>
        <v>2800</v>
      </c>
      <c r="O34" s="3">
        <f>MROUND((ARTICULOS_HCLASVEGAS[[#This Row],[Precio]]/0.6),50)</f>
        <v>4650</v>
      </c>
      <c r="P34" t="s">
        <v>8693</v>
      </c>
      <c r="Q34">
        <v>2</v>
      </c>
      <c r="R34" s="3">
        <f>ARTICULOS_HCLASVEGAS[[#This Row],[Bulto]]+ARTICULOS_HCLASVEGAS[[#This Row],[Minimo]]</f>
        <v>8</v>
      </c>
      <c r="S34" t="s">
        <v>23</v>
      </c>
      <c r="T34" t="s">
        <v>13</v>
      </c>
      <c r="U34" t="s">
        <v>104</v>
      </c>
      <c r="V34" t="s">
        <v>11235</v>
      </c>
      <c r="W34" t="s">
        <v>8692</v>
      </c>
      <c r="X34">
        <v>1</v>
      </c>
      <c r="Y34">
        <v>2</v>
      </c>
      <c r="Z34"/>
      <c r="AB34" s="80">
        <f>ARTICULOS_HCLASVEGAS[[#This Row],[Costo]]*ARTICULOS_HCLASVEGAS[[#This Row],[Pedido]]</f>
        <v>0</v>
      </c>
      <c r="AD34"/>
      <c r="AH34" s="2" t="str">
        <f>IF(AND(ARTICULOS_HCLASVEGAS[[#This Row],[FechaVenc]]=0,ARTICULOS_HCLASVEGAS[[#This Row],[DiasVenc]]=0),"",ARTICULOS_HCLASVEGAS[[#This Row],[FechaVenc]]-ARTICULOS_HCLASVEGAS[[#This Row],[DiasVenc]])</f>
        <v/>
      </c>
      <c r="AK34"/>
      <c r="AM34"/>
      <c r="AO34" t="s">
        <v>8689</v>
      </c>
    </row>
    <row r="35" spans="1:41" x14ac:dyDescent="0.25">
      <c r="A35" s="1" t="s">
        <v>11236</v>
      </c>
      <c r="C35" t="str">
        <f t="shared" si="4"/>
        <v>BOD80000463</v>
      </c>
      <c r="D35" t="s">
        <v>8689</v>
      </c>
      <c r="E35" s="1" t="s">
        <v>11237</v>
      </c>
      <c r="F35" s="61">
        <v>1950</v>
      </c>
      <c r="G35" s="119">
        <v>0</v>
      </c>
      <c r="H35" s="4" t="s">
        <v>8690</v>
      </c>
      <c r="I35">
        <v>6</v>
      </c>
      <c r="J35">
        <v>1</v>
      </c>
      <c r="L35" s="65">
        <f>((ARTICULOS_HCLASVEGAS[[#This Row],[P. Compra]]*(1+ARTICULOS_HCLASVEGAS[[#This Row],[IVA]]))/ARTICULOS_HCLASVEGAS[[#This Row],[UnidFact]])+ARTICULOS_HCLASVEGAS[[#This Row],[CostoFlete]]</f>
        <v>1950</v>
      </c>
      <c r="M35">
        <v>30</v>
      </c>
      <c r="N35" s="63">
        <f t="shared" si="5"/>
        <v>2800</v>
      </c>
      <c r="O35" s="3">
        <f>MROUND((ARTICULOS_HCLASVEGAS[[#This Row],[Precio]]/0.6),50)</f>
        <v>4650</v>
      </c>
      <c r="P35" t="s">
        <v>8693</v>
      </c>
      <c r="Q35">
        <v>2</v>
      </c>
      <c r="R35" s="3">
        <f>ARTICULOS_HCLASVEGAS[[#This Row],[Bulto]]+ARTICULOS_HCLASVEGAS[[#This Row],[Minimo]]</f>
        <v>8</v>
      </c>
      <c r="S35" t="s">
        <v>23</v>
      </c>
      <c r="T35" t="s">
        <v>13</v>
      </c>
      <c r="U35" t="s">
        <v>104</v>
      </c>
      <c r="V35" t="s">
        <v>11235</v>
      </c>
      <c r="W35" t="s">
        <v>8692</v>
      </c>
      <c r="X35">
        <v>1</v>
      </c>
      <c r="Y35">
        <v>0</v>
      </c>
      <c r="Z35"/>
      <c r="AB35" s="80">
        <f>ARTICULOS_HCLASVEGAS[[#This Row],[Costo]]*ARTICULOS_HCLASVEGAS[[#This Row],[Pedido]]</f>
        <v>0</v>
      </c>
      <c r="AD35"/>
      <c r="AH35" s="2" t="str">
        <f>IF(AND(ARTICULOS_HCLASVEGAS[[#This Row],[FechaVenc]]=0,ARTICULOS_HCLASVEGAS[[#This Row],[DiasVenc]]=0),"",ARTICULOS_HCLASVEGAS[[#This Row],[FechaVenc]]-ARTICULOS_HCLASVEGAS[[#This Row],[DiasVenc]])</f>
        <v/>
      </c>
      <c r="AK35"/>
      <c r="AM35"/>
      <c r="AO35" t="s">
        <v>8689</v>
      </c>
    </row>
    <row r="36" spans="1:41" x14ac:dyDescent="0.25">
      <c r="A36" s="1" t="s">
        <v>11199</v>
      </c>
      <c r="C36" t="str">
        <f t="shared" si="4"/>
        <v>BOD19970459</v>
      </c>
      <c r="D36" t="s">
        <v>8689</v>
      </c>
      <c r="E36" s="1" t="s">
        <v>11200</v>
      </c>
      <c r="F36" s="61">
        <v>1200</v>
      </c>
      <c r="G36" s="119">
        <v>0</v>
      </c>
      <c r="H36" s="4" t="s">
        <v>8690</v>
      </c>
      <c r="I36">
        <v>6</v>
      </c>
      <c r="J36">
        <v>1</v>
      </c>
      <c r="L36" s="65">
        <f>((ARTICULOS_HCLASVEGAS[[#This Row],[P. Compra]]*(1+ARTICULOS_HCLASVEGAS[[#This Row],[IVA]]))/ARTICULOS_HCLASVEGAS[[#This Row],[UnidFact]])+ARTICULOS_HCLASVEGAS[[#This Row],[CostoFlete]]</f>
        <v>1200</v>
      </c>
      <c r="M36">
        <v>30</v>
      </c>
      <c r="N36" s="63">
        <f t="shared" si="5"/>
        <v>1700</v>
      </c>
      <c r="O36" s="3">
        <f>MROUND((ARTICULOS_HCLASVEGAS[[#This Row],[Precio]]/0.6),50)</f>
        <v>2850</v>
      </c>
      <c r="P36" t="s">
        <v>8693</v>
      </c>
      <c r="Q36">
        <v>2</v>
      </c>
      <c r="R36" s="3">
        <f>ARTICULOS_HCLASVEGAS[[#This Row],[Bulto]]+ARTICULOS_HCLASVEGAS[[#This Row],[Minimo]]</f>
        <v>8</v>
      </c>
      <c r="S36" t="s">
        <v>23</v>
      </c>
      <c r="T36" t="s">
        <v>13</v>
      </c>
      <c r="U36" t="s">
        <v>104</v>
      </c>
      <c r="V36" s="1">
        <v>1895</v>
      </c>
      <c r="W36" t="s">
        <v>8692</v>
      </c>
      <c r="X36">
        <v>1</v>
      </c>
      <c r="Y36">
        <v>0</v>
      </c>
      <c r="Z36"/>
      <c r="AB36" s="80">
        <f>ARTICULOS_HCLASVEGAS[[#This Row],[Costo]]*ARTICULOS_HCLASVEGAS[[#This Row],[Pedido]]</f>
        <v>0</v>
      </c>
      <c r="AD36"/>
      <c r="AH36" s="2" t="str">
        <f>IF(AND(ARTICULOS_HCLASVEGAS[[#This Row],[FechaVenc]]=0,ARTICULOS_HCLASVEGAS[[#This Row],[DiasVenc]]=0),"",ARTICULOS_HCLASVEGAS[[#This Row],[FechaVenc]]-ARTICULOS_HCLASVEGAS[[#This Row],[DiasVenc]])</f>
        <v/>
      </c>
      <c r="AK36"/>
      <c r="AM36"/>
      <c r="AO36" t="s">
        <v>8689</v>
      </c>
    </row>
    <row r="37" spans="1:41" x14ac:dyDescent="0.25">
      <c r="A37" s="1" t="s">
        <v>11201</v>
      </c>
      <c r="C37" t="str">
        <f t="shared" si="4"/>
        <v>BOD40042085</v>
      </c>
      <c r="D37" t="s">
        <v>8689</v>
      </c>
      <c r="E37" s="1" t="s">
        <v>11202</v>
      </c>
      <c r="F37" s="61">
        <v>2900</v>
      </c>
      <c r="G37" s="119">
        <v>0</v>
      </c>
      <c r="H37" s="4" t="s">
        <v>8690</v>
      </c>
      <c r="I37">
        <v>6</v>
      </c>
      <c r="J37">
        <v>1</v>
      </c>
      <c r="L37" s="65">
        <f>((ARTICULOS_HCLASVEGAS[[#This Row],[P. Compra]]*(1+ARTICULOS_HCLASVEGAS[[#This Row],[IVA]]))/ARTICULOS_HCLASVEGAS[[#This Row],[UnidFact]])+ARTICULOS_HCLASVEGAS[[#This Row],[CostoFlete]]</f>
        <v>2900</v>
      </c>
      <c r="M37">
        <v>30</v>
      </c>
      <c r="N37" s="63">
        <f t="shared" si="5"/>
        <v>4100</v>
      </c>
      <c r="O37" s="3">
        <f>MROUND((ARTICULOS_HCLASVEGAS[[#This Row],[Precio]]/0.6),50)</f>
        <v>6850</v>
      </c>
      <c r="P37" t="s">
        <v>8693</v>
      </c>
      <c r="Q37">
        <v>2</v>
      </c>
      <c r="R37" s="3">
        <f>ARTICULOS_HCLASVEGAS[[#This Row],[Bulto]]+ARTICULOS_HCLASVEGAS[[#This Row],[Minimo]]</f>
        <v>8</v>
      </c>
      <c r="S37" t="s">
        <v>23</v>
      </c>
      <c r="T37" t="s">
        <v>13</v>
      </c>
      <c r="U37" t="s">
        <v>104</v>
      </c>
      <c r="V37" t="s">
        <v>11203</v>
      </c>
      <c r="W37" t="s">
        <v>8692</v>
      </c>
      <c r="X37">
        <v>1</v>
      </c>
      <c r="Y37">
        <v>0</v>
      </c>
      <c r="Z37"/>
      <c r="AB37" s="80">
        <f>ARTICULOS_HCLASVEGAS[[#This Row],[Costo]]*ARTICULOS_HCLASVEGAS[[#This Row],[Pedido]]</f>
        <v>0</v>
      </c>
      <c r="AD37"/>
      <c r="AH37" s="2" t="str">
        <f>IF(AND(ARTICULOS_HCLASVEGAS[[#This Row],[FechaVenc]]=0,ARTICULOS_HCLASVEGAS[[#This Row],[DiasVenc]]=0),"",ARTICULOS_HCLASVEGAS[[#This Row],[FechaVenc]]-ARTICULOS_HCLASVEGAS[[#This Row],[DiasVenc]])</f>
        <v/>
      </c>
      <c r="AK37"/>
      <c r="AM37"/>
      <c r="AO37" t="s">
        <v>8689</v>
      </c>
    </row>
    <row r="38" spans="1:41" x14ac:dyDescent="0.25">
      <c r="A38" s="1" t="s">
        <v>11204</v>
      </c>
      <c r="C38" t="str">
        <f t="shared" si="4"/>
        <v>BOD40042108</v>
      </c>
      <c r="D38" t="s">
        <v>8689</v>
      </c>
      <c r="E38" s="1" t="s">
        <v>11205</v>
      </c>
      <c r="F38" s="61">
        <v>2900</v>
      </c>
      <c r="G38" s="119">
        <v>0</v>
      </c>
      <c r="H38" s="4" t="s">
        <v>8690</v>
      </c>
      <c r="I38">
        <v>6</v>
      </c>
      <c r="J38">
        <v>1</v>
      </c>
      <c r="L38" s="65">
        <f>((ARTICULOS_HCLASVEGAS[[#This Row],[P. Compra]]*(1+ARTICULOS_HCLASVEGAS[[#This Row],[IVA]]))/ARTICULOS_HCLASVEGAS[[#This Row],[UnidFact]])+ARTICULOS_HCLASVEGAS[[#This Row],[CostoFlete]]</f>
        <v>2900</v>
      </c>
      <c r="M38">
        <v>30</v>
      </c>
      <c r="N38" s="63">
        <f t="shared" si="5"/>
        <v>4100</v>
      </c>
      <c r="O38" s="3">
        <f>MROUND((ARTICULOS_HCLASVEGAS[[#This Row],[Precio]]/0.6),50)</f>
        <v>6850</v>
      </c>
      <c r="P38" t="s">
        <v>8693</v>
      </c>
      <c r="Q38">
        <v>2</v>
      </c>
      <c r="R38" s="3">
        <f>ARTICULOS_HCLASVEGAS[[#This Row],[Bulto]]+ARTICULOS_HCLASVEGAS[[#This Row],[Minimo]]</f>
        <v>8</v>
      </c>
      <c r="S38" t="s">
        <v>23</v>
      </c>
      <c r="T38" t="s">
        <v>13</v>
      </c>
      <c r="U38" t="s">
        <v>104</v>
      </c>
      <c r="V38" t="s">
        <v>11203</v>
      </c>
      <c r="W38" t="s">
        <v>8692</v>
      </c>
      <c r="X38">
        <v>1</v>
      </c>
      <c r="Y38">
        <v>0</v>
      </c>
      <c r="Z38"/>
      <c r="AB38" s="80">
        <f>ARTICULOS_HCLASVEGAS[[#This Row],[Costo]]*ARTICULOS_HCLASVEGAS[[#This Row],[Pedido]]</f>
        <v>0</v>
      </c>
      <c r="AD38"/>
      <c r="AH38" s="2" t="str">
        <f>IF(AND(ARTICULOS_HCLASVEGAS[[#This Row],[FechaVenc]]=0,ARTICULOS_HCLASVEGAS[[#This Row],[DiasVenc]]=0),"",ARTICULOS_HCLASVEGAS[[#This Row],[FechaVenc]]-ARTICULOS_HCLASVEGAS[[#This Row],[DiasVenc]])</f>
        <v/>
      </c>
      <c r="AK38"/>
      <c r="AM38"/>
      <c r="AO38" t="s">
        <v>8689</v>
      </c>
    </row>
    <row r="39" spans="1:41" x14ac:dyDescent="0.25">
      <c r="A39" s="1" t="s">
        <v>11212</v>
      </c>
      <c r="C39" t="str">
        <f t="shared" si="4"/>
        <v>BOD40044519</v>
      </c>
      <c r="D39" t="s">
        <v>8689</v>
      </c>
      <c r="E39" s="1" t="s">
        <v>11213</v>
      </c>
      <c r="F39" s="61">
        <v>3000</v>
      </c>
      <c r="G39" s="119">
        <v>0</v>
      </c>
      <c r="H39" s="4" t="s">
        <v>8690</v>
      </c>
      <c r="I39">
        <v>6</v>
      </c>
      <c r="J39">
        <v>1</v>
      </c>
      <c r="L39" s="65">
        <f>((ARTICULOS_HCLASVEGAS[[#This Row],[P. Compra]]*(1+ARTICULOS_HCLASVEGAS[[#This Row],[IVA]]))/ARTICULOS_HCLASVEGAS[[#This Row],[UnidFact]])+ARTICULOS_HCLASVEGAS[[#This Row],[CostoFlete]]</f>
        <v>3000</v>
      </c>
      <c r="M39">
        <v>30</v>
      </c>
      <c r="N39" s="63">
        <f t="shared" si="5"/>
        <v>4300</v>
      </c>
      <c r="O39" s="3">
        <f>MROUND((ARTICULOS_HCLASVEGAS[[#This Row],[Precio]]/0.6),50)</f>
        <v>7150</v>
      </c>
      <c r="P39" t="s">
        <v>8693</v>
      </c>
      <c r="Q39">
        <v>2</v>
      </c>
      <c r="R39" s="3">
        <f>ARTICULOS_HCLASVEGAS[[#This Row],[Bulto]]+ARTICULOS_HCLASVEGAS[[#This Row],[Minimo]]</f>
        <v>8</v>
      </c>
      <c r="S39" t="s">
        <v>23</v>
      </c>
      <c r="T39" t="s">
        <v>13</v>
      </c>
      <c r="U39" t="s">
        <v>104</v>
      </c>
      <c r="V39" t="s">
        <v>11214</v>
      </c>
      <c r="W39" t="s">
        <v>8692</v>
      </c>
      <c r="X39">
        <v>1</v>
      </c>
      <c r="Y39">
        <v>3</v>
      </c>
      <c r="Z39"/>
      <c r="AB39" s="80">
        <f>ARTICULOS_HCLASVEGAS[[#This Row],[Costo]]*ARTICULOS_HCLASVEGAS[[#This Row],[Pedido]]</f>
        <v>0</v>
      </c>
      <c r="AD39"/>
      <c r="AH39" s="2" t="str">
        <f>IF(AND(ARTICULOS_HCLASVEGAS[[#This Row],[FechaVenc]]=0,ARTICULOS_HCLASVEGAS[[#This Row],[DiasVenc]]=0),"",ARTICULOS_HCLASVEGAS[[#This Row],[FechaVenc]]-ARTICULOS_HCLASVEGAS[[#This Row],[DiasVenc]])</f>
        <v/>
      </c>
      <c r="AK39"/>
      <c r="AM39"/>
      <c r="AO39" t="s">
        <v>8689</v>
      </c>
    </row>
    <row r="40" spans="1:41" x14ac:dyDescent="0.25">
      <c r="A40" s="1" t="s">
        <v>11215</v>
      </c>
      <c r="C40" t="str">
        <f t="shared" si="4"/>
        <v>BOD40044526</v>
      </c>
      <c r="D40" t="s">
        <v>8689</v>
      </c>
      <c r="E40" s="1" t="s">
        <v>11216</v>
      </c>
      <c r="F40" s="61">
        <v>3000</v>
      </c>
      <c r="G40" s="119">
        <v>0</v>
      </c>
      <c r="H40" s="4" t="s">
        <v>8690</v>
      </c>
      <c r="I40">
        <v>6</v>
      </c>
      <c r="J40">
        <v>1</v>
      </c>
      <c r="L40" s="65">
        <f>((ARTICULOS_HCLASVEGAS[[#This Row],[P. Compra]]*(1+ARTICULOS_HCLASVEGAS[[#This Row],[IVA]]))/ARTICULOS_HCLASVEGAS[[#This Row],[UnidFact]])+ARTICULOS_HCLASVEGAS[[#This Row],[CostoFlete]]</f>
        <v>3000</v>
      </c>
      <c r="M40">
        <v>30</v>
      </c>
      <c r="N40" s="63">
        <f t="shared" si="5"/>
        <v>4300</v>
      </c>
      <c r="O40" s="3">
        <f>MROUND((ARTICULOS_HCLASVEGAS[[#This Row],[Precio]]/0.6),50)</f>
        <v>7150</v>
      </c>
      <c r="P40" t="s">
        <v>8693</v>
      </c>
      <c r="Q40">
        <v>2</v>
      </c>
      <c r="R40" s="3">
        <f>ARTICULOS_HCLASVEGAS[[#This Row],[Bulto]]+ARTICULOS_HCLASVEGAS[[#This Row],[Minimo]]</f>
        <v>8</v>
      </c>
      <c r="S40" t="s">
        <v>23</v>
      </c>
      <c r="T40" t="s">
        <v>13</v>
      </c>
      <c r="U40" t="s">
        <v>104</v>
      </c>
      <c r="V40" t="s">
        <v>11214</v>
      </c>
      <c r="W40" t="s">
        <v>8692</v>
      </c>
      <c r="X40">
        <v>1</v>
      </c>
      <c r="Y40">
        <v>2</v>
      </c>
      <c r="Z40"/>
      <c r="AB40" s="80">
        <f>ARTICULOS_HCLASVEGAS[[#This Row],[Costo]]*ARTICULOS_HCLASVEGAS[[#This Row],[Pedido]]</f>
        <v>0</v>
      </c>
      <c r="AD40"/>
      <c r="AH40" s="2" t="str">
        <f>IF(AND(ARTICULOS_HCLASVEGAS[[#This Row],[FechaVenc]]=0,ARTICULOS_HCLASVEGAS[[#This Row],[DiasVenc]]=0),"",ARTICULOS_HCLASVEGAS[[#This Row],[FechaVenc]]-ARTICULOS_HCLASVEGAS[[#This Row],[DiasVenc]])</f>
        <v/>
      </c>
      <c r="AK40"/>
      <c r="AM40"/>
      <c r="AO40" t="s">
        <v>8689</v>
      </c>
    </row>
    <row r="41" spans="1:41" x14ac:dyDescent="0.25">
      <c r="A41" s="24" t="s">
        <v>11401</v>
      </c>
      <c r="C41" t="str">
        <f t="shared" si="4"/>
        <v>BOD19971159</v>
      </c>
      <c r="D41" t="s">
        <v>8689</v>
      </c>
      <c r="E41" s="1" t="s">
        <v>11206</v>
      </c>
      <c r="F41" s="61">
        <v>2300</v>
      </c>
      <c r="G41" s="119">
        <v>0</v>
      </c>
      <c r="H41" s="4" t="s">
        <v>8690</v>
      </c>
      <c r="I41">
        <v>6</v>
      </c>
      <c r="J41">
        <v>1</v>
      </c>
      <c r="L41" s="65">
        <f>((ARTICULOS_HCLASVEGAS[[#This Row],[P. Compra]]*(1+ARTICULOS_HCLASVEGAS[[#This Row],[IVA]]))/ARTICULOS_HCLASVEGAS[[#This Row],[UnidFact]])+ARTICULOS_HCLASVEGAS[[#This Row],[CostoFlete]]</f>
        <v>2300</v>
      </c>
      <c r="M41">
        <v>30</v>
      </c>
      <c r="N41" s="63">
        <f t="shared" si="5"/>
        <v>3300</v>
      </c>
      <c r="O41" s="3">
        <f>MROUND((ARTICULOS_HCLASVEGAS[[#This Row],[Precio]]/0.6),50)</f>
        <v>5500</v>
      </c>
      <c r="P41" t="s">
        <v>8693</v>
      </c>
      <c r="Q41">
        <v>2</v>
      </c>
      <c r="R41" s="3">
        <f>ARTICULOS_HCLASVEGAS[[#This Row],[Bulto]]+ARTICULOS_HCLASVEGAS[[#This Row],[Minimo]]</f>
        <v>8</v>
      </c>
      <c r="S41" t="s">
        <v>23</v>
      </c>
      <c r="T41" t="s">
        <v>13</v>
      </c>
      <c r="U41" t="s">
        <v>104</v>
      </c>
      <c r="V41" t="s">
        <v>11207</v>
      </c>
      <c r="W41" t="s">
        <v>8692</v>
      </c>
      <c r="X41">
        <v>1</v>
      </c>
      <c r="Y41">
        <v>8</v>
      </c>
      <c r="Z41"/>
      <c r="AB41" s="80">
        <f>ARTICULOS_HCLASVEGAS[[#This Row],[Costo]]*ARTICULOS_HCLASVEGAS[[#This Row],[Pedido]]</f>
        <v>0</v>
      </c>
      <c r="AD41"/>
      <c r="AH41" s="2" t="str">
        <f>IF(AND(ARTICULOS_HCLASVEGAS[[#This Row],[FechaVenc]]=0,ARTICULOS_HCLASVEGAS[[#This Row],[DiasVenc]]=0),"",ARTICULOS_HCLASVEGAS[[#This Row],[FechaVenc]]-ARTICULOS_HCLASVEGAS[[#This Row],[DiasVenc]])</f>
        <v/>
      </c>
      <c r="AK41"/>
      <c r="AM41"/>
      <c r="AO41" t="s">
        <v>8689</v>
      </c>
    </row>
    <row r="42" spans="1:41" x14ac:dyDescent="0.25">
      <c r="A42" s="1" t="s">
        <v>11208</v>
      </c>
      <c r="C42" t="str">
        <f t="shared" si="4"/>
        <v>BOD19971166</v>
      </c>
      <c r="D42" t="s">
        <v>8689</v>
      </c>
      <c r="E42" s="1" t="s">
        <v>11209</v>
      </c>
      <c r="F42" s="61">
        <v>2300</v>
      </c>
      <c r="G42" s="119">
        <v>0</v>
      </c>
      <c r="H42" s="4" t="s">
        <v>8690</v>
      </c>
      <c r="I42">
        <v>6</v>
      </c>
      <c r="J42">
        <v>1</v>
      </c>
      <c r="L42" s="65">
        <f>((ARTICULOS_HCLASVEGAS[[#This Row],[P. Compra]]*(1+ARTICULOS_HCLASVEGAS[[#This Row],[IVA]]))/ARTICULOS_HCLASVEGAS[[#This Row],[UnidFact]])+ARTICULOS_HCLASVEGAS[[#This Row],[CostoFlete]]</f>
        <v>2300</v>
      </c>
      <c r="M42">
        <v>30</v>
      </c>
      <c r="N42" s="63">
        <f t="shared" si="5"/>
        <v>3300</v>
      </c>
      <c r="O42" s="3">
        <f>MROUND((ARTICULOS_HCLASVEGAS[[#This Row],[Precio]]/0.6),50)</f>
        <v>5500</v>
      </c>
      <c r="P42" t="s">
        <v>8693</v>
      </c>
      <c r="Q42">
        <v>2</v>
      </c>
      <c r="R42" s="3">
        <f>ARTICULOS_HCLASVEGAS[[#This Row],[Bulto]]+ARTICULOS_HCLASVEGAS[[#This Row],[Minimo]]</f>
        <v>8</v>
      </c>
      <c r="S42" t="s">
        <v>23</v>
      </c>
      <c r="T42" t="s">
        <v>13</v>
      </c>
      <c r="U42" t="s">
        <v>104</v>
      </c>
      <c r="V42" t="s">
        <v>11207</v>
      </c>
      <c r="W42" t="s">
        <v>8692</v>
      </c>
      <c r="X42">
        <v>1</v>
      </c>
      <c r="Y42">
        <v>0</v>
      </c>
      <c r="Z42"/>
      <c r="AB42" s="80">
        <f>ARTICULOS_HCLASVEGAS[[#This Row],[Costo]]*ARTICULOS_HCLASVEGAS[[#This Row],[Pedido]]</f>
        <v>0</v>
      </c>
      <c r="AD42"/>
      <c r="AH42" s="2" t="str">
        <f>IF(AND(ARTICULOS_HCLASVEGAS[[#This Row],[FechaVenc]]=0,ARTICULOS_HCLASVEGAS[[#This Row],[DiasVenc]]=0),"",ARTICULOS_HCLASVEGAS[[#This Row],[FechaVenc]]-ARTICULOS_HCLASVEGAS[[#This Row],[DiasVenc]])</f>
        <v/>
      </c>
      <c r="AK42"/>
      <c r="AM42"/>
      <c r="AO42" t="s">
        <v>8689</v>
      </c>
    </row>
    <row r="43" spans="1:41" x14ac:dyDescent="0.25">
      <c r="A43" s="1" t="s">
        <v>11210</v>
      </c>
      <c r="C43" t="str">
        <f t="shared" si="4"/>
        <v>BOD19971173</v>
      </c>
      <c r="D43" t="s">
        <v>8689</v>
      </c>
      <c r="E43" s="1" t="s">
        <v>11211</v>
      </c>
      <c r="F43" s="61">
        <v>2300</v>
      </c>
      <c r="G43" s="119">
        <v>0</v>
      </c>
      <c r="H43" s="4" t="s">
        <v>8690</v>
      </c>
      <c r="I43">
        <v>6</v>
      </c>
      <c r="J43">
        <v>1</v>
      </c>
      <c r="L43" s="65">
        <f>((ARTICULOS_HCLASVEGAS[[#This Row],[P. Compra]]*(1+ARTICULOS_HCLASVEGAS[[#This Row],[IVA]]))/ARTICULOS_HCLASVEGAS[[#This Row],[UnidFact]])+ARTICULOS_HCLASVEGAS[[#This Row],[CostoFlete]]</f>
        <v>2300</v>
      </c>
      <c r="M43">
        <v>30</v>
      </c>
      <c r="N43" s="63">
        <f t="shared" si="5"/>
        <v>3300</v>
      </c>
      <c r="O43" s="3">
        <f>MROUND((ARTICULOS_HCLASVEGAS[[#This Row],[Precio]]/0.6),50)</f>
        <v>5500</v>
      </c>
      <c r="P43" t="s">
        <v>8693</v>
      </c>
      <c r="Q43">
        <v>2</v>
      </c>
      <c r="R43" s="3">
        <f>ARTICULOS_HCLASVEGAS[[#This Row],[Bulto]]+ARTICULOS_HCLASVEGAS[[#This Row],[Minimo]]</f>
        <v>8</v>
      </c>
      <c r="S43" t="s">
        <v>23</v>
      </c>
      <c r="T43" t="s">
        <v>13</v>
      </c>
      <c r="U43" t="s">
        <v>104</v>
      </c>
      <c r="V43" t="s">
        <v>11207</v>
      </c>
      <c r="W43" t="s">
        <v>8692</v>
      </c>
      <c r="X43">
        <v>1</v>
      </c>
      <c r="Y43">
        <v>0</v>
      </c>
      <c r="Z43"/>
      <c r="AB43" s="80">
        <f>ARTICULOS_HCLASVEGAS[[#This Row],[Costo]]*ARTICULOS_HCLASVEGAS[[#This Row],[Pedido]]</f>
        <v>0</v>
      </c>
      <c r="AD43"/>
      <c r="AH43" s="2" t="str">
        <f>IF(AND(ARTICULOS_HCLASVEGAS[[#This Row],[FechaVenc]]=0,ARTICULOS_HCLASVEGAS[[#This Row],[DiasVenc]]=0),"",ARTICULOS_HCLASVEGAS[[#This Row],[FechaVenc]]-ARTICULOS_HCLASVEGAS[[#This Row],[DiasVenc]])</f>
        <v/>
      </c>
      <c r="AK43"/>
      <c r="AM43"/>
      <c r="AO43" t="s">
        <v>8689</v>
      </c>
    </row>
    <row r="44" spans="1:41" x14ac:dyDescent="0.25">
      <c r="A44" s="1" t="s">
        <v>11220</v>
      </c>
      <c r="C44" t="str">
        <f t="shared" si="4"/>
        <v>BOD28243871</v>
      </c>
      <c r="D44" t="s">
        <v>8689</v>
      </c>
      <c r="E44" s="1" t="s">
        <v>11221</v>
      </c>
      <c r="F44" s="61">
        <v>2600</v>
      </c>
      <c r="G44" s="119">
        <v>0</v>
      </c>
      <c r="H44" s="4" t="s">
        <v>8690</v>
      </c>
      <c r="I44">
        <v>6</v>
      </c>
      <c r="J44">
        <v>1</v>
      </c>
      <c r="L44" s="65">
        <f>((ARTICULOS_HCLASVEGAS[[#This Row],[P. Compra]]*(1+ARTICULOS_HCLASVEGAS[[#This Row],[IVA]]))/ARTICULOS_HCLASVEGAS[[#This Row],[UnidFact]])+ARTICULOS_HCLASVEGAS[[#This Row],[CostoFlete]]</f>
        <v>2600</v>
      </c>
      <c r="M44">
        <v>30</v>
      </c>
      <c r="N44" s="63">
        <f t="shared" si="5"/>
        <v>3700</v>
      </c>
      <c r="O44" s="3">
        <f>MROUND((ARTICULOS_HCLASVEGAS[[#This Row],[Precio]]/0.6),50)</f>
        <v>6150</v>
      </c>
      <c r="P44" t="s">
        <v>8693</v>
      </c>
      <c r="Q44">
        <v>2</v>
      </c>
      <c r="R44" s="3">
        <f>ARTICULOS_HCLASVEGAS[[#This Row],[Bulto]]+ARTICULOS_HCLASVEGAS[[#This Row],[Minimo]]</f>
        <v>8</v>
      </c>
      <c r="S44" t="s">
        <v>23</v>
      </c>
      <c r="T44" t="s">
        <v>13</v>
      </c>
      <c r="U44" t="s">
        <v>104</v>
      </c>
      <c r="V44" t="s">
        <v>11222</v>
      </c>
      <c r="W44" t="s">
        <v>8692</v>
      </c>
      <c r="X44">
        <v>1</v>
      </c>
      <c r="Y44">
        <v>8</v>
      </c>
      <c r="Z44"/>
      <c r="AB44" s="80">
        <f>ARTICULOS_HCLASVEGAS[[#This Row],[Costo]]*ARTICULOS_HCLASVEGAS[[#This Row],[Pedido]]</f>
        <v>0</v>
      </c>
      <c r="AD44"/>
      <c r="AH44" s="2" t="str">
        <f>IF(AND(ARTICULOS_HCLASVEGAS[[#This Row],[FechaVenc]]=0,ARTICULOS_HCLASVEGAS[[#This Row],[DiasVenc]]=0),"",ARTICULOS_HCLASVEGAS[[#This Row],[FechaVenc]]-ARTICULOS_HCLASVEGAS[[#This Row],[DiasVenc]])</f>
        <v/>
      </c>
      <c r="AK44"/>
      <c r="AM44"/>
      <c r="AO44" t="s">
        <v>8689</v>
      </c>
    </row>
    <row r="45" spans="1:41" x14ac:dyDescent="0.25">
      <c r="A45" s="1" t="s">
        <v>11228</v>
      </c>
      <c r="C45" t="str">
        <f t="shared" si="4"/>
        <v>BOD14003226</v>
      </c>
      <c r="D45" t="s">
        <v>8689</v>
      </c>
      <c r="E45" s="1" t="s">
        <v>11229</v>
      </c>
      <c r="F45" s="61">
        <v>1500</v>
      </c>
      <c r="G45" s="119">
        <v>0</v>
      </c>
      <c r="H45" s="4" t="s">
        <v>8690</v>
      </c>
      <c r="I45">
        <v>6</v>
      </c>
      <c r="J45">
        <v>1</v>
      </c>
      <c r="L45" s="65">
        <f>((ARTICULOS_HCLASVEGAS[[#This Row],[P. Compra]]*(1+ARTICULOS_HCLASVEGAS[[#This Row],[IVA]]))/ARTICULOS_HCLASVEGAS[[#This Row],[UnidFact]])+ARTICULOS_HCLASVEGAS[[#This Row],[CostoFlete]]</f>
        <v>1500</v>
      </c>
      <c r="M45">
        <v>30</v>
      </c>
      <c r="N45" s="63">
        <f t="shared" si="5"/>
        <v>2100</v>
      </c>
      <c r="O45" s="3">
        <f>MROUND((ARTICULOS_HCLASVEGAS[[#This Row],[Precio]]/0.6),50)</f>
        <v>3500</v>
      </c>
      <c r="P45" t="s">
        <v>8693</v>
      </c>
      <c r="Q45">
        <v>2</v>
      </c>
      <c r="R45" s="3">
        <f>ARTICULOS_HCLASVEGAS[[#This Row],[Bulto]]+ARTICULOS_HCLASVEGAS[[#This Row],[Minimo]]</f>
        <v>8</v>
      </c>
      <c r="S45" t="s">
        <v>23</v>
      </c>
      <c r="T45" t="s">
        <v>13</v>
      </c>
      <c r="U45" t="s">
        <v>104</v>
      </c>
      <c r="V45" t="s">
        <v>11230</v>
      </c>
      <c r="W45" t="s">
        <v>8692</v>
      </c>
      <c r="X45">
        <v>1</v>
      </c>
      <c r="Y45">
        <v>6</v>
      </c>
      <c r="Z45"/>
      <c r="AB45" s="80">
        <f>ARTICULOS_HCLASVEGAS[[#This Row],[Costo]]*ARTICULOS_HCLASVEGAS[[#This Row],[Pedido]]</f>
        <v>0</v>
      </c>
      <c r="AD45"/>
      <c r="AH45" s="2" t="str">
        <f>IF(AND(ARTICULOS_HCLASVEGAS[[#This Row],[FechaVenc]]=0,ARTICULOS_HCLASVEGAS[[#This Row],[DiasVenc]]=0),"",ARTICULOS_HCLASVEGAS[[#This Row],[FechaVenc]]-ARTICULOS_HCLASVEGAS[[#This Row],[DiasVenc]])</f>
        <v/>
      </c>
      <c r="AK45"/>
      <c r="AM45"/>
      <c r="AO45" t="s">
        <v>8689</v>
      </c>
    </row>
    <row r="46" spans="1:41" x14ac:dyDescent="0.25">
      <c r="A46" s="1" t="s">
        <v>11231</v>
      </c>
      <c r="C46" t="str">
        <f t="shared" si="4"/>
        <v>BOD14003233</v>
      </c>
      <c r="D46" t="s">
        <v>8689</v>
      </c>
      <c r="E46" s="1" t="s">
        <v>11232</v>
      </c>
      <c r="F46" s="61">
        <v>1500</v>
      </c>
      <c r="G46" s="119">
        <v>0</v>
      </c>
      <c r="H46" s="4" t="s">
        <v>8690</v>
      </c>
      <c r="I46">
        <v>6</v>
      </c>
      <c r="J46">
        <v>1</v>
      </c>
      <c r="L46" s="65">
        <f>((ARTICULOS_HCLASVEGAS[[#This Row],[P. Compra]]*(1+ARTICULOS_HCLASVEGAS[[#This Row],[IVA]]))/ARTICULOS_HCLASVEGAS[[#This Row],[UnidFact]])+ARTICULOS_HCLASVEGAS[[#This Row],[CostoFlete]]</f>
        <v>1500</v>
      </c>
      <c r="M46">
        <v>30</v>
      </c>
      <c r="N46" s="63">
        <f t="shared" si="5"/>
        <v>2100</v>
      </c>
      <c r="O46" s="3">
        <f>MROUND((ARTICULOS_HCLASVEGAS[[#This Row],[Precio]]/0.6),50)</f>
        <v>3500</v>
      </c>
      <c r="P46" t="s">
        <v>8693</v>
      </c>
      <c r="Q46">
        <v>2</v>
      </c>
      <c r="R46" s="3">
        <f>ARTICULOS_HCLASVEGAS[[#This Row],[Bulto]]+ARTICULOS_HCLASVEGAS[[#This Row],[Minimo]]</f>
        <v>8</v>
      </c>
      <c r="S46" t="s">
        <v>23</v>
      </c>
      <c r="T46" t="s">
        <v>13</v>
      </c>
      <c r="U46" t="s">
        <v>104</v>
      </c>
      <c r="V46" t="s">
        <v>11230</v>
      </c>
      <c r="W46" t="s">
        <v>8692</v>
      </c>
      <c r="X46">
        <v>1</v>
      </c>
      <c r="Y46">
        <v>0</v>
      </c>
      <c r="Z46"/>
      <c r="AB46" s="80">
        <f>ARTICULOS_HCLASVEGAS[[#This Row],[Costo]]*ARTICULOS_HCLASVEGAS[[#This Row],[Pedido]]</f>
        <v>0</v>
      </c>
      <c r="AD46"/>
      <c r="AH46" s="2" t="str">
        <f>IF(AND(ARTICULOS_HCLASVEGAS[[#This Row],[FechaVenc]]=0,ARTICULOS_HCLASVEGAS[[#This Row],[DiasVenc]]=0),"",ARTICULOS_HCLASVEGAS[[#This Row],[FechaVenc]]-ARTICULOS_HCLASVEGAS[[#This Row],[DiasVenc]])</f>
        <v/>
      </c>
      <c r="AK46"/>
      <c r="AM46"/>
      <c r="AO46" t="s">
        <v>8689</v>
      </c>
    </row>
    <row r="47" spans="1:41" x14ac:dyDescent="0.25">
      <c r="A47" s="1" t="s">
        <v>11223</v>
      </c>
      <c r="C47" t="str">
        <f t="shared" si="4"/>
        <v>BOD40053368</v>
      </c>
      <c r="D47" t="s">
        <v>8689</v>
      </c>
      <c r="E47" s="1" t="s">
        <v>11224</v>
      </c>
      <c r="F47" s="61">
        <v>1600</v>
      </c>
      <c r="G47" s="119">
        <v>0</v>
      </c>
      <c r="H47" s="4" t="s">
        <v>8690</v>
      </c>
      <c r="I47">
        <v>12</v>
      </c>
      <c r="J47">
        <v>1</v>
      </c>
      <c r="L47" s="65">
        <f>((ARTICULOS_HCLASVEGAS[[#This Row],[P. Compra]]*(1+ARTICULOS_HCLASVEGAS[[#This Row],[IVA]]))/ARTICULOS_HCLASVEGAS[[#This Row],[UnidFact]])+ARTICULOS_HCLASVEGAS[[#This Row],[CostoFlete]]</f>
        <v>1600</v>
      </c>
      <c r="M47">
        <v>30</v>
      </c>
      <c r="N47" s="63">
        <f t="shared" si="5"/>
        <v>2300</v>
      </c>
      <c r="O47" s="3">
        <f>MROUND((ARTICULOS_HCLASVEGAS[[#This Row],[Precio]]/0.6),50)</f>
        <v>3850</v>
      </c>
      <c r="P47" t="s">
        <v>8693</v>
      </c>
      <c r="Q47">
        <v>4</v>
      </c>
      <c r="R47" s="3">
        <f>ARTICULOS_HCLASVEGAS[[#This Row],[Bulto]]+ARTICULOS_HCLASVEGAS[[#This Row],[Minimo]]</f>
        <v>16</v>
      </c>
      <c r="S47" t="s">
        <v>23</v>
      </c>
      <c r="T47" t="s">
        <v>13</v>
      </c>
      <c r="U47" t="s">
        <v>104</v>
      </c>
      <c r="V47" t="s">
        <v>11225</v>
      </c>
      <c r="W47" t="s">
        <v>8692</v>
      </c>
      <c r="X47">
        <v>1</v>
      </c>
      <c r="Y47">
        <v>0</v>
      </c>
      <c r="Z47"/>
      <c r="AB47" s="80">
        <f>ARTICULOS_HCLASVEGAS[[#This Row],[Costo]]*ARTICULOS_HCLASVEGAS[[#This Row],[Pedido]]</f>
        <v>0</v>
      </c>
      <c r="AD47"/>
      <c r="AH47" s="2" t="str">
        <f>IF(AND(ARTICULOS_HCLASVEGAS[[#This Row],[FechaVenc]]=0,ARTICULOS_HCLASVEGAS[[#This Row],[DiasVenc]]=0),"",ARTICULOS_HCLASVEGAS[[#This Row],[FechaVenc]]-ARTICULOS_HCLASVEGAS[[#This Row],[DiasVenc]])</f>
        <v/>
      </c>
      <c r="AK47"/>
      <c r="AM47"/>
      <c r="AO47" t="s">
        <v>8689</v>
      </c>
    </row>
    <row r="48" spans="1:41" x14ac:dyDescent="0.25">
      <c r="A48" s="1" t="s">
        <v>11226</v>
      </c>
      <c r="C48" t="str">
        <f t="shared" si="4"/>
        <v>BOD40053351</v>
      </c>
      <c r="D48" t="s">
        <v>8689</v>
      </c>
      <c r="E48" s="1" t="s">
        <v>11227</v>
      </c>
      <c r="F48" s="61">
        <v>1600</v>
      </c>
      <c r="G48" s="119">
        <v>0</v>
      </c>
      <c r="H48" s="4" t="s">
        <v>8690</v>
      </c>
      <c r="I48">
        <v>12</v>
      </c>
      <c r="J48">
        <v>1</v>
      </c>
      <c r="L48" s="65">
        <f>((ARTICULOS_HCLASVEGAS[[#This Row],[P. Compra]]*(1+ARTICULOS_HCLASVEGAS[[#This Row],[IVA]]))/ARTICULOS_HCLASVEGAS[[#This Row],[UnidFact]])+ARTICULOS_HCLASVEGAS[[#This Row],[CostoFlete]]</f>
        <v>1600</v>
      </c>
      <c r="M48">
        <v>30</v>
      </c>
      <c r="N48" s="63">
        <f t="shared" si="5"/>
        <v>2300</v>
      </c>
      <c r="O48" s="3">
        <f>MROUND((ARTICULOS_HCLASVEGAS[[#This Row],[Precio]]/0.6),50)</f>
        <v>3850</v>
      </c>
      <c r="P48" t="s">
        <v>8693</v>
      </c>
      <c r="Q48">
        <v>4</v>
      </c>
      <c r="R48" s="3">
        <f>ARTICULOS_HCLASVEGAS[[#This Row],[Bulto]]+ARTICULOS_HCLASVEGAS[[#This Row],[Minimo]]</f>
        <v>16</v>
      </c>
      <c r="S48" t="s">
        <v>23</v>
      </c>
      <c r="T48" t="s">
        <v>13</v>
      </c>
      <c r="U48" t="s">
        <v>104</v>
      </c>
      <c r="V48" t="s">
        <v>11225</v>
      </c>
      <c r="W48" t="s">
        <v>8692</v>
      </c>
      <c r="X48">
        <v>1</v>
      </c>
      <c r="Y48">
        <v>19</v>
      </c>
      <c r="Z48"/>
      <c r="AB48" s="80">
        <f>ARTICULOS_HCLASVEGAS[[#This Row],[Costo]]*ARTICULOS_HCLASVEGAS[[#This Row],[Pedido]]</f>
        <v>0</v>
      </c>
      <c r="AD48"/>
      <c r="AH48" s="2" t="str">
        <f>IF(AND(ARTICULOS_HCLASVEGAS[[#This Row],[FechaVenc]]=0,ARTICULOS_HCLASVEGAS[[#This Row],[DiasVenc]]=0),"",ARTICULOS_HCLASVEGAS[[#This Row],[FechaVenc]]-ARTICULOS_HCLASVEGAS[[#This Row],[DiasVenc]])</f>
        <v/>
      </c>
      <c r="AK48"/>
      <c r="AM48"/>
      <c r="AO48" t="s">
        <v>8689</v>
      </c>
    </row>
    <row r="49" spans="1:41" x14ac:dyDescent="0.25">
      <c r="A49" s="1" t="s">
        <v>11860</v>
      </c>
      <c r="C49" t="str">
        <f t="shared" ref="C49" si="6">CONCATENATE(LEFT(T49,3),RIGHT(A49,8))</f>
        <v>BOD50002267</v>
      </c>
      <c r="D49" t="s">
        <v>8689</v>
      </c>
      <c r="E49" s="1" t="s">
        <v>11861</v>
      </c>
      <c r="F49" s="61">
        <v>9000</v>
      </c>
      <c r="G49" s="119">
        <v>0</v>
      </c>
      <c r="H49" s="4" t="s">
        <v>8690</v>
      </c>
      <c r="I49">
        <v>6</v>
      </c>
      <c r="J49">
        <v>1</v>
      </c>
      <c r="L49" s="65">
        <f>((ARTICULOS_HCLASVEGAS[[#This Row],[P. Compra]]*(1+ARTICULOS_HCLASVEGAS[[#This Row],[IVA]]))/ARTICULOS_HCLASVEGAS[[#This Row],[UnidFact]])+ARTICULOS_HCLASVEGAS[[#This Row],[CostoFlete]]</f>
        <v>9000</v>
      </c>
      <c r="M49">
        <v>30</v>
      </c>
      <c r="N49" s="63">
        <f t="shared" si="5"/>
        <v>12900</v>
      </c>
      <c r="O49" s="3">
        <f>MROUND((ARTICULOS_HCLASVEGAS[[#This Row],[Precio]]/0.6),50)</f>
        <v>21500</v>
      </c>
      <c r="P49" t="s">
        <v>8693</v>
      </c>
      <c r="Q49">
        <v>2</v>
      </c>
      <c r="R49" s="3">
        <f>ARTICULOS_HCLASVEGAS[[#This Row],[Bulto]]+ARTICULOS_HCLASVEGAS[[#This Row],[Minimo]]</f>
        <v>8</v>
      </c>
      <c r="S49" t="s">
        <v>23</v>
      </c>
      <c r="T49" t="s">
        <v>13</v>
      </c>
      <c r="U49" t="s">
        <v>11859</v>
      </c>
      <c r="V49" t="s">
        <v>11862</v>
      </c>
      <c r="W49" t="s">
        <v>8692</v>
      </c>
      <c r="X49">
        <v>1</v>
      </c>
      <c r="Y49">
        <v>4</v>
      </c>
      <c r="Z49"/>
      <c r="AB49" s="80">
        <f>ARTICULOS_HCLASVEGAS[[#This Row],[Costo]]*ARTICULOS_HCLASVEGAS[[#This Row],[Pedido]]</f>
        <v>0</v>
      </c>
      <c r="AD49"/>
      <c r="AH49" s="2" t="str">
        <f>IF(AND(ARTICULOS_HCLASVEGAS[[#This Row],[FechaVenc]]=0,ARTICULOS_HCLASVEGAS[[#This Row],[DiasVenc]]=0),"",ARTICULOS_HCLASVEGAS[[#This Row],[FechaVenc]]-ARTICULOS_HCLASVEGAS[[#This Row],[DiasVenc]])</f>
        <v/>
      </c>
      <c r="AK49"/>
      <c r="AM49"/>
      <c r="AO49" t="s">
        <v>8689</v>
      </c>
    </row>
    <row r="50" spans="1:41" x14ac:dyDescent="0.25">
      <c r="A50" s="1" t="s">
        <v>11246</v>
      </c>
      <c r="C50" t="str">
        <f t="shared" si="4"/>
        <v>BOD50003189</v>
      </c>
      <c r="D50" t="s">
        <v>8689</v>
      </c>
      <c r="E50" s="1" t="s">
        <v>11247</v>
      </c>
      <c r="F50" s="61">
        <v>1520</v>
      </c>
      <c r="G50" s="119">
        <v>0</v>
      </c>
      <c r="H50" s="4" t="s">
        <v>8690</v>
      </c>
      <c r="I50">
        <v>6</v>
      </c>
      <c r="J50">
        <v>1</v>
      </c>
      <c r="L50" s="65">
        <f>((ARTICULOS_HCLASVEGAS[[#This Row],[P. Compra]]*(1+ARTICULOS_HCLASVEGAS[[#This Row],[IVA]]))/ARTICULOS_HCLASVEGAS[[#This Row],[UnidFact]])+ARTICULOS_HCLASVEGAS[[#This Row],[CostoFlete]]</f>
        <v>1520</v>
      </c>
      <c r="M50">
        <v>30</v>
      </c>
      <c r="N50" s="63">
        <f t="shared" si="5"/>
        <v>2200</v>
      </c>
      <c r="O50" s="3">
        <f>MROUND((ARTICULOS_HCLASVEGAS[[#This Row],[Precio]]/0.6),50)</f>
        <v>3650</v>
      </c>
      <c r="P50" t="s">
        <v>8693</v>
      </c>
      <c r="Q50">
        <v>2</v>
      </c>
      <c r="R50" s="3">
        <f>ARTICULOS_HCLASVEGAS[[#This Row],[Bulto]]+ARTICULOS_HCLASVEGAS[[#This Row],[Minimo]]</f>
        <v>8</v>
      </c>
      <c r="S50" t="s">
        <v>23</v>
      </c>
      <c r="T50" t="s">
        <v>13</v>
      </c>
      <c r="U50" t="s">
        <v>11859</v>
      </c>
      <c r="V50" t="s">
        <v>11248</v>
      </c>
      <c r="W50" t="s">
        <v>8692</v>
      </c>
      <c r="X50">
        <v>1</v>
      </c>
      <c r="Y50">
        <v>0</v>
      </c>
      <c r="Z50"/>
      <c r="AB50" s="80">
        <f>ARTICULOS_HCLASVEGAS[[#This Row],[Costo]]*ARTICULOS_HCLASVEGAS[[#This Row],[Pedido]]</f>
        <v>0</v>
      </c>
      <c r="AD50"/>
      <c r="AH50" s="2" t="str">
        <f>IF(AND(ARTICULOS_HCLASVEGAS[[#This Row],[FechaVenc]]=0,ARTICULOS_HCLASVEGAS[[#This Row],[DiasVenc]]=0),"",ARTICULOS_HCLASVEGAS[[#This Row],[FechaVenc]]-ARTICULOS_HCLASVEGAS[[#This Row],[DiasVenc]])</f>
        <v/>
      </c>
      <c r="AK50"/>
      <c r="AM50"/>
      <c r="AO50" t="s">
        <v>8689</v>
      </c>
    </row>
    <row r="51" spans="1:41" x14ac:dyDescent="0.25">
      <c r="A51" s="1" t="s">
        <v>11249</v>
      </c>
      <c r="C51" t="str">
        <f t="shared" si="4"/>
        <v>BOD50003127</v>
      </c>
      <c r="D51" t="s">
        <v>8689</v>
      </c>
      <c r="E51" s="1" t="s">
        <v>11250</v>
      </c>
      <c r="F51" s="61">
        <v>1520</v>
      </c>
      <c r="G51" s="119">
        <v>0</v>
      </c>
      <c r="H51" s="4" t="s">
        <v>8690</v>
      </c>
      <c r="I51">
        <v>6</v>
      </c>
      <c r="J51">
        <v>1</v>
      </c>
      <c r="L51" s="65">
        <f>((ARTICULOS_HCLASVEGAS[[#This Row],[P. Compra]]*(1+ARTICULOS_HCLASVEGAS[[#This Row],[IVA]]))/ARTICULOS_HCLASVEGAS[[#This Row],[UnidFact]])+ARTICULOS_HCLASVEGAS[[#This Row],[CostoFlete]]</f>
        <v>1520</v>
      </c>
      <c r="M51">
        <v>30</v>
      </c>
      <c r="N51" s="63">
        <f t="shared" si="5"/>
        <v>2200</v>
      </c>
      <c r="O51" s="3">
        <f>MROUND((ARTICULOS_HCLASVEGAS[[#This Row],[Precio]]/0.6),50)</f>
        <v>3650</v>
      </c>
      <c r="P51" t="s">
        <v>8693</v>
      </c>
      <c r="Q51">
        <v>2</v>
      </c>
      <c r="R51" s="3">
        <f>ARTICULOS_HCLASVEGAS[[#This Row],[Bulto]]+ARTICULOS_HCLASVEGAS[[#This Row],[Minimo]]</f>
        <v>8</v>
      </c>
      <c r="S51" t="s">
        <v>23</v>
      </c>
      <c r="T51" t="s">
        <v>13</v>
      </c>
      <c r="U51" t="s">
        <v>11859</v>
      </c>
      <c r="V51" t="s">
        <v>11248</v>
      </c>
      <c r="W51" t="s">
        <v>8692</v>
      </c>
      <c r="X51">
        <v>1</v>
      </c>
      <c r="Y51">
        <v>0</v>
      </c>
      <c r="Z51"/>
      <c r="AB51" s="80">
        <f>ARTICULOS_HCLASVEGAS[[#This Row],[Costo]]*ARTICULOS_HCLASVEGAS[[#This Row],[Pedido]]</f>
        <v>0</v>
      </c>
      <c r="AD51"/>
      <c r="AH51" s="2" t="str">
        <f>IF(AND(ARTICULOS_HCLASVEGAS[[#This Row],[FechaVenc]]=0,ARTICULOS_HCLASVEGAS[[#This Row],[DiasVenc]]=0),"",ARTICULOS_HCLASVEGAS[[#This Row],[FechaVenc]]-ARTICULOS_HCLASVEGAS[[#This Row],[DiasVenc]])</f>
        <v/>
      </c>
      <c r="AK51"/>
      <c r="AM51"/>
      <c r="AO51" t="s">
        <v>8689</v>
      </c>
    </row>
    <row r="52" spans="1:41" x14ac:dyDescent="0.25">
      <c r="A52" s="1" t="s">
        <v>11251</v>
      </c>
      <c r="C52" t="str">
        <f t="shared" si="4"/>
        <v>BOD50003110</v>
      </c>
      <c r="D52" t="s">
        <v>8689</v>
      </c>
      <c r="E52" s="1" t="s">
        <v>11252</v>
      </c>
      <c r="F52" s="61">
        <v>1520</v>
      </c>
      <c r="G52" s="119">
        <v>0</v>
      </c>
      <c r="H52" s="4" t="s">
        <v>8690</v>
      </c>
      <c r="I52">
        <v>6</v>
      </c>
      <c r="J52">
        <v>1</v>
      </c>
      <c r="L52" s="65">
        <f>((ARTICULOS_HCLASVEGAS[[#This Row],[P. Compra]]*(1+ARTICULOS_HCLASVEGAS[[#This Row],[IVA]]))/ARTICULOS_HCLASVEGAS[[#This Row],[UnidFact]])+ARTICULOS_HCLASVEGAS[[#This Row],[CostoFlete]]</f>
        <v>1520</v>
      </c>
      <c r="M52">
        <v>30</v>
      </c>
      <c r="N52" s="63">
        <f t="shared" si="5"/>
        <v>2200</v>
      </c>
      <c r="O52" s="3">
        <f>MROUND((ARTICULOS_HCLASVEGAS[[#This Row],[Precio]]/0.6),50)</f>
        <v>3650</v>
      </c>
      <c r="P52" t="s">
        <v>8693</v>
      </c>
      <c r="Q52">
        <v>2</v>
      </c>
      <c r="R52" s="3">
        <f>ARTICULOS_HCLASVEGAS[[#This Row],[Bulto]]+ARTICULOS_HCLASVEGAS[[#This Row],[Minimo]]</f>
        <v>8</v>
      </c>
      <c r="S52" t="s">
        <v>23</v>
      </c>
      <c r="T52" t="s">
        <v>13</v>
      </c>
      <c r="U52" t="s">
        <v>11859</v>
      </c>
      <c r="V52" t="s">
        <v>11248</v>
      </c>
      <c r="W52" t="s">
        <v>8692</v>
      </c>
      <c r="X52">
        <v>1</v>
      </c>
      <c r="Y52">
        <v>0</v>
      </c>
      <c r="Z52"/>
      <c r="AB52" s="80">
        <f>ARTICULOS_HCLASVEGAS[[#This Row],[Costo]]*ARTICULOS_HCLASVEGAS[[#This Row],[Pedido]]</f>
        <v>0</v>
      </c>
      <c r="AD52"/>
      <c r="AH52" s="2" t="str">
        <f>IF(AND(ARTICULOS_HCLASVEGAS[[#This Row],[FechaVenc]]=0,ARTICULOS_HCLASVEGAS[[#This Row],[DiasVenc]]=0),"",ARTICULOS_HCLASVEGAS[[#This Row],[FechaVenc]]-ARTICULOS_HCLASVEGAS[[#This Row],[DiasVenc]])</f>
        <v/>
      </c>
      <c r="AK52"/>
      <c r="AM52"/>
      <c r="AO52" t="s">
        <v>8689</v>
      </c>
    </row>
    <row r="53" spans="1:41" x14ac:dyDescent="0.25">
      <c r="A53" s="1" t="s">
        <v>11238</v>
      </c>
      <c r="C53" t="str">
        <f t="shared" si="4"/>
        <v>BOD90101664</v>
      </c>
      <c r="D53" t="s">
        <v>8689</v>
      </c>
      <c r="E53" s="1" t="s">
        <v>11239</v>
      </c>
      <c r="F53" s="61">
        <v>4300</v>
      </c>
      <c r="G53" s="119">
        <v>0</v>
      </c>
      <c r="H53" s="4" t="s">
        <v>8690</v>
      </c>
      <c r="I53">
        <v>6</v>
      </c>
      <c r="J53">
        <v>1</v>
      </c>
      <c r="L53" s="65">
        <f>((ARTICULOS_HCLASVEGAS[[#This Row],[P. Compra]]*(1+ARTICULOS_HCLASVEGAS[[#This Row],[IVA]]))/ARTICULOS_HCLASVEGAS[[#This Row],[UnidFact]])+ARTICULOS_HCLASVEGAS[[#This Row],[CostoFlete]]</f>
        <v>4300</v>
      </c>
      <c r="M53">
        <v>30</v>
      </c>
      <c r="N53" s="63">
        <f t="shared" si="5"/>
        <v>6100</v>
      </c>
      <c r="O53" s="3">
        <f>MROUND((ARTICULOS_HCLASVEGAS[[#This Row],[Precio]]/0.6),50)</f>
        <v>10150</v>
      </c>
      <c r="P53" t="s">
        <v>8693</v>
      </c>
      <c r="Q53">
        <v>2</v>
      </c>
      <c r="R53" s="3">
        <f>ARTICULOS_HCLASVEGAS[[#This Row],[Bulto]]+ARTICULOS_HCLASVEGAS[[#This Row],[Minimo]]</f>
        <v>8</v>
      </c>
      <c r="S53" t="s">
        <v>23</v>
      </c>
      <c r="T53" t="s">
        <v>13</v>
      </c>
      <c r="U53" t="s">
        <v>11859</v>
      </c>
      <c r="V53" t="s">
        <v>11240</v>
      </c>
      <c r="W53" t="s">
        <v>8692</v>
      </c>
      <c r="X53">
        <v>1</v>
      </c>
      <c r="Y53">
        <v>1</v>
      </c>
      <c r="Z53"/>
      <c r="AB53" s="80">
        <f>ARTICULOS_HCLASVEGAS[[#This Row],[Costo]]*ARTICULOS_HCLASVEGAS[[#This Row],[Pedido]]</f>
        <v>0</v>
      </c>
      <c r="AD53"/>
      <c r="AH53" s="2" t="str">
        <f>IF(AND(ARTICULOS_HCLASVEGAS[[#This Row],[FechaVenc]]=0,ARTICULOS_HCLASVEGAS[[#This Row],[DiasVenc]]=0),"",ARTICULOS_HCLASVEGAS[[#This Row],[FechaVenc]]-ARTICULOS_HCLASVEGAS[[#This Row],[DiasVenc]])</f>
        <v/>
      </c>
      <c r="AK53"/>
      <c r="AM53"/>
      <c r="AO53" t="s">
        <v>8689</v>
      </c>
    </row>
    <row r="54" spans="1:41" x14ac:dyDescent="0.25">
      <c r="A54" s="1" t="s">
        <v>11241</v>
      </c>
      <c r="C54" t="str">
        <f t="shared" si="4"/>
        <v>BOD90101527</v>
      </c>
      <c r="D54" t="s">
        <v>8689</v>
      </c>
      <c r="E54" s="1" t="s">
        <v>11242</v>
      </c>
      <c r="F54" s="61">
        <v>4300</v>
      </c>
      <c r="G54" s="119">
        <v>0</v>
      </c>
      <c r="H54" s="4" t="s">
        <v>8690</v>
      </c>
      <c r="I54">
        <v>6</v>
      </c>
      <c r="J54">
        <v>1</v>
      </c>
      <c r="L54" s="65">
        <f>((ARTICULOS_HCLASVEGAS[[#This Row],[P. Compra]]*(1+ARTICULOS_HCLASVEGAS[[#This Row],[IVA]]))/ARTICULOS_HCLASVEGAS[[#This Row],[UnidFact]])+ARTICULOS_HCLASVEGAS[[#This Row],[CostoFlete]]</f>
        <v>4300</v>
      </c>
      <c r="M54">
        <v>30</v>
      </c>
      <c r="N54" s="63">
        <f t="shared" si="5"/>
        <v>6100</v>
      </c>
      <c r="O54" s="3">
        <f>MROUND((ARTICULOS_HCLASVEGAS[[#This Row],[Precio]]/0.6),50)</f>
        <v>10150</v>
      </c>
      <c r="P54" t="s">
        <v>8693</v>
      </c>
      <c r="Q54">
        <v>2</v>
      </c>
      <c r="R54" s="3">
        <f>ARTICULOS_HCLASVEGAS[[#This Row],[Bulto]]+ARTICULOS_HCLASVEGAS[[#This Row],[Minimo]]</f>
        <v>8</v>
      </c>
      <c r="S54" t="s">
        <v>23</v>
      </c>
      <c r="T54" t="s">
        <v>13</v>
      </c>
      <c r="U54" t="s">
        <v>11859</v>
      </c>
      <c r="V54" t="s">
        <v>11240</v>
      </c>
      <c r="W54" t="s">
        <v>8692</v>
      </c>
      <c r="X54">
        <v>1</v>
      </c>
      <c r="Y54">
        <v>0</v>
      </c>
      <c r="Z54"/>
      <c r="AB54" s="80">
        <f>ARTICULOS_HCLASVEGAS[[#This Row],[Costo]]*ARTICULOS_HCLASVEGAS[[#This Row],[Pedido]]</f>
        <v>0</v>
      </c>
      <c r="AD54"/>
      <c r="AH54" s="2" t="str">
        <f>IF(AND(ARTICULOS_HCLASVEGAS[[#This Row],[FechaVenc]]=0,ARTICULOS_HCLASVEGAS[[#This Row],[DiasVenc]]=0),"",ARTICULOS_HCLASVEGAS[[#This Row],[FechaVenc]]-ARTICULOS_HCLASVEGAS[[#This Row],[DiasVenc]])</f>
        <v/>
      </c>
      <c r="AK54"/>
      <c r="AM54"/>
      <c r="AO54" t="s">
        <v>8689</v>
      </c>
    </row>
    <row r="55" spans="1:41" x14ac:dyDescent="0.25">
      <c r="A55" s="1" t="s">
        <v>11243</v>
      </c>
      <c r="C55" t="str">
        <f t="shared" si="4"/>
        <v>BOD00000213</v>
      </c>
      <c r="D55" t="s">
        <v>8689</v>
      </c>
      <c r="E55" s="1" t="s">
        <v>11244</v>
      </c>
      <c r="F55" s="61">
        <v>6000</v>
      </c>
      <c r="G55" s="119">
        <v>0</v>
      </c>
      <c r="H55" s="4" t="s">
        <v>8690</v>
      </c>
      <c r="I55">
        <v>6</v>
      </c>
      <c r="J55">
        <v>1</v>
      </c>
      <c r="L55" s="65">
        <f>((ARTICULOS_HCLASVEGAS[[#This Row],[P. Compra]]*(1+ARTICULOS_HCLASVEGAS[[#This Row],[IVA]]))/ARTICULOS_HCLASVEGAS[[#This Row],[UnidFact]])+ARTICULOS_HCLASVEGAS[[#This Row],[CostoFlete]]</f>
        <v>6000</v>
      </c>
      <c r="M55">
        <v>30</v>
      </c>
      <c r="N55" s="63">
        <f t="shared" si="5"/>
        <v>8600</v>
      </c>
      <c r="O55" s="3">
        <f>MROUND((ARTICULOS_HCLASVEGAS[[#This Row],[Precio]]/0.6),50)</f>
        <v>14350</v>
      </c>
      <c r="P55" t="s">
        <v>8693</v>
      </c>
      <c r="Q55">
        <v>2</v>
      </c>
      <c r="R55" s="3">
        <f>ARTICULOS_HCLASVEGAS[[#This Row],[Bulto]]+ARTICULOS_HCLASVEGAS[[#This Row],[Minimo]]</f>
        <v>8</v>
      </c>
      <c r="S55" t="s">
        <v>23</v>
      </c>
      <c r="T55" t="s">
        <v>13</v>
      </c>
      <c r="U55" t="s">
        <v>11859</v>
      </c>
      <c r="V55" t="s">
        <v>11245</v>
      </c>
      <c r="W55" t="s">
        <v>8692</v>
      </c>
      <c r="X55">
        <v>1</v>
      </c>
      <c r="Y55">
        <v>3</v>
      </c>
      <c r="Z55"/>
      <c r="AB55" s="80">
        <f>ARTICULOS_HCLASVEGAS[[#This Row],[Costo]]*ARTICULOS_HCLASVEGAS[[#This Row],[Pedido]]</f>
        <v>0</v>
      </c>
      <c r="AD55"/>
      <c r="AH55" s="2" t="str">
        <f>IF(AND(ARTICULOS_HCLASVEGAS[[#This Row],[FechaVenc]]=0,ARTICULOS_HCLASVEGAS[[#This Row],[DiasVenc]]=0),"",ARTICULOS_HCLASVEGAS[[#This Row],[FechaVenc]]-ARTICULOS_HCLASVEGAS[[#This Row],[DiasVenc]])</f>
        <v/>
      </c>
      <c r="AK55"/>
      <c r="AM55"/>
      <c r="AO55" t="s">
        <v>8689</v>
      </c>
    </row>
    <row r="56" spans="1:41" x14ac:dyDescent="0.25">
      <c r="A56" s="1" t="s">
        <v>11253</v>
      </c>
      <c r="C56" t="str">
        <f t="shared" si="4"/>
        <v>BOD50001871</v>
      </c>
      <c r="D56" t="s">
        <v>8689</v>
      </c>
      <c r="E56" s="1" t="s">
        <v>11254</v>
      </c>
      <c r="F56" s="61">
        <v>5500</v>
      </c>
      <c r="G56" s="119">
        <v>0</v>
      </c>
      <c r="H56" s="4" t="s">
        <v>8690</v>
      </c>
      <c r="I56">
        <v>6</v>
      </c>
      <c r="J56">
        <v>1</v>
      </c>
      <c r="L56" s="65">
        <f>((ARTICULOS_HCLASVEGAS[[#This Row],[P. Compra]]*(1+ARTICULOS_HCLASVEGAS[[#This Row],[IVA]]))/ARTICULOS_HCLASVEGAS[[#This Row],[UnidFact]])+ARTICULOS_HCLASVEGAS[[#This Row],[CostoFlete]]</f>
        <v>5500</v>
      </c>
      <c r="M56">
        <v>30</v>
      </c>
      <c r="N56" s="63">
        <f t="shared" si="5"/>
        <v>7900</v>
      </c>
      <c r="O56" s="3">
        <f>MROUND((ARTICULOS_HCLASVEGAS[[#This Row],[Precio]]/0.6),50)</f>
        <v>13150</v>
      </c>
      <c r="P56" t="s">
        <v>8693</v>
      </c>
      <c r="Q56">
        <v>2</v>
      </c>
      <c r="R56" s="3">
        <f>ARTICULOS_HCLASVEGAS[[#This Row],[Bulto]]+ARTICULOS_HCLASVEGAS[[#This Row],[Minimo]]</f>
        <v>8</v>
      </c>
      <c r="S56" t="s">
        <v>23</v>
      </c>
      <c r="T56" t="s">
        <v>13</v>
      </c>
      <c r="U56" t="s">
        <v>11859</v>
      </c>
      <c r="V56" t="s">
        <v>11248</v>
      </c>
      <c r="W56" t="s">
        <v>8692</v>
      </c>
      <c r="X56">
        <v>1</v>
      </c>
      <c r="Y56">
        <v>0</v>
      </c>
      <c r="Z56"/>
      <c r="AB56" s="80">
        <f>ARTICULOS_HCLASVEGAS[[#This Row],[Costo]]*ARTICULOS_HCLASVEGAS[[#This Row],[Pedido]]</f>
        <v>0</v>
      </c>
      <c r="AD56"/>
      <c r="AH56" s="2" t="str">
        <f>IF(AND(ARTICULOS_HCLASVEGAS[[#This Row],[FechaVenc]]=0,ARTICULOS_HCLASVEGAS[[#This Row],[DiasVenc]]=0),"",ARTICULOS_HCLASVEGAS[[#This Row],[FechaVenc]]-ARTICULOS_HCLASVEGAS[[#This Row],[DiasVenc]])</f>
        <v/>
      </c>
      <c r="AK56"/>
      <c r="AM56"/>
      <c r="AO56" t="s">
        <v>8689</v>
      </c>
    </row>
    <row r="57" spans="1:41" x14ac:dyDescent="0.25">
      <c r="A57" s="1" t="s">
        <v>11255</v>
      </c>
      <c r="C57" t="str">
        <f t="shared" si="4"/>
        <v>BOD50001857</v>
      </c>
      <c r="D57" t="s">
        <v>8689</v>
      </c>
      <c r="E57" s="1" t="s">
        <v>11256</v>
      </c>
      <c r="F57" s="61">
        <v>5500</v>
      </c>
      <c r="G57" s="119">
        <v>0</v>
      </c>
      <c r="H57" s="4" t="s">
        <v>8690</v>
      </c>
      <c r="I57">
        <v>6</v>
      </c>
      <c r="J57">
        <v>1</v>
      </c>
      <c r="L57" s="65">
        <f>((ARTICULOS_HCLASVEGAS[[#This Row],[P. Compra]]*(1+ARTICULOS_HCLASVEGAS[[#This Row],[IVA]]))/ARTICULOS_HCLASVEGAS[[#This Row],[UnidFact]])+ARTICULOS_HCLASVEGAS[[#This Row],[CostoFlete]]</f>
        <v>5500</v>
      </c>
      <c r="M57">
        <v>30</v>
      </c>
      <c r="N57" s="63">
        <f t="shared" si="5"/>
        <v>7900</v>
      </c>
      <c r="O57" s="3">
        <f>MROUND((ARTICULOS_HCLASVEGAS[[#This Row],[Precio]]/0.6),50)</f>
        <v>13150</v>
      </c>
      <c r="P57" t="s">
        <v>8693</v>
      </c>
      <c r="Q57">
        <v>2</v>
      </c>
      <c r="R57" s="3">
        <f>ARTICULOS_HCLASVEGAS[[#This Row],[Bulto]]+ARTICULOS_HCLASVEGAS[[#This Row],[Minimo]]</f>
        <v>8</v>
      </c>
      <c r="S57" t="s">
        <v>23</v>
      </c>
      <c r="T57" t="s">
        <v>13</v>
      </c>
      <c r="U57" t="s">
        <v>11859</v>
      </c>
      <c r="V57" t="s">
        <v>11248</v>
      </c>
      <c r="W57" t="s">
        <v>8692</v>
      </c>
      <c r="X57">
        <v>1</v>
      </c>
      <c r="Y57">
        <v>2</v>
      </c>
      <c r="Z57"/>
      <c r="AB57" s="80">
        <f>ARTICULOS_HCLASVEGAS[[#This Row],[Costo]]*ARTICULOS_HCLASVEGAS[[#This Row],[Pedido]]</f>
        <v>0</v>
      </c>
      <c r="AD57"/>
      <c r="AH57" s="2" t="str">
        <f>IF(AND(ARTICULOS_HCLASVEGAS[[#This Row],[FechaVenc]]=0,ARTICULOS_HCLASVEGAS[[#This Row],[DiasVenc]]=0),"",ARTICULOS_HCLASVEGAS[[#This Row],[FechaVenc]]-ARTICULOS_HCLASVEGAS[[#This Row],[DiasVenc]])</f>
        <v/>
      </c>
      <c r="AK57"/>
      <c r="AM57"/>
      <c r="AO57" t="s">
        <v>8689</v>
      </c>
    </row>
    <row r="58" spans="1:41" x14ac:dyDescent="0.25">
      <c r="A58" s="1" t="s">
        <v>11257</v>
      </c>
      <c r="C58" t="str">
        <f t="shared" si="4"/>
        <v>BOD50001345</v>
      </c>
      <c r="D58" t="s">
        <v>8689</v>
      </c>
      <c r="E58" s="1" t="s">
        <v>11258</v>
      </c>
      <c r="F58" s="61">
        <v>4300</v>
      </c>
      <c r="G58" s="119">
        <v>0</v>
      </c>
      <c r="H58" s="4" t="s">
        <v>8690</v>
      </c>
      <c r="I58">
        <v>6</v>
      </c>
      <c r="J58">
        <v>1</v>
      </c>
      <c r="L58" s="65">
        <f>((ARTICULOS_HCLASVEGAS[[#This Row],[P. Compra]]*(1+ARTICULOS_HCLASVEGAS[[#This Row],[IVA]]))/ARTICULOS_HCLASVEGAS[[#This Row],[UnidFact]])+ARTICULOS_HCLASVEGAS[[#This Row],[CostoFlete]]</f>
        <v>4300</v>
      </c>
      <c r="M58">
        <v>30</v>
      </c>
      <c r="N58" s="63">
        <f t="shared" si="5"/>
        <v>6100</v>
      </c>
      <c r="O58" s="3">
        <f>MROUND((ARTICULOS_HCLASVEGAS[[#This Row],[Precio]]/0.6),50)</f>
        <v>10150</v>
      </c>
      <c r="P58" t="s">
        <v>8693</v>
      </c>
      <c r="Q58">
        <v>2</v>
      </c>
      <c r="R58" s="3">
        <f>ARTICULOS_HCLASVEGAS[[#This Row],[Bulto]]+ARTICULOS_HCLASVEGAS[[#This Row],[Minimo]]</f>
        <v>8</v>
      </c>
      <c r="S58" t="s">
        <v>23</v>
      </c>
      <c r="T58" t="s">
        <v>13</v>
      </c>
      <c r="U58" t="s">
        <v>11859</v>
      </c>
      <c r="V58" t="s">
        <v>11248</v>
      </c>
      <c r="W58" t="s">
        <v>8692</v>
      </c>
      <c r="X58">
        <v>1</v>
      </c>
      <c r="Y58">
        <v>2</v>
      </c>
      <c r="Z58"/>
      <c r="AB58" s="80">
        <f>ARTICULOS_HCLASVEGAS[[#This Row],[Costo]]*ARTICULOS_HCLASVEGAS[[#This Row],[Pedido]]</f>
        <v>0</v>
      </c>
      <c r="AD58"/>
      <c r="AH58" s="2" t="str">
        <f>IF(AND(ARTICULOS_HCLASVEGAS[[#This Row],[FechaVenc]]=0,ARTICULOS_HCLASVEGAS[[#This Row],[DiasVenc]]=0),"",ARTICULOS_HCLASVEGAS[[#This Row],[FechaVenc]]-ARTICULOS_HCLASVEGAS[[#This Row],[DiasVenc]])</f>
        <v/>
      </c>
      <c r="AK58"/>
      <c r="AM58"/>
      <c r="AO58" t="s">
        <v>8689</v>
      </c>
    </row>
    <row r="59" spans="1:41" x14ac:dyDescent="0.25">
      <c r="A59" s="1" t="s">
        <v>11259</v>
      </c>
      <c r="C59" t="str">
        <f t="shared" si="4"/>
        <v>BOD50002243</v>
      </c>
      <c r="D59" t="s">
        <v>8689</v>
      </c>
      <c r="E59" s="1" t="s">
        <v>11260</v>
      </c>
      <c r="F59" s="61">
        <v>5500</v>
      </c>
      <c r="G59" s="119">
        <v>0</v>
      </c>
      <c r="H59" s="4" t="s">
        <v>8690</v>
      </c>
      <c r="I59">
        <v>6</v>
      </c>
      <c r="J59">
        <v>1</v>
      </c>
      <c r="L59" s="65">
        <f>((ARTICULOS_HCLASVEGAS[[#This Row],[P. Compra]]*(1+ARTICULOS_HCLASVEGAS[[#This Row],[IVA]]))/ARTICULOS_HCLASVEGAS[[#This Row],[UnidFact]])+ARTICULOS_HCLASVEGAS[[#This Row],[CostoFlete]]</f>
        <v>5500</v>
      </c>
      <c r="M59">
        <v>30</v>
      </c>
      <c r="N59" s="63">
        <f t="shared" si="5"/>
        <v>7900</v>
      </c>
      <c r="O59" s="3">
        <f>MROUND((ARTICULOS_HCLASVEGAS[[#This Row],[Precio]]/0.6),50)</f>
        <v>13150</v>
      </c>
      <c r="P59" t="s">
        <v>8693</v>
      </c>
      <c r="Q59">
        <v>2</v>
      </c>
      <c r="R59" s="3">
        <f>ARTICULOS_HCLASVEGAS[[#This Row],[Bulto]]+ARTICULOS_HCLASVEGAS[[#This Row],[Minimo]]</f>
        <v>8</v>
      </c>
      <c r="S59" t="s">
        <v>23</v>
      </c>
      <c r="T59" t="s">
        <v>13</v>
      </c>
      <c r="U59" t="s">
        <v>11859</v>
      </c>
      <c r="V59" t="s">
        <v>11248</v>
      </c>
      <c r="W59" t="s">
        <v>8692</v>
      </c>
      <c r="X59">
        <v>1</v>
      </c>
      <c r="Y59">
        <v>4</v>
      </c>
      <c r="Z59"/>
      <c r="AB59" s="80">
        <f>ARTICULOS_HCLASVEGAS[[#This Row],[Costo]]*ARTICULOS_HCLASVEGAS[[#This Row],[Pedido]]</f>
        <v>0</v>
      </c>
      <c r="AD59"/>
      <c r="AH59" s="2" t="str">
        <f>IF(AND(ARTICULOS_HCLASVEGAS[[#This Row],[FechaVenc]]=0,ARTICULOS_HCLASVEGAS[[#This Row],[DiasVenc]]=0),"",ARTICULOS_HCLASVEGAS[[#This Row],[FechaVenc]]-ARTICULOS_HCLASVEGAS[[#This Row],[DiasVenc]])</f>
        <v/>
      </c>
      <c r="AK59"/>
      <c r="AM59"/>
      <c r="AO59" t="s">
        <v>8689</v>
      </c>
    </row>
  </sheetData>
  <phoneticPr fontId="23" type="noConversion"/>
  <conditionalFormatting sqref="A1">
    <cfRule type="duplicateValues" dxfId="222" priority="3"/>
  </conditionalFormatting>
  <conditionalFormatting sqref="A2:C1048576">
    <cfRule type="duplicateValues" dxfId="221" priority="497"/>
    <cfRule type="duplicateValues" dxfId="220" priority="498"/>
  </conditionalFormatting>
  <conditionalFormatting sqref="A58:C58">
    <cfRule type="duplicateValues" dxfId="219" priority="18"/>
    <cfRule type="duplicateValues" dxfId="218" priority="19"/>
  </conditionalFormatting>
  <conditionalFormatting sqref="C1">
    <cfRule type="duplicateValues" dxfId="217" priority="2"/>
  </conditionalFormatting>
  <conditionalFormatting sqref="F60:F1048576">
    <cfRule type="cellIs" dxfId="216" priority="14" operator="greaterThan">
      <formula>0</formula>
    </cfRule>
  </conditionalFormatting>
  <conditionalFormatting sqref="L1:L59">
    <cfRule type="cellIs" dxfId="215" priority="1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464721F-F157-4531-B622-1989B27B2471}">
          <x14:formula1>
            <xm:f>LISTAS!$E:$E</xm:f>
          </x14:formula1>
          <xm:sqref>AB60:AB1048576 U1:U59</xm:sqref>
        </x14:dataValidation>
        <x14:dataValidation type="list" allowBlank="1" showInputMessage="1" showErrorMessage="1" xr:uid="{60C33A48-7C73-4FF6-BCD4-AC2F43D2F5CB}">
          <x14:formula1>
            <xm:f>LISTAS!$A:$A</xm:f>
          </x14:formula1>
          <xm:sqref>S1:S59</xm:sqref>
        </x14:dataValidation>
        <x14:dataValidation type="list" allowBlank="1" showInputMessage="1" showErrorMessage="1" xr:uid="{08153DF6-8D93-4124-B4C9-58651EF71DC3}">
          <x14:formula1>
            <xm:f>LISTAS!$C:$C</xm:f>
          </x14:formula1>
          <xm:sqref>T2:T59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B856-3131-4AE4-B45B-E0FA9C101C7C}">
  <dimension ref="A1:AQ17"/>
  <sheetViews>
    <sheetView workbookViewId="0">
      <pane xSplit="5" topLeftCell="K1" activePane="topRight" state="frozen"/>
      <selection activeCell="AD34" sqref="AD34"/>
      <selection pane="topRight" activeCell="E13" sqref="E13"/>
    </sheetView>
  </sheetViews>
  <sheetFormatPr baseColWidth="10" defaultColWidth="11.42578125" defaultRowHeight="15.75" x14ac:dyDescent="0.25"/>
  <cols>
    <col min="1" max="1" width="14" style="1" bestFit="1" customWidth="1"/>
    <col min="2" max="2" width="7.5703125" style="1" customWidth="1"/>
    <col min="3" max="3" width="14.28515625" style="1" customWidth="1"/>
    <col min="4" max="4" width="7.42578125" customWidth="1"/>
    <col min="5" max="5" width="43.42578125" style="1" customWidth="1"/>
    <col min="6" max="6" width="13.85546875" style="15" bestFit="1" customWidth="1"/>
    <col min="7" max="7" width="7" style="120" bestFit="1" customWidth="1"/>
    <col min="8" max="8" width="5.140625" bestFit="1" customWidth="1"/>
    <col min="9" max="9" width="6.28515625" bestFit="1" customWidth="1"/>
    <col min="10" max="10" width="9.7109375" style="14" bestFit="1" customWidth="1"/>
    <col min="11" max="11" width="10.7109375" bestFit="1" customWidth="1"/>
    <col min="12" max="12" width="10.42578125" style="5" bestFit="1" customWidth="1"/>
    <col min="13" max="13" width="11.140625" bestFit="1" customWidth="1"/>
    <col min="16" max="16" width="17.7109375" bestFit="1" customWidth="1"/>
    <col min="19" max="19" width="8.85546875" bestFit="1" customWidth="1"/>
    <col min="24" max="24" width="9.7109375" style="3" bestFit="1" customWidth="1"/>
    <col min="25" max="25" width="10.28515625" style="3" bestFit="1" customWidth="1"/>
    <col min="26" max="26" width="10.7109375" style="3" bestFit="1" customWidth="1"/>
    <col min="27" max="27" width="12.5703125" bestFit="1" customWidth="1"/>
    <col min="28" max="28" width="8.85546875" bestFit="1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118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x14ac:dyDescent="0.25">
      <c r="A2" s="1" t="s">
        <v>10743</v>
      </c>
      <c r="C2" t="str">
        <f t="shared" ref="C2:C14" si="0">CONCATENATE(LEFT(T2,3),RIGHT(A2,8))</f>
        <v>BOD21000920</v>
      </c>
      <c r="D2" t="s">
        <v>8689</v>
      </c>
      <c r="E2" s="1" t="s">
        <v>10744</v>
      </c>
      <c r="F2" s="61">
        <v>908.33</v>
      </c>
      <c r="G2" s="119">
        <v>0</v>
      </c>
      <c r="H2" s="4" t="s">
        <v>8690</v>
      </c>
      <c r="I2">
        <v>12</v>
      </c>
      <c r="J2">
        <v>1</v>
      </c>
      <c r="L2" s="65">
        <f>((ARTICULOS_SPEED[[#This Row],[P. Compra]]*(1+ARTICULOS_SPEED[[#This Row],[IVA]]))/ARTICULOS_SPEED[[#This Row],[UnidFact]])+ARTICULOS_SPEED[[#This Row],[CostoFlete]]</f>
        <v>908.33</v>
      </c>
      <c r="M2">
        <v>35</v>
      </c>
      <c r="N2" s="63">
        <f t="shared" ref="N2:N17" si="1">IF(L2&gt;=5,MROUND(L2/(1-M2/100),100),100)</f>
        <v>1400</v>
      </c>
      <c r="O2" s="3">
        <f>MROUND((ARTICULOS_SPEED[[#This Row],[Precio]]/0.6),10)</f>
        <v>2330</v>
      </c>
      <c r="P2" t="s">
        <v>8693</v>
      </c>
      <c r="Q2">
        <v>3</v>
      </c>
      <c r="R2" s="3">
        <f>ARTICULOS_SPEED[[#This Row],[Bulto]]+ARTICULOS_SPEED[[#This Row],[Minimo]]</f>
        <v>15</v>
      </c>
      <c r="S2" t="s">
        <v>57</v>
      </c>
      <c r="T2" t="s">
        <v>13</v>
      </c>
      <c r="U2" t="s">
        <v>94</v>
      </c>
      <c r="V2" t="s">
        <v>10745</v>
      </c>
      <c r="W2" t="s">
        <v>8710</v>
      </c>
      <c r="X2">
        <v>1</v>
      </c>
      <c r="Y2" s="3">
        <v>9</v>
      </c>
      <c r="Z2"/>
      <c r="AB2" s="80">
        <f>ARTICULOS_SPEED[[#This Row],[Costo]]*ARTICULOS_SPEED[[#This Row],[Pedido]]</f>
        <v>0</v>
      </c>
      <c r="AF2" s="2"/>
      <c r="AH2" s="2" t="str">
        <f>IF(AND(ARTICULOS_SPEED[[#This Row],[FechaVenc]]=0,ARTICULOS_SPEED[[#This Row],[DiasVenc]]=0),"",ARTICULOS_SPEED[[#This Row],[FechaVenc]]-ARTICULOS_SPEED[[#This Row],[DiasVenc]])</f>
        <v/>
      </c>
      <c r="AO2" t="s">
        <v>8689</v>
      </c>
    </row>
    <row r="3" spans="1:43" x14ac:dyDescent="0.25">
      <c r="A3" s="1" t="s">
        <v>10746</v>
      </c>
      <c r="C3" t="str">
        <f t="shared" si="0"/>
        <v>BOD21000890</v>
      </c>
      <c r="D3" t="s">
        <v>8689</v>
      </c>
      <c r="E3" s="1" t="s">
        <v>10747</v>
      </c>
      <c r="F3" s="61">
        <v>786.6</v>
      </c>
      <c r="G3" s="119">
        <v>0</v>
      </c>
      <c r="H3" s="4" t="s">
        <v>8690</v>
      </c>
      <c r="I3">
        <v>12</v>
      </c>
      <c r="J3">
        <v>1</v>
      </c>
      <c r="L3" s="16">
        <f>((ARTICULOS_SPEED[[#This Row],[P. Compra]]*(1+ARTICULOS_SPEED[[#This Row],[IVA]]))/ARTICULOS_SPEED[[#This Row],[UnidFact]])+ARTICULOS_SPEED[[#This Row],[CostoFlete]]</f>
        <v>786.6</v>
      </c>
      <c r="M3">
        <v>35</v>
      </c>
      <c r="N3" s="63">
        <f t="shared" si="1"/>
        <v>1200</v>
      </c>
      <c r="O3" s="3">
        <f>MROUND((ARTICULOS_SPEED[[#This Row],[Precio]]/0.6),10)</f>
        <v>2000</v>
      </c>
      <c r="P3" t="s">
        <v>8693</v>
      </c>
      <c r="Q3">
        <v>3</v>
      </c>
      <c r="R3" s="3">
        <f>ARTICULOS_SPEED[[#This Row],[Bulto]]+ARTICULOS_SPEED[[#This Row],[Minimo]]</f>
        <v>15</v>
      </c>
      <c r="S3" t="s">
        <v>57</v>
      </c>
      <c r="T3" t="s">
        <v>13</v>
      </c>
      <c r="U3" t="s">
        <v>94</v>
      </c>
      <c r="V3" t="s">
        <v>10748</v>
      </c>
      <c r="W3" t="s">
        <v>8692</v>
      </c>
      <c r="X3">
        <v>1</v>
      </c>
      <c r="Y3" s="3">
        <v>8</v>
      </c>
      <c r="Z3"/>
      <c r="AB3" s="80">
        <f>ARTICULOS_SPEED[[#This Row],[Costo]]*ARTICULOS_SPEED[[#This Row],[Pedido]]</f>
        <v>0</v>
      </c>
      <c r="AH3" s="2" t="str">
        <f>IF(AND(ARTICULOS_SPEED[[#This Row],[FechaVenc]]=0,ARTICULOS_SPEED[[#This Row],[DiasVenc]]=0),"",ARTICULOS_SPEED[[#This Row],[FechaVenc]]-ARTICULOS_SPEED[[#This Row],[DiasVenc]])</f>
        <v/>
      </c>
      <c r="AO3" t="s">
        <v>8689</v>
      </c>
    </row>
    <row r="4" spans="1:43" x14ac:dyDescent="0.25">
      <c r="A4" s="1" t="s">
        <v>10749</v>
      </c>
      <c r="C4" t="str">
        <f t="shared" si="0"/>
        <v>BOD21000951</v>
      </c>
      <c r="D4" t="s">
        <v>8689</v>
      </c>
      <c r="E4" s="1" t="s">
        <v>10750</v>
      </c>
      <c r="F4" s="61">
        <f>F3</f>
        <v>786.6</v>
      </c>
      <c r="G4" s="119">
        <v>0</v>
      </c>
      <c r="H4" s="4" t="s">
        <v>8690</v>
      </c>
      <c r="I4">
        <v>12</v>
      </c>
      <c r="J4">
        <v>1</v>
      </c>
      <c r="L4" s="16">
        <f>((ARTICULOS_SPEED[[#This Row],[P. Compra]]*(1+ARTICULOS_SPEED[[#This Row],[IVA]]))/ARTICULOS_SPEED[[#This Row],[UnidFact]])+ARTICULOS_SPEED[[#This Row],[CostoFlete]]</f>
        <v>786.6</v>
      </c>
      <c r="M4">
        <v>35</v>
      </c>
      <c r="N4" s="63">
        <f t="shared" si="1"/>
        <v>1200</v>
      </c>
      <c r="O4" s="3">
        <f>MROUND((ARTICULOS_SPEED[[#This Row],[Precio]]/0.6),10)</f>
        <v>2000</v>
      </c>
      <c r="P4" t="s">
        <v>8693</v>
      </c>
      <c r="Q4">
        <v>3</v>
      </c>
      <c r="R4" s="3">
        <f>ARTICULOS_SPEED[[#This Row],[Bulto]]+ARTICULOS_SPEED[[#This Row],[Minimo]]</f>
        <v>15</v>
      </c>
      <c r="S4" t="s">
        <v>57</v>
      </c>
      <c r="T4" t="s">
        <v>13</v>
      </c>
      <c r="U4" t="s">
        <v>94</v>
      </c>
      <c r="V4" t="s">
        <v>10748</v>
      </c>
      <c r="W4" t="s">
        <v>8692</v>
      </c>
      <c r="X4">
        <v>1</v>
      </c>
      <c r="Y4" s="3">
        <v>5</v>
      </c>
      <c r="Z4"/>
      <c r="AB4" s="80">
        <f>ARTICULOS_SPEED[[#This Row],[Costo]]*ARTICULOS_SPEED[[#This Row],[Pedido]]</f>
        <v>0</v>
      </c>
      <c r="AH4" s="2" t="str">
        <f>IF(AND(ARTICULOS_SPEED[[#This Row],[FechaVenc]]=0,ARTICULOS_SPEED[[#This Row],[DiasVenc]]=0),"",ARTICULOS_SPEED[[#This Row],[FechaVenc]]-ARTICULOS_SPEED[[#This Row],[DiasVenc]])</f>
        <v/>
      </c>
      <c r="AO4" t="s">
        <v>8689</v>
      </c>
    </row>
    <row r="5" spans="1:43" x14ac:dyDescent="0.25">
      <c r="A5" s="1" t="s">
        <v>10751</v>
      </c>
      <c r="C5" t="str">
        <f t="shared" si="0"/>
        <v>BOD21000968</v>
      </c>
      <c r="D5" t="s">
        <v>8689</v>
      </c>
      <c r="E5" s="1" t="s">
        <v>10752</v>
      </c>
      <c r="F5" s="61">
        <f>F4</f>
        <v>786.6</v>
      </c>
      <c r="G5" s="119">
        <v>0</v>
      </c>
      <c r="H5" s="4" t="s">
        <v>8690</v>
      </c>
      <c r="I5">
        <v>12</v>
      </c>
      <c r="J5">
        <v>1</v>
      </c>
      <c r="L5" s="16">
        <f>((ARTICULOS_SPEED[[#This Row],[P. Compra]]*(1+ARTICULOS_SPEED[[#This Row],[IVA]]))/ARTICULOS_SPEED[[#This Row],[UnidFact]])+ARTICULOS_SPEED[[#This Row],[CostoFlete]]</f>
        <v>786.6</v>
      </c>
      <c r="M5">
        <v>35</v>
      </c>
      <c r="N5" s="63">
        <f t="shared" si="1"/>
        <v>1200</v>
      </c>
      <c r="O5" s="3">
        <f>MROUND((ARTICULOS_SPEED[[#This Row],[Precio]]/0.6),10)</f>
        <v>2000</v>
      </c>
      <c r="P5" t="s">
        <v>8693</v>
      </c>
      <c r="Q5">
        <v>3</v>
      </c>
      <c r="R5" s="3">
        <f>ARTICULOS_SPEED[[#This Row],[Bulto]]+ARTICULOS_SPEED[[#This Row],[Minimo]]</f>
        <v>15</v>
      </c>
      <c r="S5" t="s">
        <v>57</v>
      </c>
      <c r="T5" t="s">
        <v>13</v>
      </c>
      <c r="U5" t="s">
        <v>94</v>
      </c>
      <c r="V5" t="s">
        <v>10748</v>
      </c>
      <c r="W5" t="s">
        <v>8710</v>
      </c>
      <c r="X5">
        <v>1</v>
      </c>
      <c r="Y5" s="3">
        <v>4</v>
      </c>
      <c r="Z5"/>
      <c r="AB5" s="80">
        <f>ARTICULOS_SPEED[[#This Row],[Costo]]*ARTICULOS_SPEED[[#This Row],[Pedido]]</f>
        <v>0</v>
      </c>
      <c r="AH5" s="2" t="str">
        <f>IF(AND(ARTICULOS_SPEED[[#This Row],[FechaVenc]]=0,ARTICULOS_SPEED[[#This Row],[DiasVenc]]=0),"",ARTICULOS_SPEED[[#This Row],[FechaVenc]]-ARTICULOS_SPEED[[#This Row],[DiasVenc]])</f>
        <v/>
      </c>
      <c r="AO5" t="s">
        <v>8689</v>
      </c>
    </row>
    <row r="6" spans="1:43" x14ac:dyDescent="0.25">
      <c r="A6" s="1" t="s">
        <v>11417</v>
      </c>
      <c r="C6" t="str">
        <f t="shared" si="0"/>
        <v>BOD35763268</v>
      </c>
      <c r="D6" t="s">
        <v>8689</v>
      </c>
      <c r="E6" s="1" t="s">
        <v>11418</v>
      </c>
      <c r="F6" s="61">
        <v>1650</v>
      </c>
      <c r="G6" s="119">
        <v>0</v>
      </c>
      <c r="H6" s="4" t="s">
        <v>8690</v>
      </c>
      <c r="I6">
        <v>12</v>
      </c>
      <c r="J6">
        <v>1</v>
      </c>
      <c r="L6" s="16">
        <f>((ARTICULOS_SPEED[[#This Row],[P. Compra]]*(1+ARTICULOS_SPEED[[#This Row],[IVA]]))/ARTICULOS_SPEED[[#This Row],[UnidFact]])+ARTICULOS_SPEED[[#This Row],[CostoFlete]]</f>
        <v>1650</v>
      </c>
      <c r="M6">
        <v>35</v>
      </c>
      <c r="N6" s="63">
        <f t="shared" si="1"/>
        <v>2500</v>
      </c>
      <c r="O6" s="3">
        <f>MROUND((ARTICULOS_SPEED[[#This Row],[Precio]]/0.6),10)</f>
        <v>4170</v>
      </c>
      <c r="P6" t="s">
        <v>8693</v>
      </c>
      <c r="Q6">
        <v>3</v>
      </c>
      <c r="R6" s="3">
        <f>ARTICULOS_SPEED[[#This Row],[Bulto]]+ARTICULOS_SPEED[[#This Row],[Minimo]]</f>
        <v>15</v>
      </c>
      <c r="S6" t="s">
        <v>57</v>
      </c>
      <c r="T6" t="s">
        <v>13</v>
      </c>
      <c r="U6" t="s">
        <v>104</v>
      </c>
      <c r="V6" t="s">
        <v>10748</v>
      </c>
      <c r="W6" t="s">
        <v>8710</v>
      </c>
      <c r="X6">
        <v>1</v>
      </c>
      <c r="Y6" s="3">
        <v>5</v>
      </c>
      <c r="Z6"/>
      <c r="AB6" s="80">
        <f>ARTICULOS_SPEED[[#This Row],[Costo]]*ARTICULOS_SPEED[[#This Row],[Pedido]]</f>
        <v>0</v>
      </c>
      <c r="AH6" s="2" t="str">
        <f>IF(AND(ARTICULOS_SPEED[[#This Row],[FechaVenc]]=0,ARTICULOS_SPEED[[#This Row],[DiasVenc]]=0),"",ARTICULOS_SPEED[[#This Row],[FechaVenc]]-ARTICULOS_SPEED[[#This Row],[DiasVenc]])</f>
        <v/>
      </c>
      <c r="AO6" t="s">
        <v>8689</v>
      </c>
    </row>
    <row r="7" spans="1:43" x14ac:dyDescent="0.25">
      <c r="A7" s="1" t="s">
        <v>11419</v>
      </c>
      <c r="C7" t="str">
        <f t="shared" si="0"/>
        <v>BOD35762919</v>
      </c>
      <c r="D7" t="s">
        <v>8689</v>
      </c>
      <c r="E7" s="1" t="s">
        <v>11420</v>
      </c>
      <c r="F7" s="61">
        <v>2160</v>
      </c>
      <c r="G7" s="119">
        <v>0</v>
      </c>
      <c r="H7" s="4" t="s">
        <v>8690</v>
      </c>
      <c r="I7">
        <v>12</v>
      </c>
      <c r="J7">
        <v>1</v>
      </c>
      <c r="L7" s="16">
        <f>((ARTICULOS_SPEED[[#This Row],[P. Compra]]*(1+ARTICULOS_SPEED[[#This Row],[IVA]]))/ARTICULOS_SPEED[[#This Row],[UnidFact]])+ARTICULOS_SPEED[[#This Row],[CostoFlete]]</f>
        <v>2160</v>
      </c>
      <c r="M7">
        <v>35</v>
      </c>
      <c r="N7" s="63">
        <f t="shared" si="1"/>
        <v>3300</v>
      </c>
      <c r="O7" s="3">
        <f>MROUND((ARTICULOS_SPEED[[#This Row],[Precio]]/0.6),10)</f>
        <v>5500</v>
      </c>
      <c r="P7" t="s">
        <v>8693</v>
      </c>
      <c r="Q7">
        <v>3</v>
      </c>
      <c r="R7" s="3">
        <f>ARTICULOS_SPEED[[#This Row],[Bulto]]+ARTICULOS_SPEED[[#This Row],[Minimo]]</f>
        <v>15</v>
      </c>
      <c r="S7" t="s">
        <v>57</v>
      </c>
      <c r="T7" t="s">
        <v>13</v>
      </c>
      <c r="U7" t="s">
        <v>94</v>
      </c>
      <c r="V7" t="s">
        <v>10748</v>
      </c>
      <c r="W7" t="s">
        <v>8710</v>
      </c>
      <c r="X7">
        <v>1</v>
      </c>
      <c r="Y7" s="3">
        <v>1</v>
      </c>
      <c r="Z7"/>
      <c r="AB7" s="80">
        <f>ARTICULOS_SPEED[[#This Row],[Costo]]*ARTICULOS_SPEED[[#This Row],[Pedido]]</f>
        <v>0</v>
      </c>
      <c r="AH7" s="2" t="str">
        <f>IF(AND(ARTICULOS_SPEED[[#This Row],[FechaVenc]]=0,ARTICULOS_SPEED[[#This Row],[DiasVenc]]=0),"",ARTICULOS_SPEED[[#This Row],[FechaVenc]]-ARTICULOS_SPEED[[#This Row],[DiasVenc]])</f>
        <v/>
      </c>
      <c r="AO7" t="s">
        <v>8689</v>
      </c>
    </row>
    <row r="8" spans="1:43" x14ac:dyDescent="0.25">
      <c r="A8" s="1" t="s">
        <v>11421</v>
      </c>
      <c r="C8" t="str">
        <f t="shared" si="0"/>
        <v>BOD35763084</v>
      </c>
      <c r="D8" t="s">
        <v>8689</v>
      </c>
      <c r="E8" s="1" t="s">
        <v>11422</v>
      </c>
      <c r="F8" s="61">
        <v>2166.66</v>
      </c>
      <c r="G8" s="119">
        <v>0</v>
      </c>
      <c r="H8" s="4" t="s">
        <v>8690</v>
      </c>
      <c r="I8">
        <v>12</v>
      </c>
      <c r="J8">
        <v>1</v>
      </c>
      <c r="L8" s="16">
        <f>((ARTICULOS_SPEED[[#This Row],[P. Compra]]*(1+ARTICULOS_SPEED[[#This Row],[IVA]]))/ARTICULOS_SPEED[[#This Row],[UnidFact]])+ARTICULOS_SPEED[[#This Row],[CostoFlete]]</f>
        <v>2166.66</v>
      </c>
      <c r="M8">
        <v>35</v>
      </c>
      <c r="N8" s="63">
        <f t="shared" si="1"/>
        <v>3300</v>
      </c>
      <c r="O8" s="3">
        <f>MROUND((ARTICULOS_SPEED[[#This Row],[Precio]]/0.6),10)</f>
        <v>5500</v>
      </c>
      <c r="P8" t="s">
        <v>8693</v>
      </c>
      <c r="Q8">
        <v>3</v>
      </c>
      <c r="R8" s="3">
        <f>ARTICULOS_SPEED[[#This Row],[Bulto]]+ARTICULOS_SPEED[[#This Row],[Minimo]]</f>
        <v>15</v>
      </c>
      <c r="S8" t="s">
        <v>57</v>
      </c>
      <c r="T8" t="s">
        <v>13</v>
      </c>
      <c r="U8" t="s">
        <v>94</v>
      </c>
      <c r="V8" t="s">
        <v>10748</v>
      </c>
      <c r="W8" t="s">
        <v>8710</v>
      </c>
      <c r="X8">
        <v>1</v>
      </c>
      <c r="Y8" s="3">
        <v>0</v>
      </c>
      <c r="Z8"/>
      <c r="AB8" s="80">
        <f>ARTICULOS_SPEED[[#This Row],[Costo]]*ARTICULOS_SPEED[[#This Row],[Pedido]]</f>
        <v>0</v>
      </c>
      <c r="AH8" s="2" t="str">
        <f>IF(AND(ARTICULOS_SPEED[[#This Row],[FechaVenc]]=0,ARTICULOS_SPEED[[#This Row],[DiasVenc]]=0),"",ARTICULOS_SPEED[[#This Row],[FechaVenc]]-ARTICULOS_SPEED[[#This Row],[DiasVenc]])</f>
        <v/>
      </c>
      <c r="AO8" t="s">
        <v>8689</v>
      </c>
    </row>
    <row r="9" spans="1:43" x14ac:dyDescent="0.25">
      <c r="A9" s="24" t="s">
        <v>11836</v>
      </c>
      <c r="C9" t="str">
        <f t="shared" ref="C9:C10" si="2">CONCATENATE(LEFT(T9,3),RIGHT(A9,8))</f>
        <v>BOD21000555</v>
      </c>
      <c r="D9" t="s">
        <v>8689</v>
      </c>
      <c r="E9" s="24" t="s">
        <v>11833</v>
      </c>
      <c r="F9" s="61">
        <v>2166.66</v>
      </c>
      <c r="G9" s="119">
        <v>0</v>
      </c>
      <c r="H9" s="4" t="s">
        <v>8690</v>
      </c>
      <c r="I9">
        <v>12</v>
      </c>
      <c r="J9">
        <v>1</v>
      </c>
      <c r="L9" s="16">
        <f>((ARTICULOS_SPEED[[#This Row],[P. Compra]]*(1+ARTICULOS_SPEED[[#This Row],[IVA]]))/ARTICULOS_SPEED[[#This Row],[UnidFact]])+ARTICULOS_SPEED[[#This Row],[CostoFlete]]</f>
        <v>2166.66</v>
      </c>
      <c r="M9">
        <v>35</v>
      </c>
      <c r="N9" s="63">
        <f t="shared" si="1"/>
        <v>3300</v>
      </c>
      <c r="O9" s="3">
        <f>MROUND((ARTICULOS_SPEED[[#This Row],[Precio]]/0.6),10)</f>
        <v>5500</v>
      </c>
      <c r="P9" t="s">
        <v>8693</v>
      </c>
      <c r="Q9">
        <v>3</v>
      </c>
      <c r="R9" s="3">
        <f>ARTICULOS_SPEED[[#This Row],[Bulto]]+ARTICULOS_SPEED[[#This Row],[Minimo]]</f>
        <v>15</v>
      </c>
      <c r="S9" t="s">
        <v>57</v>
      </c>
      <c r="T9" t="s">
        <v>13</v>
      </c>
      <c r="U9" t="s">
        <v>94</v>
      </c>
      <c r="V9" t="s">
        <v>10748</v>
      </c>
      <c r="W9" t="s">
        <v>8710</v>
      </c>
      <c r="X9">
        <v>1</v>
      </c>
      <c r="Y9" s="3">
        <v>5</v>
      </c>
      <c r="Z9"/>
      <c r="AB9" s="80">
        <f>ARTICULOS_SPEED[[#This Row],[Costo]]*ARTICULOS_SPEED[[#This Row],[Pedido]]</f>
        <v>0</v>
      </c>
      <c r="AH9" s="2" t="str">
        <f>IF(AND(ARTICULOS_SPEED[[#This Row],[FechaVenc]]=0,ARTICULOS_SPEED[[#This Row],[DiasVenc]]=0),"",ARTICULOS_SPEED[[#This Row],[FechaVenc]]-ARTICULOS_SPEED[[#This Row],[DiasVenc]])</f>
        <v/>
      </c>
      <c r="AO9" t="s">
        <v>8689</v>
      </c>
    </row>
    <row r="10" spans="1:43" x14ac:dyDescent="0.25">
      <c r="A10" s="24" t="s">
        <v>11835</v>
      </c>
      <c r="C10" t="str">
        <f t="shared" si="2"/>
        <v>BOD21001569</v>
      </c>
      <c r="D10" t="s">
        <v>8689</v>
      </c>
      <c r="E10" s="24" t="s">
        <v>11834</v>
      </c>
      <c r="F10" s="61">
        <v>2166.66</v>
      </c>
      <c r="G10" s="119">
        <v>0</v>
      </c>
      <c r="H10" s="4" t="s">
        <v>8690</v>
      </c>
      <c r="I10">
        <v>12</v>
      </c>
      <c r="J10">
        <v>1</v>
      </c>
      <c r="L10" s="16">
        <f>((ARTICULOS_SPEED[[#This Row],[P. Compra]]*(1+ARTICULOS_SPEED[[#This Row],[IVA]]))/ARTICULOS_SPEED[[#This Row],[UnidFact]])+ARTICULOS_SPEED[[#This Row],[CostoFlete]]</f>
        <v>2166.66</v>
      </c>
      <c r="M10">
        <v>35</v>
      </c>
      <c r="N10" s="63">
        <f t="shared" si="1"/>
        <v>3300</v>
      </c>
      <c r="O10" s="3">
        <f>MROUND((ARTICULOS_SPEED[[#This Row],[Precio]]/0.6),10)</f>
        <v>5500</v>
      </c>
      <c r="P10" t="s">
        <v>8693</v>
      </c>
      <c r="Q10">
        <v>3</v>
      </c>
      <c r="R10" s="3">
        <f>ARTICULOS_SPEED[[#This Row],[Bulto]]+ARTICULOS_SPEED[[#This Row],[Minimo]]</f>
        <v>15</v>
      </c>
      <c r="S10" t="s">
        <v>57</v>
      </c>
      <c r="T10" t="s">
        <v>13</v>
      </c>
      <c r="U10" t="s">
        <v>94</v>
      </c>
      <c r="V10" t="s">
        <v>10748</v>
      </c>
      <c r="W10" t="s">
        <v>8710</v>
      </c>
      <c r="X10">
        <v>1</v>
      </c>
      <c r="Y10" s="3">
        <v>6</v>
      </c>
      <c r="Z10"/>
      <c r="AB10" s="80">
        <f>ARTICULOS_SPEED[[#This Row],[Costo]]*ARTICULOS_SPEED[[#This Row],[Pedido]]</f>
        <v>0</v>
      </c>
      <c r="AH10" s="2" t="str">
        <f>IF(AND(ARTICULOS_SPEED[[#This Row],[FechaVenc]]=0,ARTICULOS_SPEED[[#This Row],[DiasVenc]]=0),"",ARTICULOS_SPEED[[#This Row],[FechaVenc]]-ARTICULOS_SPEED[[#This Row],[DiasVenc]])</f>
        <v/>
      </c>
      <c r="AO10" t="s">
        <v>8689</v>
      </c>
    </row>
    <row r="11" spans="1:43" x14ac:dyDescent="0.25">
      <c r="A11" s="1" t="s">
        <v>10753</v>
      </c>
      <c r="C11" t="str">
        <f t="shared" si="0"/>
        <v>BEB19220206</v>
      </c>
      <c r="D11" t="s">
        <v>8689</v>
      </c>
      <c r="E11" s="1" t="s">
        <v>10754</v>
      </c>
      <c r="F11" s="61">
        <v>923.33</v>
      </c>
      <c r="G11" s="119">
        <v>0</v>
      </c>
      <c r="H11" s="4" t="s">
        <v>8690</v>
      </c>
      <c r="I11">
        <v>12</v>
      </c>
      <c r="J11">
        <v>1</v>
      </c>
      <c r="L11" s="16">
        <f>((ARTICULOS_SPEED[[#This Row],[P. Compra]]*(1+ARTICULOS_SPEED[[#This Row],[IVA]]))/ARTICULOS_SPEED[[#This Row],[UnidFact]])+ARTICULOS_SPEED[[#This Row],[CostoFlete]]</f>
        <v>923.33</v>
      </c>
      <c r="M11">
        <v>35</v>
      </c>
      <c r="N11" s="63">
        <f t="shared" si="1"/>
        <v>1400</v>
      </c>
      <c r="O11" s="3">
        <f>MROUND((ARTICULOS_SPEED[[#This Row],[Precio]]/0.6),10)</f>
        <v>2330</v>
      </c>
      <c r="P11" t="s">
        <v>8693</v>
      </c>
      <c r="Q11">
        <v>6</v>
      </c>
      <c r="R11" s="3">
        <f>ARTICULOS_SPEED[[#This Row],[Bulto]]+ARTICULOS_SPEED[[#This Row],[Minimo]]</f>
        <v>18</v>
      </c>
      <c r="S11" t="s">
        <v>57</v>
      </c>
      <c r="T11" t="s">
        <v>10</v>
      </c>
      <c r="U11" t="s">
        <v>54</v>
      </c>
      <c r="V11" t="s">
        <v>9100</v>
      </c>
      <c r="W11" t="s">
        <v>8692</v>
      </c>
      <c r="X11">
        <v>1</v>
      </c>
      <c r="Y11" s="3">
        <v>0</v>
      </c>
      <c r="Z11"/>
      <c r="AB11" s="80">
        <f>ARTICULOS_SPEED[[#This Row],[Costo]]*ARTICULOS_SPEED[[#This Row],[Pedido]]</f>
        <v>0</v>
      </c>
      <c r="AH11" s="2" t="str">
        <f>IF(AND(ARTICULOS_SPEED[[#This Row],[FechaVenc]]=0,ARTICULOS_SPEED[[#This Row],[DiasVenc]]=0),"",ARTICULOS_SPEED[[#This Row],[FechaVenc]]-ARTICULOS_SPEED[[#This Row],[DiasVenc]])</f>
        <v/>
      </c>
      <c r="AO11" t="s">
        <v>8689</v>
      </c>
    </row>
    <row r="12" spans="1:43" x14ac:dyDescent="0.25">
      <c r="A12" s="24" t="s">
        <v>10755</v>
      </c>
      <c r="C12" t="str">
        <f t="shared" si="0"/>
        <v>BEB19220299</v>
      </c>
      <c r="D12" t="s">
        <v>8689</v>
      </c>
      <c r="E12" s="1" t="s">
        <v>10756</v>
      </c>
      <c r="F12" s="61">
        <v>666.66</v>
      </c>
      <c r="G12" s="119">
        <v>0</v>
      </c>
      <c r="H12" s="4" t="s">
        <v>8690</v>
      </c>
      <c r="I12">
        <v>24</v>
      </c>
      <c r="J12">
        <v>1</v>
      </c>
      <c r="L12" s="16">
        <f>((ARTICULOS_SPEED[[#This Row],[P. Compra]]*(1+ARTICULOS_SPEED[[#This Row],[IVA]]))/ARTICULOS_SPEED[[#This Row],[UnidFact]])+ARTICULOS_SPEED[[#This Row],[CostoFlete]]</f>
        <v>666.66</v>
      </c>
      <c r="M12">
        <v>35</v>
      </c>
      <c r="N12" s="63">
        <f t="shared" si="1"/>
        <v>1000</v>
      </c>
      <c r="O12" s="3">
        <f>MROUND((ARTICULOS_SPEED[[#This Row],[Precio]]/0.6),10)</f>
        <v>1670</v>
      </c>
      <c r="P12" t="s">
        <v>8693</v>
      </c>
      <c r="Q12">
        <v>6</v>
      </c>
      <c r="R12" s="3">
        <f>ARTICULOS_SPEED[[#This Row],[Bulto]]+ARTICULOS_SPEED[[#This Row],[Minimo]]</f>
        <v>30</v>
      </c>
      <c r="S12" t="s">
        <v>57</v>
      </c>
      <c r="T12" t="s">
        <v>10</v>
      </c>
      <c r="U12" t="s">
        <v>54</v>
      </c>
      <c r="V12" t="s">
        <v>57</v>
      </c>
      <c r="W12" t="s">
        <v>8692</v>
      </c>
      <c r="X12">
        <v>1</v>
      </c>
      <c r="Y12" s="3">
        <v>26</v>
      </c>
      <c r="Z12"/>
      <c r="AB12" s="80">
        <f>ARTICULOS_SPEED[[#This Row],[Costo]]*ARTICULOS_SPEED[[#This Row],[Pedido]]</f>
        <v>0</v>
      </c>
      <c r="AH12" s="2" t="str">
        <f>IF(AND(ARTICULOS_SPEED[[#This Row],[FechaVenc]]=0,ARTICULOS_SPEED[[#This Row],[DiasVenc]]=0),"",ARTICULOS_SPEED[[#This Row],[FechaVenc]]-ARTICULOS_SPEED[[#This Row],[DiasVenc]])</f>
        <v/>
      </c>
      <c r="AO12" t="s">
        <v>8689</v>
      </c>
    </row>
    <row r="13" spans="1:43" x14ac:dyDescent="0.25">
      <c r="A13" s="1" t="s">
        <v>10757</v>
      </c>
      <c r="C13" t="str">
        <f t="shared" si="0"/>
        <v>BEB19220183</v>
      </c>
      <c r="D13" t="s">
        <v>8689</v>
      </c>
      <c r="E13" s="1" t="s">
        <v>10758</v>
      </c>
      <c r="F13" s="61">
        <v>1016.66</v>
      </c>
      <c r="G13" s="119">
        <v>0</v>
      </c>
      <c r="H13" s="4" t="s">
        <v>8690</v>
      </c>
      <c r="I13">
        <v>12</v>
      </c>
      <c r="J13">
        <v>1</v>
      </c>
      <c r="L13" s="16">
        <f>((ARTICULOS_SPEED[[#This Row],[P. Compra]]*(1+ARTICULOS_SPEED[[#This Row],[IVA]]))/ARTICULOS_SPEED[[#This Row],[UnidFact]])+ARTICULOS_SPEED[[#This Row],[CostoFlete]]</f>
        <v>1016.66</v>
      </c>
      <c r="M13">
        <v>35</v>
      </c>
      <c r="N13" s="63">
        <f t="shared" si="1"/>
        <v>1600</v>
      </c>
      <c r="O13" s="3">
        <f>MROUND((ARTICULOS_SPEED[[#This Row],[Precio]]/0.6),10)</f>
        <v>2670</v>
      </c>
      <c r="P13" t="s">
        <v>8693</v>
      </c>
      <c r="Q13">
        <v>6</v>
      </c>
      <c r="R13" s="3">
        <f>ARTICULOS_SPEED[[#This Row],[Bulto]]+ARTICULOS_SPEED[[#This Row],[Minimo]]</f>
        <v>18</v>
      </c>
      <c r="S13" t="s">
        <v>57</v>
      </c>
      <c r="T13" t="s">
        <v>10</v>
      </c>
      <c r="U13" t="s">
        <v>54</v>
      </c>
      <c r="V13" t="s">
        <v>57</v>
      </c>
      <c r="W13" t="s">
        <v>8692</v>
      </c>
      <c r="X13">
        <v>1</v>
      </c>
      <c r="Y13" s="3">
        <v>16</v>
      </c>
      <c r="Z13"/>
      <c r="AB13" s="80">
        <f>ARTICULOS_SPEED[[#This Row],[Costo]]*ARTICULOS_SPEED[[#This Row],[Pedido]]</f>
        <v>0</v>
      </c>
      <c r="AH13" s="2" t="str">
        <f>IF(AND(ARTICULOS_SPEED[[#This Row],[FechaVenc]]=0,ARTICULOS_SPEED[[#This Row],[DiasVenc]]=0),"",ARTICULOS_SPEED[[#This Row],[FechaVenc]]-ARTICULOS_SPEED[[#This Row],[DiasVenc]])</f>
        <v/>
      </c>
      <c r="AO13" t="s">
        <v>8689</v>
      </c>
    </row>
    <row r="14" spans="1:43" x14ac:dyDescent="0.25">
      <c r="A14" s="1" t="s">
        <v>10759</v>
      </c>
      <c r="C14" t="str">
        <f t="shared" si="0"/>
        <v>BEB19220381</v>
      </c>
      <c r="D14" t="s">
        <v>8689</v>
      </c>
      <c r="E14" s="1" t="s">
        <v>10760</v>
      </c>
      <c r="F14" s="61">
        <f>F13</f>
        <v>1016.66</v>
      </c>
      <c r="G14" s="119">
        <v>0</v>
      </c>
      <c r="H14" s="4" t="s">
        <v>8690</v>
      </c>
      <c r="I14">
        <v>12</v>
      </c>
      <c r="J14">
        <v>1</v>
      </c>
      <c r="L14" s="16">
        <f>((ARTICULOS_SPEED[[#This Row],[P. Compra]]*(1+ARTICULOS_SPEED[[#This Row],[IVA]]))/ARTICULOS_SPEED[[#This Row],[UnidFact]])+ARTICULOS_SPEED[[#This Row],[CostoFlete]]</f>
        <v>1016.66</v>
      </c>
      <c r="M14">
        <v>35</v>
      </c>
      <c r="N14" s="63">
        <f t="shared" si="1"/>
        <v>1600</v>
      </c>
      <c r="O14" s="3">
        <f>MROUND((ARTICULOS_SPEED[[#This Row],[Precio]]/0.6),10)</f>
        <v>2670</v>
      </c>
      <c r="P14" t="s">
        <v>8693</v>
      </c>
      <c r="Q14">
        <v>6</v>
      </c>
      <c r="R14" s="23">
        <f>ARTICULOS_SPEED[[#This Row],[Bulto]]+ARTICULOS_SPEED[[#This Row],[Minimo]]</f>
        <v>18</v>
      </c>
      <c r="S14" t="s">
        <v>57</v>
      </c>
      <c r="T14" t="s">
        <v>10</v>
      </c>
      <c r="U14" t="s">
        <v>54</v>
      </c>
      <c r="V14" t="s">
        <v>57</v>
      </c>
      <c r="W14" t="s">
        <v>8692</v>
      </c>
      <c r="X14">
        <v>1</v>
      </c>
      <c r="Y14" s="23">
        <v>7</v>
      </c>
      <c r="Z14"/>
      <c r="AB14" s="80">
        <f>ARTICULOS_SPEED[[#This Row],[Costo]]*ARTICULOS_SPEED[[#This Row],[Pedido]]</f>
        <v>0</v>
      </c>
      <c r="AH14" s="2" t="str">
        <f>IF(AND(ARTICULOS_SPEED[[#This Row],[FechaVenc]]=0,ARTICULOS_SPEED[[#This Row],[DiasVenc]]=0),"",ARTICULOS_SPEED[[#This Row],[FechaVenc]]-ARTICULOS_SPEED[[#This Row],[DiasVenc]])</f>
        <v/>
      </c>
      <c r="AO14" t="s">
        <v>8689</v>
      </c>
    </row>
    <row r="15" spans="1:43" x14ac:dyDescent="0.25">
      <c r="A15" s="24" t="s">
        <v>12634</v>
      </c>
      <c r="C15" t="str">
        <f>CONCATENATE(LEFT(T15,3),RIGHT(A15,8))</f>
        <v>PER58658047</v>
      </c>
      <c r="D15" t="s">
        <v>8689</v>
      </c>
      <c r="E15" s="1" t="s">
        <v>12065</v>
      </c>
      <c r="F15" s="61">
        <v>9000</v>
      </c>
      <c r="G15" s="119">
        <v>0</v>
      </c>
      <c r="H15" s="4" t="s">
        <v>8690</v>
      </c>
      <c r="I15">
        <v>12</v>
      </c>
      <c r="J15">
        <v>12</v>
      </c>
      <c r="L15" s="16">
        <f>((ARTICULOS_SPEED[[#This Row],[P. Compra]]*(1+ARTICULOS_SPEED[[#This Row],[IVA]]))/ARTICULOS_SPEED[[#This Row],[UnidFact]])+ARTICULOS_SPEED[[#This Row],[CostoFlete]]</f>
        <v>750</v>
      </c>
      <c r="M15">
        <v>35</v>
      </c>
      <c r="N15" s="63">
        <f t="shared" si="1"/>
        <v>1200</v>
      </c>
      <c r="O15" s="7">
        <f>MROUND((ARTICULOS_SPEED[[#This Row],[Precio]]/0.6),10)</f>
        <v>2000</v>
      </c>
      <c r="P15" t="s">
        <v>8693</v>
      </c>
      <c r="Q15">
        <v>3</v>
      </c>
      <c r="R15" s="23">
        <f>ARTICULOS_SPEED[[#This Row],[Bulto]]+ARTICULOS_SPEED[[#This Row],[Minimo]]</f>
        <v>15</v>
      </c>
      <c r="S15" t="s">
        <v>57</v>
      </c>
      <c r="T15" t="s">
        <v>33</v>
      </c>
      <c r="U15" t="s">
        <v>45</v>
      </c>
      <c r="V15" t="s">
        <v>12187</v>
      </c>
      <c r="W15" t="s">
        <v>8692</v>
      </c>
      <c r="X15">
        <v>1</v>
      </c>
      <c r="Y15" s="7">
        <v>11</v>
      </c>
      <c r="Z15" s="7"/>
      <c r="AB15" s="80">
        <f>ARTICULOS_SPEED[[#This Row],[Costo]]*ARTICULOS_SPEED[[#This Row],[Pedido]]</f>
        <v>0</v>
      </c>
      <c r="AH15" s="2" t="str">
        <f>IF(AND(ARTICULOS_SPEED[[#This Row],[FechaVenc]]=0,ARTICULOS_SPEED[[#This Row],[DiasVenc]]=0),"",ARTICULOS_SPEED[[#This Row],[FechaVenc]]-ARTICULOS_SPEED[[#This Row],[DiasVenc]])</f>
        <v/>
      </c>
      <c r="AO15" t="s">
        <v>8689</v>
      </c>
    </row>
    <row r="16" spans="1:43" x14ac:dyDescent="0.25">
      <c r="A16" s="1" t="s">
        <v>12066</v>
      </c>
      <c r="C16" t="str">
        <f>CONCATENATE(LEFT(T16,3),RIGHT(A16,8))</f>
        <v>PER37300404</v>
      </c>
      <c r="D16" t="s">
        <v>8689</v>
      </c>
      <c r="E16" s="1" t="s">
        <v>12186</v>
      </c>
      <c r="F16" s="61">
        <v>7000</v>
      </c>
      <c r="G16" s="119">
        <v>0</v>
      </c>
      <c r="H16" s="4" t="s">
        <v>8690</v>
      </c>
      <c r="I16">
        <v>12</v>
      </c>
      <c r="J16">
        <v>12</v>
      </c>
      <c r="L16" s="16">
        <f>((ARTICULOS_SPEED[[#This Row],[P. Compra]]*(1+ARTICULOS_SPEED[[#This Row],[IVA]]))/ARTICULOS_SPEED[[#This Row],[UnidFact]])+ARTICULOS_SPEED[[#This Row],[CostoFlete]]</f>
        <v>583.33333333333337</v>
      </c>
      <c r="M16">
        <v>35</v>
      </c>
      <c r="N16" s="63">
        <f t="shared" si="1"/>
        <v>900</v>
      </c>
      <c r="O16" s="7">
        <f>MROUND((ARTICULOS_SPEED[[#This Row],[Precio]]/0.6),10)</f>
        <v>1500</v>
      </c>
      <c r="P16" s="4" t="s">
        <v>8690</v>
      </c>
      <c r="Q16">
        <v>12</v>
      </c>
      <c r="R16">
        <v>12</v>
      </c>
      <c r="T16" t="s">
        <v>33</v>
      </c>
      <c r="U16" t="s">
        <v>45</v>
      </c>
      <c r="V16" t="s">
        <v>12187</v>
      </c>
      <c r="W16" t="s">
        <v>8692</v>
      </c>
      <c r="X16">
        <v>1</v>
      </c>
      <c r="Y16" s="7">
        <v>44</v>
      </c>
      <c r="Z16" s="7"/>
      <c r="AB16" s="80">
        <f>ARTICULOS_SPEED[[#This Row],[Costo]]*ARTICULOS_SPEED[[#This Row],[Pedido]]</f>
        <v>0</v>
      </c>
      <c r="AH16" s="2" t="str">
        <f>IF(AND(ARTICULOS_SPEED[[#This Row],[FechaVenc]]=0,ARTICULOS_SPEED[[#This Row],[DiasVenc]]=0),"",ARTICULOS_SPEED[[#This Row],[FechaVenc]]-ARTICULOS_SPEED[[#This Row],[DiasVenc]])</f>
        <v/>
      </c>
      <c r="AO16" t="s">
        <v>8689</v>
      </c>
    </row>
    <row r="17" spans="1:34" x14ac:dyDescent="0.25">
      <c r="A17" s="1" t="s">
        <v>12199</v>
      </c>
      <c r="C17" t="str">
        <f>CONCATENATE(LEFT(T17,3),RIGHT(A17,8))</f>
        <v>PER73968012</v>
      </c>
      <c r="D17" t="s">
        <v>8689</v>
      </c>
      <c r="E17" s="1" t="s">
        <v>12200</v>
      </c>
      <c r="F17" s="61">
        <v>12000</v>
      </c>
      <c r="G17" s="119">
        <v>0</v>
      </c>
      <c r="H17" s="4" t="s">
        <v>8690</v>
      </c>
      <c r="I17">
        <v>12</v>
      </c>
      <c r="J17">
        <v>12</v>
      </c>
      <c r="L17" s="16">
        <f>((ARTICULOS_SPEED[[#This Row],[P. Compra]]*(1+ARTICULOS_SPEED[[#This Row],[IVA]]))/ARTICULOS_SPEED[[#This Row],[UnidFact]])+ARTICULOS_SPEED[[#This Row],[CostoFlete]]</f>
        <v>1000</v>
      </c>
      <c r="M17">
        <v>36</v>
      </c>
      <c r="N17" s="63">
        <f t="shared" si="1"/>
        <v>1600</v>
      </c>
      <c r="O17" s="7">
        <f>MROUND((ARTICULOS_SPEED[[#This Row],[Precio]]/0.6),10)</f>
        <v>2670</v>
      </c>
      <c r="P17" s="4" t="s">
        <v>8690</v>
      </c>
      <c r="Q17">
        <v>12</v>
      </c>
      <c r="R17">
        <v>12</v>
      </c>
      <c r="T17" t="s">
        <v>33</v>
      </c>
      <c r="X17" s="7"/>
      <c r="Y17" s="7"/>
      <c r="Z17" s="7"/>
      <c r="AB17" s="80">
        <f>ARTICULOS_SPEED[[#This Row],[Costo]]*ARTICULOS_SPEED[[#This Row],[Pedido]]</f>
        <v>0</v>
      </c>
      <c r="AH17" s="2" t="str">
        <f>IF(AND(ARTICULOS_SPEED[[#This Row],[FechaVenc]]=0,ARTICULOS_SPEED[[#This Row],[DiasVenc]]=0),"",ARTICULOS_SPEED[[#This Row],[FechaVenc]]-ARTICULOS_SPEED[[#This Row],[DiasVenc]])</f>
        <v/>
      </c>
    </row>
  </sheetData>
  <conditionalFormatting sqref="A1">
    <cfRule type="duplicateValues" dxfId="214" priority="3"/>
  </conditionalFormatting>
  <conditionalFormatting sqref="A2:C1048576">
    <cfRule type="duplicateValues" dxfId="213" priority="508"/>
    <cfRule type="duplicateValues" dxfId="212" priority="509"/>
  </conditionalFormatting>
  <conditionalFormatting sqref="C1">
    <cfRule type="duplicateValues" dxfId="211" priority="2"/>
  </conditionalFormatting>
  <conditionalFormatting sqref="L1:L17 F18:F1048576">
    <cfRule type="cellIs" dxfId="210" priority="14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EED3617-8312-487B-BEF8-9C3F936C4CB8}">
          <x14:formula1>
            <xm:f>LISTAS!$A:$A</xm:f>
          </x14:formula1>
          <xm:sqref>S1:S15</xm:sqref>
        </x14:dataValidation>
        <x14:dataValidation type="list" allowBlank="1" showInputMessage="1" showErrorMessage="1" xr:uid="{F8CE8428-01E1-42B4-A23C-28CBD7E61230}">
          <x14:formula1>
            <xm:f>LISTAS!$E:$E</xm:f>
          </x14:formula1>
          <xm:sqref>U1:U17</xm:sqref>
        </x14:dataValidation>
        <x14:dataValidation type="list" allowBlank="1" showInputMessage="1" showErrorMessage="1" xr:uid="{DEE00E86-EA12-4C6D-A8C0-A54B3DA1A4BB}">
          <x14:formula1>
            <xm:f>LISTAS!$C:$C</xm:f>
          </x14:formula1>
          <xm:sqref>T2:T17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C777-F610-49ED-B3F8-0B1BE066841B}">
  <dimension ref="A1:AQ60"/>
  <sheetViews>
    <sheetView workbookViewId="0">
      <pane xSplit="5" topLeftCell="L1" activePane="topRight" state="frozen"/>
      <selection activeCell="AD34" sqref="AD34"/>
      <selection pane="topRight" activeCell="F6" sqref="F6"/>
    </sheetView>
  </sheetViews>
  <sheetFormatPr baseColWidth="10" defaultColWidth="11.42578125" defaultRowHeight="15.75" x14ac:dyDescent="0.25"/>
  <cols>
    <col min="1" max="1" width="14" style="1" bestFit="1" customWidth="1"/>
    <col min="2" max="2" width="7.5703125" style="1" customWidth="1"/>
    <col min="3" max="3" width="6.85546875" style="1" customWidth="1"/>
    <col min="4" max="4" width="7.42578125" customWidth="1"/>
    <col min="5" max="5" width="52.28515625" style="1" customWidth="1"/>
    <col min="6" max="6" width="12.42578125" style="50" customWidth="1"/>
    <col min="7" max="7" width="7" style="120" bestFit="1" customWidth="1"/>
    <col min="8" max="8" width="5.140625" bestFit="1" customWidth="1"/>
    <col min="9" max="9" width="6.28515625" bestFit="1" customWidth="1"/>
    <col min="10" max="10" width="9.7109375" style="14" bestFit="1" customWidth="1"/>
    <col min="11" max="11" width="10.7109375" bestFit="1" customWidth="1"/>
    <col min="12" max="12" width="10.140625" style="5" bestFit="1" customWidth="1"/>
    <col min="13" max="13" width="11.140625" bestFit="1" customWidth="1"/>
    <col min="18" max="18" width="8.85546875" style="35" bestFit="1" customWidth="1"/>
    <col min="21" max="21" width="11.42578125" style="41"/>
    <col min="22" max="22" width="11.42578125" style="43"/>
    <col min="23" max="23" width="9.7109375" style="3" bestFit="1" customWidth="1"/>
    <col min="24" max="24" width="9.28515625" style="4" bestFit="1" customWidth="1"/>
    <col min="25" max="25" width="10.28515625" style="3" bestFit="1" customWidth="1"/>
    <col min="26" max="26" width="10.7109375" style="3" bestFit="1" customWidth="1"/>
    <col min="27" max="27" width="12.5703125" bestFit="1" customWidth="1"/>
    <col min="28" max="28" width="8.85546875" bestFit="1" customWidth="1"/>
    <col min="29" max="29" width="12.5703125" bestFit="1" customWidth="1"/>
    <col min="30" max="30" width="11.28515625" style="3" bestFit="1" customWidth="1"/>
    <col min="34" max="34" width="9.28515625" style="3" customWidth="1"/>
    <col min="35" max="35" width="8.140625" customWidth="1"/>
    <col min="36" max="36" width="10" bestFit="1" customWidth="1"/>
    <col min="37" max="37" width="11.5703125" style="3" customWidth="1"/>
    <col min="38" max="38" width="20" customWidth="1"/>
    <col min="39" max="39" width="13.42578125" style="2" bestFit="1" customWidth="1"/>
    <col min="40" max="40" width="11.5703125" customWidth="1"/>
    <col min="41" max="41" width="16.7109375" customWidth="1"/>
    <col min="42" max="42" width="8.85546875" bestFit="1" customWidth="1"/>
    <col min="43" max="43" width="14.28515625" customWidth="1"/>
    <col min="44" max="45" width="13.7109375" customWidth="1"/>
    <col min="48" max="48" width="12.42578125" customWidth="1"/>
    <col min="49" max="49" width="19.42578125" bestFit="1" customWidth="1"/>
    <col min="50" max="50" width="21.42578125" bestFit="1" customWidth="1"/>
    <col min="51" max="51" width="10.7109375" customWidth="1"/>
    <col min="52" max="52" width="12.85546875" customWidth="1"/>
    <col min="53" max="53" width="15.42578125" bestFit="1" customWidth="1"/>
    <col min="247" max="247" width="15" bestFit="1" customWidth="1"/>
    <col min="248" max="248" width="68.28515625" bestFit="1" customWidth="1"/>
    <col min="249" max="249" width="9.140625" bestFit="1" customWidth="1"/>
    <col min="250" max="250" width="21.42578125" bestFit="1" customWidth="1"/>
    <col min="251" max="253" width="15.42578125" bestFit="1" customWidth="1"/>
    <col min="254" max="254" width="8.85546875" bestFit="1" customWidth="1"/>
    <col min="255" max="255" width="10" bestFit="1" customWidth="1"/>
    <col min="256" max="256" width="12.7109375" bestFit="1" customWidth="1"/>
    <col min="257" max="257" width="8.85546875" bestFit="1" customWidth="1"/>
    <col min="258" max="258" width="17.7109375" bestFit="1" customWidth="1"/>
    <col min="259" max="259" width="13" bestFit="1" customWidth="1"/>
    <col min="260" max="260" width="13.42578125" bestFit="1" customWidth="1"/>
    <col min="261" max="261" width="10.85546875" bestFit="1" customWidth="1"/>
    <col min="262" max="262" width="26.85546875" bestFit="1" customWidth="1"/>
    <col min="263" max="263" width="20.85546875" bestFit="1" customWidth="1"/>
    <col min="264" max="264" width="30.42578125" bestFit="1" customWidth="1"/>
    <col min="265" max="265" width="19.42578125" bestFit="1" customWidth="1"/>
    <col min="266" max="266" width="20.28515625" bestFit="1" customWidth="1"/>
    <col min="267" max="268" width="12" bestFit="1" customWidth="1"/>
    <col min="269" max="270" width="12.5703125" bestFit="1" customWidth="1"/>
    <col min="271" max="271" width="11.7109375" bestFit="1" customWidth="1"/>
    <col min="272" max="272" width="19" bestFit="1" customWidth="1"/>
    <col min="273" max="273" width="12.140625" bestFit="1" customWidth="1"/>
    <col min="503" max="503" width="15" bestFit="1" customWidth="1"/>
    <col min="504" max="504" width="68.28515625" bestFit="1" customWidth="1"/>
    <col min="505" max="505" width="9.140625" bestFit="1" customWidth="1"/>
    <col min="506" max="506" width="21.42578125" bestFit="1" customWidth="1"/>
    <col min="507" max="509" width="15.42578125" bestFit="1" customWidth="1"/>
    <col min="510" max="510" width="8.85546875" bestFit="1" customWidth="1"/>
    <col min="511" max="511" width="10" bestFit="1" customWidth="1"/>
    <col min="512" max="512" width="12.7109375" bestFit="1" customWidth="1"/>
    <col min="513" max="513" width="8.85546875" bestFit="1" customWidth="1"/>
    <col min="514" max="514" width="17.7109375" bestFit="1" customWidth="1"/>
    <col min="515" max="515" width="13" bestFit="1" customWidth="1"/>
    <col min="516" max="516" width="13.42578125" bestFit="1" customWidth="1"/>
    <col min="517" max="517" width="10.85546875" bestFit="1" customWidth="1"/>
    <col min="518" max="518" width="26.85546875" bestFit="1" customWidth="1"/>
    <col min="519" max="519" width="20.85546875" bestFit="1" customWidth="1"/>
    <col min="520" max="520" width="30.42578125" bestFit="1" customWidth="1"/>
    <col min="521" max="521" width="19.42578125" bestFit="1" customWidth="1"/>
    <col min="522" max="522" width="20.28515625" bestFit="1" customWidth="1"/>
    <col min="523" max="524" width="12" bestFit="1" customWidth="1"/>
    <col min="525" max="526" width="12.5703125" bestFit="1" customWidth="1"/>
    <col min="527" max="527" width="11.7109375" bestFit="1" customWidth="1"/>
    <col min="528" max="528" width="19" bestFit="1" customWidth="1"/>
    <col min="529" max="529" width="12.140625" bestFit="1" customWidth="1"/>
    <col min="759" max="759" width="15" bestFit="1" customWidth="1"/>
    <col min="760" max="760" width="68.28515625" bestFit="1" customWidth="1"/>
    <col min="761" max="761" width="9.140625" bestFit="1" customWidth="1"/>
    <col min="762" max="762" width="21.42578125" bestFit="1" customWidth="1"/>
    <col min="763" max="765" width="15.42578125" bestFit="1" customWidth="1"/>
    <col min="766" max="766" width="8.85546875" bestFit="1" customWidth="1"/>
    <col min="767" max="767" width="10" bestFit="1" customWidth="1"/>
    <col min="768" max="768" width="12.7109375" bestFit="1" customWidth="1"/>
    <col min="769" max="769" width="8.85546875" bestFit="1" customWidth="1"/>
    <col min="770" max="770" width="17.7109375" bestFit="1" customWidth="1"/>
    <col min="771" max="771" width="13" bestFit="1" customWidth="1"/>
    <col min="772" max="772" width="13.42578125" bestFit="1" customWidth="1"/>
    <col min="773" max="773" width="10.85546875" bestFit="1" customWidth="1"/>
    <col min="774" max="774" width="26.85546875" bestFit="1" customWidth="1"/>
    <col min="775" max="775" width="20.85546875" bestFit="1" customWidth="1"/>
    <col min="776" max="776" width="30.42578125" bestFit="1" customWidth="1"/>
    <col min="777" max="777" width="19.42578125" bestFit="1" customWidth="1"/>
    <col min="778" max="778" width="20.28515625" bestFit="1" customWidth="1"/>
    <col min="779" max="780" width="12" bestFit="1" customWidth="1"/>
    <col min="781" max="782" width="12.5703125" bestFit="1" customWidth="1"/>
    <col min="783" max="783" width="11.7109375" bestFit="1" customWidth="1"/>
    <col min="784" max="784" width="19" bestFit="1" customWidth="1"/>
    <col min="785" max="785" width="12.140625" bestFit="1" customWidth="1"/>
    <col min="1015" max="1015" width="15" bestFit="1" customWidth="1"/>
    <col min="1016" max="1016" width="68.28515625" bestFit="1" customWidth="1"/>
    <col min="1017" max="1017" width="9.140625" bestFit="1" customWidth="1"/>
    <col min="1018" max="1018" width="21.42578125" bestFit="1" customWidth="1"/>
    <col min="1019" max="1021" width="15.42578125" bestFit="1" customWidth="1"/>
    <col min="1022" max="1022" width="8.85546875" bestFit="1" customWidth="1"/>
    <col min="1023" max="1023" width="10" bestFit="1" customWidth="1"/>
    <col min="1024" max="1024" width="12.7109375" bestFit="1" customWidth="1"/>
    <col min="1025" max="1025" width="8.85546875" bestFit="1" customWidth="1"/>
    <col min="1026" max="1026" width="17.7109375" bestFit="1" customWidth="1"/>
    <col min="1027" max="1027" width="13" bestFit="1" customWidth="1"/>
    <col min="1028" max="1028" width="13.42578125" bestFit="1" customWidth="1"/>
    <col min="1029" max="1029" width="10.85546875" bestFit="1" customWidth="1"/>
    <col min="1030" max="1030" width="26.85546875" bestFit="1" customWidth="1"/>
    <col min="1031" max="1031" width="20.85546875" bestFit="1" customWidth="1"/>
    <col min="1032" max="1032" width="30.42578125" bestFit="1" customWidth="1"/>
    <col min="1033" max="1033" width="19.42578125" bestFit="1" customWidth="1"/>
    <col min="1034" max="1034" width="20.28515625" bestFit="1" customWidth="1"/>
    <col min="1035" max="1036" width="12" bestFit="1" customWidth="1"/>
    <col min="1037" max="1038" width="12.5703125" bestFit="1" customWidth="1"/>
    <col min="1039" max="1039" width="11.7109375" bestFit="1" customWidth="1"/>
    <col min="1040" max="1040" width="19" bestFit="1" customWidth="1"/>
    <col min="1041" max="1041" width="12.140625" bestFit="1" customWidth="1"/>
    <col min="1271" max="1271" width="15" bestFit="1" customWidth="1"/>
    <col min="1272" max="1272" width="68.28515625" bestFit="1" customWidth="1"/>
    <col min="1273" max="1273" width="9.140625" bestFit="1" customWidth="1"/>
    <col min="1274" max="1274" width="21.42578125" bestFit="1" customWidth="1"/>
    <col min="1275" max="1277" width="15.42578125" bestFit="1" customWidth="1"/>
    <col min="1278" max="1278" width="8.85546875" bestFit="1" customWidth="1"/>
    <col min="1279" max="1279" width="10" bestFit="1" customWidth="1"/>
    <col min="1280" max="1280" width="12.7109375" bestFit="1" customWidth="1"/>
    <col min="1281" max="1281" width="8.85546875" bestFit="1" customWidth="1"/>
    <col min="1282" max="1282" width="17.7109375" bestFit="1" customWidth="1"/>
    <col min="1283" max="1283" width="13" bestFit="1" customWidth="1"/>
    <col min="1284" max="1284" width="13.42578125" bestFit="1" customWidth="1"/>
    <col min="1285" max="1285" width="10.85546875" bestFit="1" customWidth="1"/>
    <col min="1286" max="1286" width="26.85546875" bestFit="1" customWidth="1"/>
    <col min="1287" max="1287" width="20.85546875" bestFit="1" customWidth="1"/>
    <col min="1288" max="1288" width="30.42578125" bestFit="1" customWidth="1"/>
    <col min="1289" max="1289" width="19.42578125" bestFit="1" customWidth="1"/>
    <col min="1290" max="1290" width="20.28515625" bestFit="1" customWidth="1"/>
    <col min="1291" max="1292" width="12" bestFit="1" customWidth="1"/>
    <col min="1293" max="1294" width="12.5703125" bestFit="1" customWidth="1"/>
    <col min="1295" max="1295" width="11.7109375" bestFit="1" customWidth="1"/>
    <col min="1296" max="1296" width="19" bestFit="1" customWidth="1"/>
    <col min="1297" max="1297" width="12.140625" bestFit="1" customWidth="1"/>
    <col min="1527" max="1527" width="15" bestFit="1" customWidth="1"/>
    <col min="1528" max="1528" width="68.28515625" bestFit="1" customWidth="1"/>
    <col min="1529" max="1529" width="9.140625" bestFit="1" customWidth="1"/>
    <col min="1530" max="1530" width="21.42578125" bestFit="1" customWidth="1"/>
    <col min="1531" max="1533" width="15.42578125" bestFit="1" customWidth="1"/>
    <col min="1534" max="1534" width="8.85546875" bestFit="1" customWidth="1"/>
    <col min="1535" max="1535" width="10" bestFit="1" customWidth="1"/>
    <col min="1536" max="1536" width="12.7109375" bestFit="1" customWidth="1"/>
    <col min="1537" max="1537" width="8.85546875" bestFit="1" customWidth="1"/>
    <col min="1538" max="1538" width="17.7109375" bestFit="1" customWidth="1"/>
    <col min="1539" max="1539" width="13" bestFit="1" customWidth="1"/>
    <col min="1540" max="1540" width="13.42578125" bestFit="1" customWidth="1"/>
    <col min="1541" max="1541" width="10.85546875" bestFit="1" customWidth="1"/>
    <col min="1542" max="1542" width="26.85546875" bestFit="1" customWidth="1"/>
    <col min="1543" max="1543" width="20.85546875" bestFit="1" customWidth="1"/>
    <col min="1544" max="1544" width="30.42578125" bestFit="1" customWidth="1"/>
    <col min="1545" max="1545" width="19.42578125" bestFit="1" customWidth="1"/>
    <col min="1546" max="1546" width="20.28515625" bestFit="1" customWidth="1"/>
    <col min="1547" max="1548" width="12" bestFit="1" customWidth="1"/>
    <col min="1549" max="1550" width="12.5703125" bestFit="1" customWidth="1"/>
    <col min="1551" max="1551" width="11.7109375" bestFit="1" customWidth="1"/>
    <col min="1552" max="1552" width="19" bestFit="1" customWidth="1"/>
    <col min="1553" max="1553" width="12.140625" bestFit="1" customWidth="1"/>
    <col min="1783" max="1783" width="15" bestFit="1" customWidth="1"/>
    <col min="1784" max="1784" width="68.28515625" bestFit="1" customWidth="1"/>
    <col min="1785" max="1785" width="9.140625" bestFit="1" customWidth="1"/>
    <col min="1786" max="1786" width="21.42578125" bestFit="1" customWidth="1"/>
    <col min="1787" max="1789" width="15.42578125" bestFit="1" customWidth="1"/>
    <col min="1790" max="1790" width="8.85546875" bestFit="1" customWidth="1"/>
    <col min="1791" max="1791" width="10" bestFit="1" customWidth="1"/>
    <col min="1792" max="1792" width="12.7109375" bestFit="1" customWidth="1"/>
    <col min="1793" max="1793" width="8.85546875" bestFit="1" customWidth="1"/>
    <col min="1794" max="1794" width="17.7109375" bestFit="1" customWidth="1"/>
    <col min="1795" max="1795" width="13" bestFit="1" customWidth="1"/>
    <col min="1796" max="1796" width="13.42578125" bestFit="1" customWidth="1"/>
    <col min="1797" max="1797" width="10.85546875" bestFit="1" customWidth="1"/>
    <col min="1798" max="1798" width="26.85546875" bestFit="1" customWidth="1"/>
    <col min="1799" max="1799" width="20.85546875" bestFit="1" customWidth="1"/>
    <col min="1800" max="1800" width="30.42578125" bestFit="1" customWidth="1"/>
    <col min="1801" max="1801" width="19.42578125" bestFit="1" customWidth="1"/>
    <col min="1802" max="1802" width="20.28515625" bestFit="1" customWidth="1"/>
    <col min="1803" max="1804" width="12" bestFit="1" customWidth="1"/>
    <col min="1805" max="1806" width="12.5703125" bestFit="1" customWidth="1"/>
    <col min="1807" max="1807" width="11.7109375" bestFit="1" customWidth="1"/>
    <col min="1808" max="1808" width="19" bestFit="1" customWidth="1"/>
    <col min="1809" max="1809" width="12.140625" bestFit="1" customWidth="1"/>
    <col min="2039" max="2039" width="15" bestFit="1" customWidth="1"/>
    <col min="2040" max="2040" width="68.28515625" bestFit="1" customWidth="1"/>
    <col min="2041" max="2041" width="9.140625" bestFit="1" customWidth="1"/>
    <col min="2042" max="2042" width="21.42578125" bestFit="1" customWidth="1"/>
    <col min="2043" max="2045" width="15.42578125" bestFit="1" customWidth="1"/>
    <col min="2046" max="2046" width="8.85546875" bestFit="1" customWidth="1"/>
    <col min="2047" max="2047" width="10" bestFit="1" customWidth="1"/>
    <col min="2048" max="2048" width="12.7109375" bestFit="1" customWidth="1"/>
    <col min="2049" max="2049" width="8.85546875" bestFit="1" customWidth="1"/>
    <col min="2050" max="2050" width="17.7109375" bestFit="1" customWidth="1"/>
    <col min="2051" max="2051" width="13" bestFit="1" customWidth="1"/>
    <col min="2052" max="2052" width="13.42578125" bestFit="1" customWidth="1"/>
    <col min="2053" max="2053" width="10.85546875" bestFit="1" customWidth="1"/>
    <col min="2054" max="2054" width="26.85546875" bestFit="1" customWidth="1"/>
    <col min="2055" max="2055" width="20.85546875" bestFit="1" customWidth="1"/>
    <col min="2056" max="2056" width="30.42578125" bestFit="1" customWidth="1"/>
    <col min="2057" max="2057" width="19.42578125" bestFit="1" customWidth="1"/>
    <col min="2058" max="2058" width="20.28515625" bestFit="1" customWidth="1"/>
    <col min="2059" max="2060" width="12" bestFit="1" customWidth="1"/>
    <col min="2061" max="2062" width="12.5703125" bestFit="1" customWidth="1"/>
    <col min="2063" max="2063" width="11.7109375" bestFit="1" customWidth="1"/>
    <col min="2064" max="2064" width="19" bestFit="1" customWidth="1"/>
    <col min="2065" max="2065" width="12.140625" bestFit="1" customWidth="1"/>
    <col min="2295" max="2295" width="15" bestFit="1" customWidth="1"/>
    <col min="2296" max="2296" width="68.28515625" bestFit="1" customWidth="1"/>
    <col min="2297" max="2297" width="9.140625" bestFit="1" customWidth="1"/>
    <col min="2298" max="2298" width="21.42578125" bestFit="1" customWidth="1"/>
    <col min="2299" max="2301" width="15.42578125" bestFit="1" customWidth="1"/>
    <col min="2302" max="2302" width="8.85546875" bestFit="1" customWidth="1"/>
    <col min="2303" max="2303" width="10" bestFit="1" customWidth="1"/>
    <col min="2304" max="2304" width="12.7109375" bestFit="1" customWidth="1"/>
    <col min="2305" max="2305" width="8.85546875" bestFit="1" customWidth="1"/>
    <col min="2306" max="2306" width="17.7109375" bestFit="1" customWidth="1"/>
    <col min="2307" max="2307" width="13" bestFit="1" customWidth="1"/>
    <col min="2308" max="2308" width="13.42578125" bestFit="1" customWidth="1"/>
    <col min="2309" max="2309" width="10.85546875" bestFit="1" customWidth="1"/>
    <col min="2310" max="2310" width="26.85546875" bestFit="1" customWidth="1"/>
    <col min="2311" max="2311" width="20.85546875" bestFit="1" customWidth="1"/>
    <col min="2312" max="2312" width="30.42578125" bestFit="1" customWidth="1"/>
    <col min="2313" max="2313" width="19.42578125" bestFit="1" customWidth="1"/>
    <col min="2314" max="2314" width="20.28515625" bestFit="1" customWidth="1"/>
    <col min="2315" max="2316" width="12" bestFit="1" customWidth="1"/>
    <col min="2317" max="2318" width="12.5703125" bestFit="1" customWidth="1"/>
    <col min="2319" max="2319" width="11.7109375" bestFit="1" customWidth="1"/>
    <col min="2320" max="2320" width="19" bestFit="1" customWidth="1"/>
    <col min="2321" max="2321" width="12.140625" bestFit="1" customWidth="1"/>
    <col min="2551" max="2551" width="15" bestFit="1" customWidth="1"/>
    <col min="2552" max="2552" width="68.28515625" bestFit="1" customWidth="1"/>
    <col min="2553" max="2553" width="9.140625" bestFit="1" customWidth="1"/>
    <col min="2554" max="2554" width="21.42578125" bestFit="1" customWidth="1"/>
    <col min="2555" max="2557" width="15.42578125" bestFit="1" customWidth="1"/>
    <col min="2558" max="2558" width="8.85546875" bestFit="1" customWidth="1"/>
    <col min="2559" max="2559" width="10" bestFit="1" customWidth="1"/>
    <col min="2560" max="2560" width="12.7109375" bestFit="1" customWidth="1"/>
    <col min="2561" max="2561" width="8.85546875" bestFit="1" customWidth="1"/>
    <col min="2562" max="2562" width="17.7109375" bestFit="1" customWidth="1"/>
    <col min="2563" max="2563" width="13" bestFit="1" customWidth="1"/>
    <col min="2564" max="2564" width="13.42578125" bestFit="1" customWidth="1"/>
    <col min="2565" max="2565" width="10.85546875" bestFit="1" customWidth="1"/>
    <col min="2566" max="2566" width="26.85546875" bestFit="1" customWidth="1"/>
    <col min="2567" max="2567" width="20.85546875" bestFit="1" customWidth="1"/>
    <col min="2568" max="2568" width="30.42578125" bestFit="1" customWidth="1"/>
    <col min="2569" max="2569" width="19.42578125" bestFit="1" customWidth="1"/>
    <col min="2570" max="2570" width="20.28515625" bestFit="1" customWidth="1"/>
    <col min="2571" max="2572" width="12" bestFit="1" customWidth="1"/>
    <col min="2573" max="2574" width="12.5703125" bestFit="1" customWidth="1"/>
    <col min="2575" max="2575" width="11.7109375" bestFit="1" customWidth="1"/>
    <col min="2576" max="2576" width="19" bestFit="1" customWidth="1"/>
    <col min="2577" max="2577" width="12.140625" bestFit="1" customWidth="1"/>
    <col min="2807" max="2807" width="15" bestFit="1" customWidth="1"/>
    <col min="2808" max="2808" width="68.28515625" bestFit="1" customWidth="1"/>
    <col min="2809" max="2809" width="9.140625" bestFit="1" customWidth="1"/>
    <col min="2810" max="2810" width="21.42578125" bestFit="1" customWidth="1"/>
    <col min="2811" max="2813" width="15.42578125" bestFit="1" customWidth="1"/>
    <col min="2814" max="2814" width="8.85546875" bestFit="1" customWidth="1"/>
    <col min="2815" max="2815" width="10" bestFit="1" customWidth="1"/>
    <col min="2816" max="2816" width="12.7109375" bestFit="1" customWidth="1"/>
    <col min="2817" max="2817" width="8.85546875" bestFit="1" customWidth="1"/>
    <col min="2818" max="2818" width="17.7109375" bestFit="1" customWidth="1"/>
    <col min="2819" max="2819" width="13" bestFit="1" customWidth="1"/>
    <col min="2820" max="2820" width="13.42578125" bestFit="1" customWidth="1"/>
    <col min="2821" max="2821" width="10.85546875" bestFit="1" customWidth="1"/>
    <col min="2822" max="2822" width="26.85546875" bestFit="1" customWidth="1"/>
    <col min="2823" max="2823" width="20.85546875" bestFit="1" customWidth="1"/>
    <col min="2824" max="2824" width="30.42578125" bestFit="1" customWidth="1"/>
    <col min="2825" max="2825" width="19.42578125" bestFit="1" customWidth="1"/>
    <col min="2826" max="2826" width="20.28515625" bestFit="1" customWidth="1"/>
    <col min="2827" max="2828" width="12" bestFit="1" customWidth="1"/>
    <col min="2829" max="2830" width="12.5703125" bestFit="1" customWidth="1"/>
    <col min="2831" max="2831" width="11.7109375" bestFit="1" customWidth="1"/>
    <col min="2832" max="2832" width="19" bestFit="1" customWidth="1"/>
    <col min="2833" max="2833" width="12.140625" bestFit="1" customWidth="1"/>
    <col min="3063" max="3063" width="15" bestFit="1" customWidth="1"/>
    <col min="3064" max="3064" width="68.28515625" bestFit="1" customWidth="1"/>
    <col min="3065" max="3065" width="9.140625" bestFit="1" customWidth="1"/>
    <col min="3066" max="3066" width="21.42578125" bestFit="1" customWidth="1"/>
    <col min="3067" max="3069" width="15.42578125" bestFit="1" customWidth="1"/>
    <col min="3070" max="3070" width="8.85546875" bestFit="1" customWidth="1"/>
    <col min="3071" max="3071" width="10" bestFit="1" customWidth="1"/>
    <col min="3072" max="3072" width="12.7109375" bestFit="1" customWidth="1"/>
    <col min="3073" max="3073" width="8.85546875" bestFit="1" customWidth="1"/>
    <col min="3074" max="3074" width="17.7109375" bestFit="1" customWidth="1"/>
    <col min="3075" max="3075" width="13" bestFit="1" customWidth="1"/>
    <col min="3076" max="3076" width="13.42578125" bestFit="1" customWidth="1"/>
    <col min="3077" max="3077" width="10.85546875" bestFit="1" customWidth="1"/>
    <col min="3078" max="3078" width="26.85546875" bestFit="1" customWidth="1"/>
    <col min="3079" max="3079" width="20.85546875" bestFit="1" customWidth="1"/>
    <col min="3080" max="3080" width="30.42578125" bestFit="1" customWidth="1"/>
    <col min="3081" max="3081" width="19.42578125" bestFit="1" customWidth="1"/>
    <col min="3082" max="3082" width="20.28515625" bestFit="1" customWidth="1"/>
    <col min="3083" max="3084" width="12" bestFit="1" customWidth="1"/>
    <col min="3085" max="3086" width="12.5703125" bestFit="1" customWidth="1"/>
    <col min="3087" max="3087" width="11.7109375" bestFit="1" customWidth="1"/>
    <col min="3088" max="3088" width="19" bestFit="1" customWidth="1"/>
    <col min="3089" max="3089" width="12.140625" bestFit="1" customWidth="1"/>
    <col min="3319" max="3319" width="15" bestFit="1" customWidth="1"/>
    <col min="3320" max="3320" width="68.28515625" bestFit="1" customWidth="1"/>
    <col min="3321" max="3321" width="9.140625" bestFit="1" customWidth="1"/>
    <col min="3322" max="3322" width="21.42578125" bestFit="1" customWidth="1"/>
    <col min="3323" max="3325" width="15.42578125" bestFit="1" customWidth="1"/>
    <col min="3326" max="3326" width="8.85546875" bestFit="1" customWidth="1"/>
    <col min="3327" max="3327" width="10" bestFit="1" customWidth="1"/>
    <col min="3328" max="3328" width="12.7109375" bestFit="1" customWidth="1"/>
    <col min="3329" max="3329" width="8.85546875" bestFit="1" customWidth="1"/>
    <col min="3330" max="3330" width="17.7109375" bestFit="1" customWidth="1"/>
    <col min="3331" max="3331" width="13" bestFit="1" customWidth="1"/>
    <col min="3332" max="3332" width="13.42578125" bestFit="1" customWidth="1"/>
    <col min="3333" max="3333" width="10.85546875" bestFit="1" customWidth="1"/>
    <col min="3334" max="3334" width="26.85546875" bestFit="1" customWidth="1"/>
    <col min="3335" max="3335" width="20.85546875" bestFit="1" customWidth="1"/>
    <col min="3336" max="3336" width="30.42578125" bestFit="1" customWidth="1"/>
    <col min="3337" max="3337" width="19.42578125" bestFit="1" customWidth="1"/>
    <col min="3338" max="3338" width="20.28515625" bestFit="1" customWidth="1"/>
    <col min="3339" max="3340" width="12" bestFit="1" customWidth="1"/>
    <col min="3341" max="3342" width="12.5703125" bestFit="1" customWidth="1"/>
    <col min="3343" max="3343" width="11.7109375" bestFit="1" customWidth="1"/>
    <col min="3344" max="3344" width="19" bestFit="1" customWidth="1"/>
    <col min="3345" max="3345" width="12.140625" bestFit="1" customWidth="1"/>
    <col min="3575" max="3575" width="15" bestFit="1" customWidth="1"/>
    <col min="3576" max="3576" width="68.28515625" bestFit="1" customWidth="1"/>
    <col min="3577" max="3577" width="9.140625" bestFit="1" customWidth="1"/>
    <col min="3578" max="3578" width="21.42578125" bestFit="1" customWidth="1"/>
    <col min="3579" max="3581" width="15.42578125" bestFit="1" customWidth="1"/>
    <col min="3582" max="3582" width="8.85546875" bestFit="1" customWidth="1"/>
    <col min="3583" max="3583" width="10" bestFit="1" customWidth="1"/>
    <col min="3584" max="3584" width="12.7109375" bestFit="1" customWidth="1"/>
    <col min="3585" max="3585" width="8.85546875" bestFit="1" customWidth="1"/>
    <col min="3586" max="3586" width="17.7109375" bestFit="1" customWidth="1"/>
    <col min="3587" max="3587" width="13" bestFit="1" customWidth="1"/>
    <col min="3588" max="3588" width="13.42578125" bestFit="1" customWidth="1"/>
    <col min="3589" max="3589" width="10.85546875" bestFit="1" customWidth="1"/>
    <col min="3590" max="3590" width="26.85546875" bestFit="1" customWidth="1"/>
    <col min="3591" max="3591" width="20.85546875" bestFit="1" customWidth="1"/>
    <col min="3592" max="3592" width="30.42578125" bestFit="1" customWidth="1"/>
    <col min="3593" max="3593" width="19.42578125" bestFit="1" customWidth="1"/>
    <col min="3594" max="3594" width="20.28515625" bestFit="1" customWidth="1"/>
    <col min="3595" max="3596" width="12" bestFit="1" customWidth="1"/>
    <col min="3597" max="3598" width="12.5703125" bestFit="1" customWidth="1"/>
    <col min="3599" max="3599" width="11.7109375" bestFit="1" customWidth="1"/>
    <col min="3600" max="3600" width="19" bestFit="1" customWidth="1"/>
    <col min="3601" max="3601" width="12.140625" bestFit="1" customWidth="1"/>
    <col min="3831" max="3831" width="15" bestFit="1" customWidth="1"/>
    <col min="3832" max="3832" width="68.28515625" bestFit="1" customWidth="1"/>
    <col min="3833" max="3833" width="9.140625" bestFit="1" customWidth="1"/>
    <col min="3834" max="3834" width="21.42578125" bestFit="1" customWidth="1"/>
    <col min="3835" max="3837" width="15.42578125" bestFit="1" customWidth="1"/>
    <col min="3838" max="3838" width="8.85546875" bestFit="1" customWidth="1"/>
    <col min="3839" max="3839" width="10" bestFit="1" customWidth="1"/>
    <col min="3840" max="3840" width="12.7109375" bestFit="1" customWidth="1"/>
    <col min="3841" max="3841" width="8.85546875" bestFit="1" customWidth="1"/>
    <col min="3842" max="3842" width="17.7109375" bestFit="1" customWidth="1"/>
    <col min="3843" max="3843" width="13" bestFit="1" customWidth="1"/>
    <col min="3844" max="3844" width="13.42578125" bestFit="1" customWidth="1"/>
    <col min="3845" max="3845" width="10.85546875" bestFit="1" customWidth="1"/>
    <col min="3846" max="3846" width="26.85546875" bestFit="1" customWidth="1"/>
    <col min="3847" max="3847" width="20.85546875" bestFit="1" customWidth="1"/>
    <col min="3848" max="3848" width="30.42578125" bestFit="1" customWidth="1"/>
    <col min="3849" max="3849" width="19.42578125" bestFit="1" customWidth="1"/>
    <col min="3850" max="3850" width="20.28515625" bestFit="1" customWidth="1"/>
    <col min="3851" max="3852" width="12" bestFit="1" customWidth="1"/>
    <col min="3853" max="3854" width="12.5703125" bestFit="1" customWidth="1"/>
    <col min="3855" max="3855" width="11.7109375" bestFit="1" customWidth="1"/>
    <col min="3856" max="3856" width="19" bestFit="1" customWidth="1"/>
    <col min="3857" max="3857" width="12.140625" bestFit="1" customWidth="1"/>
    <col min="4087" max="4087" width="15" bestFit="1" customWidth="1"/>
    <col min="4088" max="4088" width="68.28515625" bestFit="1" customWidth="1"/>
    <col min="4089" max="4089" width="9.140625" bestFit="1" customWidth="1"/>
    <col min="4090" max="4090" width="21.42578125" bestFit="1" customWidth="1"/>
    <col min="4091" max="4093" width="15.42578125" bestFit="1" customWidth="1"/>
    <col min="4094" max="4094" width="8.85546875" bestFit="1" customWidth="1"/>
    <col min="4095" max="4095" width="10" bestFit="1" customWidth="1"/>
    <col min="4096" max="4096" width="12.7109375" bestFit="1" customWidth="1"/>
    <col min="4097" max="4097" width="8.85546875" bestFit="1" customWidth="1"/>
    <col min="4098" max="4098" width="17.7109375" bestFit="1" customWidth="1"/>
    <col min="4099" max="4099" width="13" bestFit="1" customWidth="1"/>
    <col min="4100" max="4100" width="13.42578125" bestFit="1" customWidth="1"/>
    <col min="4101" max="4101" width="10.85546875" bestFit="1" customWidth="1"/>
    <col min="4102" max="4102" width="26.85546875" bestFit="1" customWidth="1"/>
    <col min="4103" max="4103" width="20.85546875" bestFit="1" customWidth="1"/>
    <col min="4104" max="4104" width="30.42578125" bestFit="1" customWidth="1"/>
    <col min="4105" max="4105" width="19.42578125" bestFit="1" customWidth="1"/>
    <col min="4106" max="4106" width="20.28515625" bestFit="1" customWidth="1"/>
    <col min="4107" max="4108" width="12" bestFit="1" customWidth="1"/>
    <col min="4109" max="4110" width="12.5703125" bestFit="1" customWidth="1"/>
    <col min="4111" max="4111" width="11.7109375" bestFit="1" customWidth="1"/>
    <col min="4112" max="4112" width="19" bestFit="1" customWidth="1"/>
    <col min="4113" max="4113" width="12.140625" bestFit="1" customWidth="1"/>
    <col min="4343" max="4343" width="15" bestFit="1" customWidth="1"/>
    <col min="4344" max="4344" width="68.28515625" bestFit="1" customWidth="1"/>
    <col min="4345" max="4345" width="9.140625" bestFit="1" customWidth="1"/>
    <col min="4346" max="4346" width="21.42578125" bestFit="1" customWidth="1"/>
    <col min="4347" max="4349" width="15.42578125" bestFit="1" customWidth="1"/>
    <col min="4350" max="4350" width="8.85546875" bestFit="1" customWidth="1"/>
    <col min="4351" max="4351" width="10" bestFit="1" customWidth="1"/>
    <col min="4352" max="4352" width="12.7109375" bestFit="1" customWidth="1"/>
    <col min="4353" max="4353" width="8.85546875" bestFit="1" customWidth="1"/>
    <col min="4354" max="4354" width="17.7109375" bestFit="1" customWidth="1"/>
    <col min="4355" max="4355" width="13" bestFit="1" customWidth="1"/>
    <col min="4356" max="4356" width="13.42578125" bestFit="1" customWidth="1"/>
    <col min="4357" max="4357" width="10.85546875" bestFit="1" customWidth="1"/>
    <col min="4358" max="4358" width="26.85546875" bestFit="1" customWidth="1"/>
    <col min="4359" max="4359" width="20.85546875" bestFit="1" customWidth="1"/>
    <col min="4360" max="4360" width="30.42578125" bestFit="1" customWidth="1"/>
    <col min="4361" max="4361" width="19.42578125" bestFit="1" customWidth="1"/>
    <col min="4362" max="4362" width="20.28515625" bestFit="1" customWidth="1"/>
    <col min="4363" max="4364" width="12" bestFit="1" customWidth="1"/>
    <col min="4365" max="4366" width="12.5703125" bestFit="1" customWidth="1"/>
    <col min="4367" max="4367" width="11.7109375" bestFit="1" customWidth="1"/>
    <col min="4368" max="4368" width="19" bestFit="1" customWidth="1"/>
    <col min="4369" max="4369" width="12.140625" bestFit="1" customWidth="1"/>
    <col min="4599" max="4599" width="15" bestFit="1" customWidth="1"/>
    <col min="4600" max="4600" width="68.28515625" bestFit="1" customWidth="1"/>
    <col min="4601" max="4601" width="9.140625" bestFit="1" customWidth="1"/>
    <col min="4602" max="4602" width="21.42578125" bestFit="1" customWidth="1"/>
    <col min="4603" max="4605" width="15.42578125" bestFit="1" customWidth="1"/>
    <col min="4606" max="4606" width="8.85546875" bestFit="1" customWidth="1"/>
    <col min="4607" max="4607" width="10" bestFit="1" customWidth="1"/>
    <col min="4608" max="4608" width="12.7109375" bestFit="1" customWidth="1"/>
    <col min="4609" max="4609" width="8.85546875" bestFit="1" customWidth="1"/>
    <col min="4610" max="4610" width="17.7109375" bestFit="1" customWidth="1"/>
    <col min="4611" max="4611" width="13" bestFit="1" customWidth="1"/>
    <col min="4612" max="4612" width="13.42578125" bestFit="1" customWidth="1"/>
    <col min="4613" max="4613" width="10.85546875" bestFit="1" customWidth="1"/>
    <col min="4614" max="4614" width="26.85546875" bestFit="1" customWidth="1"/>
    <col min="4615" max="4615" width="20.85546875" bestFit="1" customWidth="1"/>
    <col min="4616" max="4616" width="30.42578125" bestFit="1" customWidth="1"/>
    <col min="4617" max="4617" width="19.42578125" bestFit="1" customWidth="1"/>
    <col min="4618" max="4618" width="20.28515625" bestFit="1" customWidth="1"/>
    <col min="4619" max="4620" width="12" bestFit="1" customWidth="1"/>
    <col min="4621" max="4622" width="12.5703125" bestFit="1" customWidth="1"/>
    <col min="4623" max="4623" width="11.7109375" bestFit="1" customWidth="1"/>
    <col min="4624" max="4624" width="19" bestFit="1" customWidth="1"/>
    <col min="4625" max="4625" width="12.140625" bestFit="1" customWidth="1"/>
    <col min="4855" max="4855" width="15" bestFit="1" customWidth="1"/>
    <col min="4856" max="4856" width="68.28515625" bestFit="1" customWidth="1"/>
    <col min="4857" max="4857" width="9.140625" bestFit="1" customWidth="1"/>
    <col min="4858" max="4858" width="21.42578125" bestFit="1" customWidth="1"/>
    <col min="4859" max="4861" width="15.42578125" bestFit="1" customWidth="1"/>
    <col min="4862" max="4862" width="8.85546875" bestFit="1" customWidth="1"/>
    <col min="4863" max="4863" width="10" bestFit="1" customWidth="1"/>
    <col min="4864" max="4864" width="12.7109375" bestFit="1" customWidth="1"/>
    <col min="4865" max="4865" width="8.85546875" bestFit="1" customWidth="1"/>
    <col min="4866" max="4866" width="17.7109375" bestFit="1" customWidth="1"/>
    <col min="4867" max="4867" width="13" bestFit="1" customWidth="1"/>
    <col min="4868" max="4868" width="13.42578125" bestFit="1" customWidth="1"/>
    <col min="4869" max="4869" width="10.85546875" bestFit="1" customWidth="1"/>
    <col min="4870" max="4870" width="26.85546875" bestFit="1" customWidth="1"/>
    <col min="4871" max="4871" width="20.85546875" bestFit="1" customWidth="1"/>
    <col min="4872" max="4872" width="30.42578125" bestFit="1" customWidth="1"/>
    <col min="4873" max="4873" width="19.42578125" bestFit="1" customWidth="1"/>
    <col min="4874" max="4874" width="20.28515625" bestFit="1" customWidth="1"/>
    <col min="4875" max="4876" width="12" bestFit="1" customWidth="1"/>
    <col min="4877" max="4878" width="12.5703125" bestFit="1" customWidth="1"/>
    <col min="4879" max="4879" width="11.7109375" bestFit="1" customWidth="1"/>
    <col min="4880" max="4880" width="19" bestFit="1" customWidth="1"/>
    <col min="4881" max="4881" width="12.140625" bestFit="1" customWidth="1"/>
    <col min="5111" max="5111" width="15" bestFit="1" customWidth="1"/>
    <col min="5112" max="5112" width="68.28515625" bestFit="1" customWidth="1"/>
    <col min="5113" max="5113" width="9.140625" bestFit="1" customWidth="1"/>
    <col min="5114" max="5114" width="21.42578125" bestFit="1" customWidth="1"/>
    <col min="5115" max="5117" width="15.42578125" bestFit="1" customWidth="1"/>
    <col min="5118" max="5118" width="8.85546875" bestFit="1" customWidth="1"/>
    <col min="5119" max="5119" width="10" bestFit="1" customWidth="1"/>
    <col min="5120" max="5120" width="12.7109375" bestFit="1" customWidth="1"/>
    <col min="5121" max="5121" width="8.85546875" bestFit="1" customWidth="1"/>
    <col min="5122" max="5122" width="17.7109375" bestFit="1" customWidth="1"/>
    <col min="5123" max="5123" width="13" bestFit="1" customWidth="1"/>
    <col min="5124" max="5124" width="13.42578125" bestFit="1" customWidth="1"/>
    <col min="5125" max="5125" width="10.85546875" bestFit="1" customWidth="1"/>
    <col min="5126" max="5126" width="26.85546875" bestFit="1" customWidth="1"/>
    <col min="5127" max="5127" width="20.85546875" bestFit="1" customWidth="1"/>
    <col min="5128" max="5128" width="30.42578125" bestFit="1" customWidth="1"/>
    <col min="5129" max="5129" width="19.42578125" bestFit="1" customWidth="1"/>
    <col min="5130" max="5130" width="20.28515625" bestFit="1" customWidth="1"/>
    <col min="5131" max="5132" width="12" bestFit="1" customWidth="1"/>
    <col min="5133" max="5134" width="12.5703125" bestFit="1" customWidth="1"/>
    <col min="5135" max="5135" width="11.7109375" bestFit="1" customWidth="1"/>
    <col min="5136" max="5136" width="19" bestFit="1" customWidth="1"/>
    <col min="5137" max="5137" width="12.140625" bestFit="1" customWidth="1"/>
    <col min="5367" max="5367" width="15" bestFit="1" customWidth="1"/>
    <col min="5368" max="5368" width="68.28515625" bestFit="1" customWidth="1"/>
    <col min="5369" max="5369" width="9.140625" bestFit="1" customWidth="1"/>
    <col min="5370" max="5370" width="21.42578125" bestFit="1" customWidth="1"/>
    <col min="5371" max="5373" width="15.42578125" bestFit="1" customWidth="1"/>
    <col min="5374" max="5374" width="8.85546875" bestFit="1" customWidth="1"/>
    <col min="5375" max="5375" width="10" bestFit="1" customWidth="1"/>
    <col min="5376" max="5376" width="12.7109375" bestFit="1" customWidth="1"/>
    <col min="5377" max="5377" width="8.85546875" bestFit="1" customWidth="1"/>
    <col min="5378" max="5378" width="17.7109375" bestFit="1" customWidth="1"/>
    <col min="5379" max="5379" width="13" bestFit="1" customWidth="1"/>
    <col min="5380" max="5380" width="13.42578125" bestFit="1" customWidth="1"/>
    <col min="5381" max="5381" width="10.85546875" bestFit="1" customWidth="1"/>
    <col min="5382" max="5382" width="26.85546875" bestFit="1" customWidth="1"/>
    <col min="5383" max="5383" width="20.85546875" bestFit="1" customWidth="1"/>
    <col min="5384" max="5384" width="30.42578125" bestFit="1" customWidth="1"/>
    <col min="5385" max="5385" width="19.42578125" bestFit="1" customWidth="1"/>
    <col min="5386" max="5386" width="20.28515625" bestFit="1" customWidth="1"/>
    <col min="5387" max="5388" width="12" bestFit="1" customWidth="1"/>
    <col min="5389" max="5390" width="12.5703125" bestFit="1" customWidth="1"/>
    <col min="5391" max="5391" width="11.7109375" bestFit="1" customWidth="1"/>
    <col min="5392" max="5392" width="19" bestFit="1" customWidth="1"/>
    <col min="5393" max="5393" width="12.140625" bestFit="1" customWidth="1"/>
    <col min="5623" max="5623" width="15" bestFit="1" customWidth="1"/>
    <col min="5624" max="5624" width="68.28515625" bestFit="1" customWidth="1"/>
    <col min="5625" max="5625" width="9.140625" bestFit="1" customWidth="1"/>
    <col min="5626" max="5626" width="21.42578125" bestFit="1" customWidth="1"/>
    <col min="5627" max="5629" width="15.42578125" bestFit="1" customWidth="1"/>
    <col min="5630" max="5630" width="8.85546875" bestFit="1" customWidth="1"/>
    <col min="5631" max="5631" width="10" bestFit="1" customWidth="1"/>
    <col min="5632" max="5632" width="12.7109375" bestFit="1" customWidth="1"/>
    <col min="5633" max="5633" width="8.85546875" bestFit="1" customWidth="1"/>
    <col min="5634" max="5634" width="17.7109375" bestFit="1" customWidth="1"/>
    <col min="5635" max="5635" width="13" bestFit="1" customWidth="1"/>
    <col min="5636" max="5636" width="13.42578125" bestFit="1" customWidth="1"/>
    <col min="5637" max="5637" width="10.85546875" bestFit="1" customWidth="1"/>
    <col min="5638" max="5638" width="26.85546875" bestFit="1" customWidth="1"/>
    <col min="5639" max="5639" width="20.85546875" bestFit="1" customWidth="1"/>
    <col min="5640" max="5640" width="30.42578125" bestFit="1" customWidth="1"/>
    <col min="5641" max="5641" width="19.42578125" bestFit="1" customWidth="1"/>
    <col min="5642" max="5642" width="20.28515625" bestFit="1" customWidth="1"/>
    <col min="5643" max="5644" width="12" bestFit="1" customWidth="1"/>
    <col min="5645" max="5646" width="12.5703125" bestFit="1" customWidth="1"/>
    <col min="5647" max="5647" width="11.7109375" bestFit="1" customWidth="1"/>
    <col min="5648" max="5648" width="19" bestFit="1" customWidth="1"/>
    <col min="5649" max="5649" width="12.140625" bestFit="1" customWidth="1"/>
    <col min="5879" max="5879" width="15" bestFit="1" customWidth="1"/>
    <col min="5880" max="5880" width="68.28515625" bestFit="1" customWidth="1"/>
    <col min="5881" max="5881" width="9.140625" bestFit="1" customWidth="1"/>
    <col min="5882" max="5882" width="21.42578125" bestFit="1" customWidth="1"/>
    <col min="5883" max="5885" width="15.42578125" bestFit="1" customWidth="1"/>
    <col min="5886" max="5886" width="8.85546875" bestFit="1" customWidth="1"/>
    <col min="5887" max="5887" width="10" bestFit="1" customWidth="1"/>
    <col min="5888" max="5888" width="12.7109375" bestFit="1" customWidth="1"/>
    <col min="5889" max="5889" width="8.85546875" bestFit="1" customWidth="1"/>
    <col min="5890" max="5890" width="17.7109375" bestFit="1" customWidth="1"/>
    <col min="5891" max="5891" width="13" bestFit="1" customWidth="1"/>
    <col min="5892" max="5892" width="13.42578125" bestFit="1" customWidth="1"/>
    <col min="5893" max="5893" width="10.85546875" bestFit="1" customWidth="1"/>
    <col min="5894" max="5894" width="26.85546875" bestFit="1" customWidth="1"/>
    <col min="5895" max="5895" width="20.85546875" bestFit="1" customWidth="1"/>
    <col min="5896" max="5896" width="30.42578125" bestFit="1" customWidth="1"/>
    <col min="5897" max="5897" width="19.42578125" bestFit="1" customWidth="1"/>
    <col min="5898" max="5898" width="20.28515625" bestFit="1" customWidth="1"/>
    <col min="5899" max="5900" width="12" bestFit="1" customWidth="1"/>
    <col min="5901" max="5902" width="12.5703125" bestFit="1" customWidth="1"/>
    <col min="5903" max="5903" width="11.7109375" bestFit="1" customWidth="1"/>
    <col min="5904" max="5904" width="19" bestFit="1" customWidth="1"/>
    <col min="5905" max="5905" width="12.140625" bestFit="1" customWidth="1"/>
    <col min="6135" max="6135" width="15" bestFit="1" customWidth="1"/>
    <col min="6136" max="6136" width="68.28515625" bestFit="1" customWidth="1"/>
    <col min="6137" max="6137" width="9.140625" bestFit="1" customWidth="1"/>
    <col min="6138" max="6138" width="21.42578125" bestFit="1" customWidth="1"/>
    <col min="6139" max="6141" width="15.42578125" bestFit="1" customWidth="1"/>
    <col min="6142" max="6142" width="8.85546875" bestFit="1" customWidth="1"/>
    <col min="6143" max="6143" width="10" bestFit="1" customWidth="1"/>
    <col min="6144" max="6144" width="12.7109375" bestFit="1" customWidth="1"/>
    <col min="6145" max="6145" width="8.85546875" bestFit="1" customWidth="1"/>
    <col min="6146" max="6146" width="17.7109375" bestFit="1" customWidth="1"/>
    <col min="6147" max="6147" width="13" bestFit="1" customWidth="1"/>
    <col min="6148" max="6148" width="13.42578125" bestFit="1" customWidth="1"/>
    <col min="6149" max="6149" width="10.85546875" bestFit="1" customWidth="1"/>
    <col min="6150" max="6150" width="26.85546875" bestFit="1" customWidth="1"/>
    <col min="6151" max="6151" width="20.85546875" bestFit="1" customWidth="1"/>
    <col min="6152" max="6152" width="30.42578125" bestFit="1" customWidth="1"/>
    <col min="6153" max="6153" width="19.42578125" bestFit="1" customWidth="1"/>
    <col min="6154" max="6154" width="20.28515625" bestFit="1" customWidth="1"/>
    <col min="6155" max="6156" width="12" bestFit="1" customWidth="1"/>
    <col min="6157" max="6158" width="12.5703125" bestFit="1" customWidth="1"/>
    <col min="6159" max="6159" width="11.7109375" bestFit="1" customWidth="1"/>
    <col min="6160" max="6160" width="19" bestFit="1" customWidth="1"/>
    <col min="6161" max="6161" width="12.140625" bestFit="1" customWidth="1"/>
    <col min="6391" max="6391" width="15" bestFit="1" customWidth="1"/>
    <col min="6392" max="6392" width="68.28515625" bestFit="1" customWidth="1"/>
    <col min="6393" max="6393" width="9.140625" bestFit="1" customWidth="1"/>
    <col min="6394" max="6394" width="21.42578125" bestFit="1" customWidth="1"/>
    <col min="6395" max="6397" width="15.42578125" bestFit="1" customWidth="1"/>
    <col min="6398" max="6398" width="8.85546875" bestFit="1" customWidth="1"/>
    <col min="6399" max="6399" width="10" bestFit="1" customWidth="1"/>
    <col min="6400" max="6400" width="12.7109375" bestFit="1" customWidth="1"/>
    <col min="6401" max="6401" width="8.85546875" bestFit="1" customWidth="1"/>
    <col min="6402" max="6402" width="17.7109375" bestFit="1" customWidth="1"/>
    <col min="6403" max="6403" width="13" bestFit="1" customWidth="1"/>
    <col min="6404" max="6404" width="13.42578125" bestFit="1" customWidth="1"/>
    <col min="6405" max="6405" width="10.85546875" bestFit="1" customWidth="1"/>
    <col min="6406" max="6406" width="26.85546875" bestFit="1" customWidth="1"/>
    <col min="6407" max="6407" width="20.85546875" bestFit="1" customWidth="1"/>
    <col min="6408" max="6408" width="30.42578125" bestFit="1" customWidth="1"/>
    <col min="6409" max="6409" width="19.42578125" bestFit="1" customWidth="1"/>
    <col min="6410" max="6410" width="20.28515625" bestFit="1" customWidth="1"/>
    <col min="6411" max="6412" width="12" bestFit="1" customWidth="1"/>
    <col min="6413" max="6414" width="12.5703125" bestFit="1" customWidth="1"/>
    <col min="6415" max="6415" width="11.7109375" bestFit="1" customWidth="1"/>
    <col min="6416" max="6416" width="19" bestFit="1" customWidth="1"/>
    <col min="6417" max="6417" width="12.140625" bestFit="1" customWidth="1"/>
    <col min="6647" max="6647" width="15" bestFit="1" customWidth="1"/>
    <col min="6648" max="6648" width="68.28515625" bestFit="1" customWidth="1"/>
    <col min="6649" max="6649" width="9.140625" bestFit="1" customWidth="1"/>
    <col min="6650" max="6650" width="21.42578125" bestFit="1" customWidth="1"/>
    <col min="6651" max="6653" width="15.42578125" bestFit="1" customWidth="1"/>
    <col min="6654" max="6654" width="8.85546875" bestFit="1" customWidth="1"/>
    <col min="6655" max="6655" width="10" bestFit="1" customWidth="1"/>
    <col min="6656" max="6656" width="12.7109375" bestFit="1" customWidth="1"/>
    <col min="6657" max="6657" width="8.85546875" bestFit="1" customWidth="1"/>
    <col min="6658" max="6658" width="17.7109375" bestFit="1" customWidth="1"/>
    <col min="6659" max="6659" width="13" bestFit="1" customWidth="1"/>
    <col min="6660" max="6660" width="13.42578125" bestFit="1" customWidth="1"/>
    <col min="6661" max="6661" width="10.85546875" bestFit="1" customWidth="1"/>
    <col min="6662" max="6662" width="26.85546875" bestFit="1" customWidth="1"/>
    <col min="6663" max="6663" width="20.85546875" bestFit="1" customWidth="1"/>
    <col min="6664" max="6664" width="30.42578125" bestFit="1" customWidth="1"/>
    <col min="6665" max="6665" width="19.42578125" bestFit="1" customWidth="1"/>
    <col min="6666" max="6666" width="20.28515625" bestFit="1" customWidth="1"/>
    <col min="6667" max="6668" width="12" bestFit="1" customWidth="1"/>
    <col min="6669" max="6670" width="12.5703125" bestFit="1" customWidth="1"/>
    <col min="6671" max="6671" width="11.7109375" bestFit="1" customWidth="1"/>
    <col min="6672" max="6672" width="19" bestFit="1" customWidth="1"/>
    <col min="6673" max="6673" width="12.140625" bestFit="1" customWidth="1"/>
    <col min="6903" max="6903" width="15" bestFit="1" customWidth="1"/>
    <col min="6904" max="6904" width="68.28515625" bestFit="1" customWidth="1"/>
    <col min="6905" max="6905" width="9.140625" bestFit="1" customWidth="1"/>
    <col min="6906" max="6906" width="21.42578125" bestFit="1" customWidth="1"/>
    <col min="6907" max="6909" width="15.42578125" bestFit="1" customWidth="1"/>
    <col min="6910" max="6910" width="8.85546875" bestFit="1" customWidth="1"/>
    <col min="6911" max="6911" width="10" bestFit="1" customWidth="1"/>
    <col min="6912" max="6912" width="12.7109375" bestFit="1" customWidth="1"/>
    <col min="6913" max="6913" width="8.85546875" bestFit="1" customWidth="1"/>
    <col min="6914" max="6914" width="17.7109375" bestFit="1" customWidth="1"/>
    <col min="6915" max="6915" width="13" bestFit="1" customWidth="1"/>
    <col min="6916" max="6916" width="13.42578125" bestFit="1" customWidth="1"/>
    <col min="6917" max="6917" width="10.85546875" bestFit="1" customWidth="1"/>
    <col min="6918" max="6918" width="26.85546875" bestFit="1" customWidth="1"/>
    <col min="6919" max="6919" width="20.85546875" bestFit="1" customWidth="1"/>
    <col min="6920" max="6920" width="30.42578125" bestFit="1" customWidth="1"/>
    <col min="6921" max="6921" width="19.42578125" bestFit="1" customWidth="1"/>
    <col min="6922" max="6922" width="20.28515625" bestFit="1" customWidth="1"/>
    <col min="6923" max="6924" width="12" bestFit="1" customWidth="1"/>
    <col min="6925" max="6926" width="12.5703125" bestFit="1" customWidth="1"/>
    <col min="6927" max="6927" width="11.7109375" bestFit="1" customWidth="1"/>
    <col min="6928" max="6928" width="19" bestFit="1" customWidth="1"/>
    <col min="6929" max="6929" width="12.140625" bestFit="1" customWidth="1"/>
    <col min="7159" max="7159" width="15" bestFit="1" customWidth="1"/>
    <col min="7160" max="7160" width="68.28515625" bestFit="1" customWidth="1"/>
    <col min="7161" max="7161" width="9.140625" bestFit="1" customWidth="1"/>
    <col min="7162" max="7162" width="21.42578125" bestFit="1" customWidth="1"/>
    <col min="7163" max="7165" width="15.42578125" bestFit="1" customWidth="1"/>
    <col min="7166" max="7166" width="8.85546875" bestFit="1" customWidth="1"/>
    <col min="7167" max="7167" width="10" bestFit="1" customWidth="1"/>
    <col min="7168" max="7168" width="12.7109375" bestFit="1" customWidth="1"/>
    <col min="7169" max="7169" width="8.85546875" bestFit="1" customWidth="1"/>
    <col min="7170" max="7170" width="17.7109375" bestFit="1" customWidth="1"/>
    <col min="7171" max="7171" width="13" bestFit="1" customWidth="1"/>
    <col min="7172" max="7172" width="13.42578125" bestFit="1" customWidth="1"/>
    <col min="7173" max="7173" width="10.85546875" bestFit="1" customWidth="1"/>
    <col min="7174" max="7174" width="26.85546875" bestFit="1" customWidth="1"/>
    <col min="7175" max="7175" width="20.85546875" bestFit="1" customWidth="1"/>
    <col min="7176" max="7176" width="30.42578125" bestFit="1" customWidth="1"/>
    <col min="7177" max="7177" width="19.42578125" bestFit="1" customWidth="1"/>
    <col min="7178" max="7178" width="20.28515625" bestFit="1" customWidth="1"/>
    <col min="7179" max="7180" width="12" bestFit="1" customWidth="1"/>
    <col min="7181" max="7182" width="12.5703125" bestFit="1" customWidth="1"/>
    <col min="7183" max="7183" width="11.7109375" bestFit="1" customWidth="1"/>
    <col min="7184" max="7184" width="19" bestFit="1" customWidth="1"/>
    <col min="7185" max="7185" width="12.140625" bestFit="1" customWidth="1"/>
    <col min="7415" max="7415" width="15" bestFit="1" customWidth="1"/>
    <col min="7416" max="7416" width="68.28515625" bestFit="1" customWidth="1"/>
    <col min="7417" max="7417" width="9.140625" bestFit="1" customWidth="1"/>
    <col min="7418" max="7418" width="21.42578125" bestFit="1" customWidth="1"/>
    <col min="7419" max="7421" width="15.42578125" bestFit="1" customWidth="1"/>
    <col min="7422" max="7422" width="8.85546875" bestFit="1" customWidth="1"/>
    <col min="7423" max="7423" width="10" bestFit="1" customWidth="1"/>
    <col min="7424" max="7424" width="12.7109375" bestFit="1" customWidth="1"/>
    <col min="7425" max="7425" width="8.85546875" bestFit="1" customWidth="1"/>
    <col min="7426" max="7426" width="17.7109375" bestFit="1" customWidth="1"/>
    <col min="7427" max="7427" width="13" bestFit="1" customWidth="1"/>
    <col min="7428" max="7428" width="13.42578125" bestFit="1" customWidth="1"/>
    <col min="7429" max="7429" width="10.85546875" bestFit="1" customWidth="1"/>
    <col min="7430" max="7430" width="26.85546875" bestFit="1" customWidth="1"/>
    <col min="7431" max="7431" width="20.85546875" bestFit="1" customWidth="1"/>
    <col min="7432" max="7432" width="30.42578125" bestFit="1" customWidth="1"/>
    <col min="7433" max="7433" width="19.42578125" bestFit="1" customWidth="1"/>
    <col min="7434" max="7434" width="20.28515625" bestFit="1" customWidth="1"/>
    <col min="7435" max="7436" width="12" bestFit="1" customWidth="1"/>
    <col min="7437" max="7438" width="12.5703125" bestFit="1" customWidth="1"/>
    <col min="7439" max="7439" width="11.7109375" bestFit="1" customWidth="1"/>
    <col min="7440" max="7440" width="19" bestFit="1" customWidth="1"/>
    <col min="7441" max="7441" width="12.140625" bestFit="1" customWidth="1"/>
    <col min="7671" max="7671" width="15" bestFit="1" customWidth="1"/>
    <col min="7672" max="7672" width="68.28515625" bestFit="1" customWidth="1"/>
    <col min="7673" max="7673" width="9.140625" bestFit="1" customWidth="1"/>
    <col min="7674" max="7674" width="21.42578125" bestFit="1" customWidth="1"/>
    <col min="7675" max="7677" width="15.42578125" bestFit="1" customWidth="1"/>
    <col min="7678" max="7678" width="8.85546875" bestFit="1" customWidth="1"/>
    <col min="7679" max="7679" width="10" bestFit="1" customWidth="1"/>
    <col min="7680" max="7680" width="12.7109375" bestFit="1" customWidth="1"/>
    <col min="7681" max="7681" width="8.85546875" bestFit="1" customWidth="1"/>
    <col min="7682" max="7682" width="17.7109375" bestFit="1" customWidth="1"/>
    <col min="7683" max="7683" width="13" bestFit="1" customWidth="1"/>
    <col min="7684" max="7684" width="13.42578125" bestFit="1" customWidth="1"/>
    <col min="7685" max="7685" width="10.85546875" bestFit="1" customWidth="1"/>
    <col min="7686" max="7686" width="26.85546875" bestFit="1" customWidth="1"/>
    <col min="7687" max="7687" width="20.85546875" bestFit="1" customWidth="1"/>
    <col min="7688" max="7688" width="30.42578125" bestFit="1" customWidth="1"/>
    <col min="7689" max="7689" width="19.42578125" bestFit="1" customWidth="1"/>
    <col min="7690" max="7690" width="20.28515625" bestFit="1" customWidth="1"/>
    <col min="7691" max="7692" width="12" bestFit="1" customWidth="1"/>
    <col min="7693" max="7694" width="12.5703125" bestFit="1" customWidth="1"/>
    <col min="7695" max="7695" width="11.7109375" bestFit="1" customWidth="1"/>
    <col min="7696" max="7696" width="19" bestFit="1" customWidth="1"/>
    <col min="7697" max="7697" width="12.140625" bestFit="1" customWidth="1"/>
    <col min="7927" max="7927" width="15" bestFit="1" customWidth="1"/>
    <col min="7928" max="7928" width="68.28515625" bestFit="1" customWidth="1"/>
    <col min="7929" max="7929" width="9.140625" bestFit="1" customWidth="1"/>
    <col min="7930" max="7930" width="21.42578125" bestFit="1" customWidth="1"/>
    <col min="7931" max="7933" width="15.42578125" bestFit="1" customWidth="1"/>
    <col min="7934" max="7934" width="8.85546875" bestFit="1" customWidth="1"/>
    <col min="7935" max="7935" width="10" bestFit="1" customWidth="1"/>
    <col min="7936" max="7936" width="12.7109375" bestFit="1" customWidth="1"/>
    <col min="7937" max="7937" width="8.85546875" bestFit="1" customWidth="1"/>
    <col min="7938" max="7938" width="17.7109375" bestFit="1" customWidth="1"/>
    <col min="7939" max="7939" width="13" bestFit="1" customWidth="1"/>
    <col min="7940" max="7940" width="13.42578125" bestFit="1" customWidth="1"/>
    <col min="7941" max="7941" width="10.85546875" bestFit="1" customWidth="1"/>
    <col min="7942" max="7942" width="26.85546875" bestFit="1" customWidth="1"/>
    <col min="7943" max="7943" width="20.85546875" bestFit="1" customWidth="1"/>
    <col min="7944" max="7944" width="30.42578125" bestFit="1" customWidth="1"/>
    <col min="7945" max="7945" width="19.42578125" bestFit="1" customWidth="1"/>
    <col min="7946" max="7946" width="20.28515625" bestFit="1" customWidth="1"/>
    <col min="7947" max="7948" width="12" bestFit="1" customWidth="1"/>
    <col min="7949" max="7950" width="12.5703125" bestFit="1" customWidth="1"/>
    <col min="7951" max="7951" width="11.7109375" bestFit="1" customWidth="1"/>
    <col min="7952" max="7952" width="19" bestFit="1" customWidth="1"/>
    <col min="7953" max="7953" width="12.140625" bestFit="1" customWidth="1"/>
    <col min="8183" max="8183" width="15" bestFit="1" customWidth="1"/>
    <col min="8184" max="8184" width="68.28515625" bestFit="1" customWidth="1"/>
    <col min="8185" max="8185" width="9.140625" bestFit="1" customWidth="1"/>
    <col min="8186" max="8186" width="21.42578125" bestFit="1" customWidth="1"/>
    <col min="8187" max="8189" width="15.42578125" bestFit="1" customWidth="1"/>
    <col min="8190" max="8190" width="8.85546875" bestFit="1" customWidth="1"/>
    <col min="8191" max="8191" width="10" bestFit="1" customWidth="1"/>
    <col min="8192" max="8192" width="12.7109375" bestFit="1" customWidth="1"/>
    <col min="8193" max="8193" width="8.85546875" bestFit="1" customWidth="1"/>
    <col min="8194" max="8194" width="17.7109375" bestFit="1" customWidth="1"/>
    <col min="8195" max="8195" width="13" bestFit="1" customWidth="1"/>
    <col min="8196" max="8196" width="13.42578125" bestFit="1" customWidth="1"/>
    <col min="8197" max="8197" width="10.85546875" bestFit="1" customWidth="1"/>
    <col min="8198" max="8198" width="26.85546875" bestFit="1" customWidth="1"/>
    <col min="8199" max="8199" width="20.85546875" bestFit="1" customWidth="1"/>
    <col min="8200" max="8200" width="30.42578125" bestFit="1" customWidth="1"/>
    <col min="8201" max="8201" width="19.42578125" bestFit="1" customWidth="1"/>
    <col min="8202" max="8202" width="20.28515625" bestFit="1" customWidth="1"/>
    <col min="8203" max="8204" width="12" bestFit="1" customWidth="1"/>
    <col min="8205" max="8206" width="12.5703125" bestFit="1" customWidth="1"/>
    <col min="8207" max="8207" width="11.7109375" bestFit="1" customWidth="1"/>
    <col min="8208" max="8208" width="19" bestFit="1" customWidth="1"/>
    <col min="8209" max="8209" width="12.140625" bestFit="1" customWidth="1"/>
    <col min="8439" max="8439" width="15" bestFit="1" customWidth="1"/>
    <col min="8440" max="8440" width="68.28515625" bestFit="1" customWidth="1"/>
    <col min="8441" max="8441" width="9.140625" bestFit="1" customWidth="1"/>
    <col min="8442" max="8442" width="21.42578125" bestFit="1" customWidth="1"/>
    <col min="8443" max="8445" width="15.42578125" bestFit="1" customWidth="1"/>
    <col min="8446" max="8446" width="8.85546875" bestFit="1" customWidth="1"/>
    <col min="8447" max="8447" width="10" bestFit="1" customWidth="1"/>
    <col min="8448" max="8448" width="12.7109375" bestFit="1" customWidth="1"/>
    <col min="8449" max="8449" width="8.85546875" bestFit="1" customWidth="1"/>
    <col min="8450" max="8450" width="17.7109375" bestFit="1" customWidth="1"/>
    <col min="8451" max="8451" width="13" bestFit="1" customWidth="1"/>
    <col min="8452" max="8452" width="13.42578125" bestFit="1" customWidth="1"/>
    <col min="8453" max="8453" width="10.85546875" bestFit="1" customWidth="1"/>
    <col min="8454" max="8454" width="26.85546875" bestFit="1" customWidth="1"/>
    <col min="8455" max="8455" width="20.85546875" bestFit="1" customWidth="1"/>
    <col min="8456" max="8456" width="30.42578125" bestFit="1" customWidth="1"/>
    <col min="8457" max="8457" width="19.42578125" bestFit="1" customWidth="1"/>
    <col min="8458" max="8458" width="20.28515625" bestFit="1" customWidth="1"/>
    <col min="8459" max="8460" width="12" bestFit="1" customWidth="1"/>
    <col min="8461" max="8462" width="12.5703125" bestFit="1" customWidth="1"/>
    <col min="8463" max="8463" width="11.7109375" bestFit="1" customWidth="1"/>
    <col min="8464" max="8464" width="19" bestFit="1" customWidth="1"/>
    <col min="8465" max="8465" width="12.140625" bestFit="1" customWidth="1"/>
    <col min="8695" max="8695" width="15" bestFit="1" customWidth="1"/>
    <col min="8696" max="8696" width="68.28515625" bestFit="1" customWidth="1"/>
    <col min="8697" max="8697" width="9.140625" bestFit="1" customWidth="1"/>
    <col min="8698" max="8698" width="21.42578125" bestFit="1" customWidth="1"/>
    <col min="8699" max="8701" width="15.42578125" bestFit="1" customWidth="1"/>
    <col min="8702" max="8702" width="8.85546875" bestFit="1" customWidth="1"/>
    <col min="8703" max="8703" width="10" bestFit="1" customWidth="1"/>
    <col min="8704" max="8704" width="12.7109375" bestFit="1" customWidth="1"/>
    <col min="8705" max="8705" width="8.85546875" bestFit="1" customWidth="1"/>
    <col min="8706" max="8706" width="17.7109375" bestFit="1" customWidth="1"/>
    <col min="8707" max="8707" width="13" bestFit="1" customWidth="1"/>
    <col min="8708" max="8708" width="13.42578125" bestFit="1" customWidth="1"/>
    <col min="8709" max="8709" width="10.85546875" bestFit="1" customWidth="1"/>
    <col min="8710" max="8710" width="26.85546875" bestFit="1" customWidth="1"/>
    <col min="8711" max="8711" width="20.85546875" bestFit="1" customWidth="1"/>
    <col min="8712" max="8712" width="30.42578125" bestFit="1" customWidth="1"/>
    <col min="8713" max="8713" width="19.42578125" bestFit="1" customWidth="1"/>
    <col min="8714" max="8714" width="20.28515625" bestFit="1" customWidth="1"/>
    <col min="8715" max="8716" width="12" bestFit="1" customWidth="1"/>
    <col min="8717" max="8718" width="12.5703125" bestFit="1" customWidth="1"/>
    <col min="8719" max="8719" width="11.7109375" bestFit="1" customWidth="1"/>
    <col min="8720" max="8720" width="19" bestFit="1" customWidth="1"/>
    <col min="8721" max="8721" width="12.140625" bestFit="1" customWidth="1"/>
    <col min="8951" max="8951" width="15" bestFit="1" customWidth="1"/>
    <col min="8952" max="8952" width="68.28515625" bestFit="1" customWidth="1"/>
    <col min="8953" max="8953" width="9.140625" bestFit="1" customWidth="1"/>
    <col min="8954" max="8954" width="21.42578125" bestFit="1" customWidth="1"/>
    <col min="8955" max="8957" width="15.42578125" bestFit="1" customWidth="1"/>
    <col min="8958" max="8958" width="8.85546875" bestFit="1" customWidth="1"/>
    <col min="8959" max="8959" width="10" bestFit="1" customWidth="1"/>
    <col min="8960" max="8960" width="12.7109375" bestFit="1" customWidth="1"/>
    <col min="8961" max="8961" width="8.85546875" bestFit="1" customWidth="1"/>
    <col min="8962" max="8962" width="17.7109375" bestFit="1" customWidth="1"/>
    <col min="8963" max="8963" width="13" bestFit="1" customWidth="1"/>
    <col min="8964" max="8964" width="13.42578125" bestFit="1" customWidth="1"/>
    <col min="8965" max="8965" width="10.85546875" bestFit="1" customWidth="1"/>
    <col min="8966" max="8966" width="26.85546875" bestFit="1" customWidth="1"/>
    <col min="8967" max="8967" width="20.85546875" bestFit="1" customWidth="1"/>
    <col min="8968" max="8968" width="30.42578125" bestFit="1" customWidth="1"/>
    <col min="8969" max="8969" width="19.42578125" bestFit="1" customWidth="1"/>
    <col min="8970" max="8970" width="20.28515625" bestFit="1" customWidth="1"/>
    <col min="8971" max="8972" width="12" bestFit="1" customWidth="1"/>
    <col min="8973" max="8974" width="12.5703125" bestFit="1" customWidth="1"/>
    <col min="8975" max="8975" width="11.7109375" bestFit="1" customWidth="1"/>
    <col min="8976" max="8976" width="19" bestFit="1" customWidth="1"/>
    <col min="8977" max="8977" width="12.140625" bestFit="1" customWidth="1"/>
    <col min="9207" max="9207" width="15" bestFit="1" customWidth="1"/>
    <col min="9208" max="9208" width="68.28515625" bestFit="1" customWidth="1"/>
    <col min="9209" max="9209" width="9.140625" bestFit="1" customWidth="1"/>
    <col min="9210" max="9210" width="21.42578125" bestFit="1" customWidth="1"/>
    <col min="9211" max="9213" width="15.42578125" bestFit="1" customWidth="1"/>
    <col min="9214" max="9214" width="8.85546875" bestFit="1" customWidth="1"/>
    <col min="9215" max="9215" width="10" bestFit="1" customWidth="1"/>
    <col min="9216" max="9216" width="12.7109375" bestFit="1" customWidth="1"/>
    <col min="9217" max="9217" width="8.85546875" bestFit="1" customWidth="1"/>
    <col min="9218" max="9218" width="17.7109375" bestFit="1" customWidth="1"/>
    <col min="9219" max="9219" width="13" bestFit="1" customWidth="1"/>
    <col min="9220" max="9220" width="13.42578125" bestFit="1" customWidth="1"/>
    <col min="9221" max="9221" width="10.85546875" bestFit="1" customWidth="1"/>
    <col min="9222" max="9222" width="26.85546875" bestFit="1" customWidth="1"/>
    <col min="9223" max="9223" width="20.85546875" bestFit="1" customWidth="1"/>
    <col min="9224" max="9224" width="30.42578125" bestFit="1" customWidth="1"/>
    <col min="9225" max="9225" width="19.42578125" bestFit="1" customWidth="1"/>
    <col min="9226" max="9226" width="20.28515625" bestFit="1" customWidth="1"/>
    <col min="9227" max="9228" width="12" bestFit="1" customWidth="1"/>
    <col min="9229" max="9230" width="12.5703125" bestFit="1" customWidth="1"/>
    <col min="9231" max="9231" width="11.7109375" bestFit="1" customWidth="1"/>
    <col min="9232" max="9232" width="19" bestFit="1" customWidth="1"/>
    <col min="9233" max="9233" width="12.140625" bestFit="1" customWidth="1"/>
    <col min="9463" max="9463" width="15" bestFit="1" customWidth="1"/>
    <col min="9464" max="9464" width="68.28515625" bestFit="1" customWidth="1"/>
    <col min="9465" max="9465" width="9.140625" bestFit="1" customWidth="1"/>
    <col min="9466" max="9466" width="21.42578125" bestFit="1" customWidth="1"/>
    <col min="9467" max="9469" width="15.42578125" bestFit="1" customWidth="1"/>
    <col min="9470" max="9470" width="8.85546875" bestFit="1" customWidth="1"/>
    <col min="9471" max="9471" width="10" bestFit="1" customWidth="1"/>
    <col min="9472" max="9472" width="12.7109375" bestFit="1" customWidth="1"/>
    <col min="9473" max="9473" width="8.85546875" bestFit="1" customWidth="1"/>
    <col min="9474" max="9474" width="17.7109375" bestFit="1" customWidth="1"/>
    <col min="9475" max="9475" width="13" bestFit="1" customWidth="1"/>
    <col min="9476" max="9476" width="13.42578125" bestFit="1" customWidth="1"/>
    <col min="9477" max="9477" width="10.85546875" bestFit="1" customWidth="1"/>
    <col min="9478" max="9478" width="26.85546875" bestFit="1" customWidth="1"/>
    <col min="9479" max="9479" width="20.85546875" bestFit="1" customWidth="1"/>
    <col min="9480" max="9480" width="30.42578125" bestFit="1" customWidth="1"/>
    <col min="9481" max="9481" width="19.42578125" bestFit="1" customWidth="1"/>
    <col min="9482" max="9482" width="20.28515625" bestFit="1" customWidth="1"/>
    <col min="9483" max="9484" width="12" bestFit="1" customWidth="1"/>
    <col min="9485" max="9486" width="12.5703125" bestFit="1" customWidth="1"/>
    <col min="9487" max="9487" width="11.7109375" bestFit="1" customWidth="1"/>
    <col min="9488" max="9488" width="19" bestFit="1" customWidth="1"/>
    <col min="9489" max="9489" width="12.140625" bestFit="1" customWidth="1"/>
    <col min="9719" max="9719" width="15" bestFit="1" customWidth="1"/>
    <col min="9720" max="9720" width="68.28515625" bestFit="1" customWidth="1"/>
    <col min="9721" max="9721" width="9.140625" bestFit="1" customWidth="1"/>
    <col min="9722" max="9722" width="21.42578125" bestFit="1" customWidth="1"/>
    <col min="9723" max="9725" width="15.42578125" bestFit="1" customWidth="1"/>
    <col min="9726" max="9726" width="8.85546875" bestFit="1" customWidth="1"/>
    <col min="9727" max="9727" width="10" bestFit="1" customWidth="1"/>
    <col min="9728" max="9728" width="12.7109375" bestFit="1" customWidth="1"/>
    <col min="9729" max="9729" width="8.85546875" bestFit="1" customWidth="1"/>
    <col min="9730" max="9730" width="17.7109375" bestFit="1" customWidth="1"/>
    <col min="9731" max="9731" width="13" bestFit="1" customWidth="1"/>
    <col min="9732" max="9732" width="13.42578125" bestFit="1" customWidth="1"/>
    <col min="9733" max="9733" width="10.85546875" bestFit="1" customWidth="1"/>
    <col min="9734" max="9734" width="26.85546875" bestFit="1" customWidth="1"/>
    <col min="9735" max="9735" width="20.85546875" bestFit="1" customWidth="1"/>
    <col min="9736" max="9736" width="30.42578125" bestFit="1" customWidth="1"/>
    <col min="9737" max="9737" width="19.42578125" bestFit="1" customWidth="1"/>
    <col min="9738" max="9738" width="20.28515625" bestFit="1" customWidth="1"/>
    <col min="9739" max="9740" width="12" bestFit="1" customWidth="1"/>
    <col min="9741" max="9742" width="12.5703125" bestFit="1" customWidth="1"/>
    <col min="9743" max="9743" width="11.7109375" bestFit="1" customWidth="1"/>
    <col min="9744" max="9744" width="19" bestFit="1" customWidth="1"/>
    <col min="9745" max="9745" width="12.140625" bestFit="1" customWidth="1"/>
    <col min="9975" max="9975" width="15" bestFit="1" customWidth="1"/>
    <col min="9976" max="9976" width="68.28515625" bestFit="1" customWidth="1"/>
    <col min="9977" max="9977" width="9.140625" bestFit="1" customWidth="1"/>
    <col min="9978" max="9978" width="21.42578125" bestFit="1" customWidth="1"/>
    <col min="9979" max="9981" width="15.42578125" bestFit="1" customWidth="1"/>
    <col min="9982" max="9982" width="8.85546875" bestFit="1" customWidth="1"/>
    <col min="9983" max="9983" width="10" bestFit="1" customWidth="1"/>
    <col min="9984" max="9984" width="12.7109375" bestFit="1" customWidth="1"/>
    <col min="9985" max="9985" width="8.85546875" bestFit="1" customWidth="1"/>
    <col min="9986" max="9986" width="17.7109375" bestFit="1" customWidth="1"/>
    <col min="9987" max="9987" width="13" bestFit="1" customWidth="1"/>
    <col min="9988" max="9988" width="13.42578125" bestFit="1" customWidth="1"/>
    <col min="9989" max="9989" width="10.85546875" bestFit="1" customWidth="1"/>
    <col min="9990" max="9990" width="26.85546875" bestFit="1" customWidth="1"/>
    <col min="9991" max="9991" width="20.85546875" bestFit="1" customWidth="1"/>
    <col min="9992" max="9992" width="30.42578125" bestFit="1" customWidth="1"/>
    <col min="9993" max="9993" width="19.42578125" bestFit="1" customWidth="1"/>
    <col min="9994" max="9994" width="20.28515625" bestFit="1" customWidth="1"/>
    <col min="9995" max="9996" width="12" bestFit="1" customWidth="1"/>
    <col min="9997" max="9998" width="12.5703125" bestFit="1" customWidth="1"/>
    <col min="9999" max="9999" width="11.7109375" bestFit="1" customWidth="1"/>
    <col min="10000" max="10000" width="19" bestFit="1" customWidth="1"/>
    <col min="10001" max="10001" width="12.140625" bestFit="1" customWidth="1"/>
    <col min="10231" max="10231" width="15" bestFit="1" customWidth="1"/>
    <col min="10232" max="10232" width="68.28515625" bestFit="1" customWidth="1"/>
    <col min="10233" max="10233" width="9.140625" bestFit="1" customWidth="1"/>
    <col min="10234" max="10234" width="21.42578125" bestFit="1" customWidth="1"/>
    <col min="10235" max="10237" width="15.42578125" bestFit="1" customWidth="1"/>
    <col min="10238" max="10238" width="8.85546875" bestFit="1" customWidth="1"/>
    <col min="10239" max="10239" width="10" bestFit="1" customWidth="1"/>
    <col min="10240" max="10240" width="12.7109375" bestFit="1" customWidth="1"/>
    <col min="10241" max="10241" width="8.85546875" bestFit="1" customWidth="1"/>
    <col min="10242" max="10242" width="17.7109375" bestFit="1" customWidth="1"/>
    <col min="10243" max="10243" width="13" bestFit="1" customWidth="1"/>
    <col min="10244" max="10244" width="13.42578125" bestFit="1" customWidth="1"/>
    <col min="10245" max="10245" width="10.85546875" bestFit="1" customWidth="1"/>
    <col min="10246" max="10246" width="26.85546875" bestFit="1" customWidth="1"/>
    <col min="10247" max="10247" width="20.85546875" bestFit="1" customWidth="1"/>
    <col min="10248" max="10248" width="30.42578125" bestFit="1" customWidth="1"/>
    <col min="10249" max="10249" width="19.42578125" bestFit="1" customWidth="1"/>
    <col min="10250" max="10250" width="20.28515625" bestFit="1" customWidth="1"/>
    <col min="10251" max="10252" width="12" bestFit="1" customWidth="1"/>
    <col min="10253" max="10254" width="12.5703125" bestFit="1" customWidth="1"/>
    <col min="10255" max="10255" width="11.7109375" bestFit="1" customWidth="1"/>
    <col min="10256" max="10256" width="19" bestFit="1" customWidth="1"/>
    <col min="10257" max="10257" width="12.140625" bestFit="1" customWidth="1"/>
    <col min="10487" max="10487" width="15" bestFit="1" customWidth="1"/>
    <col min="10488" max="10488" width="68.28515625" bestFit="1" customWidth="1"/>
    <col min="10489" max="10489" width="9.140625" bestFit="1" customWidth="1"/>
    <col min="10490" max="10490" width="21.42578125" bestFit="1" customWidth="1"/>
    <col min="10491" max="10493" width="15.42578125" bestFit="1" customWidth="1"/>
    <col min="10494" max="10494" width="8.85546875" bestFit="1" customWidth="1"/>
    <col min="10495" max="10495" width="10" bestFit="1" customWidth="1"/>
    <col min="10496" max="10496" width="12.7109375" bestFit="1" customWidth="1"/>
    <col min="10497" max="10497" width="8.85546875" bestFit="1" customWidth="1"/>
    <col min="10498" max="10498" width="17.7109375" bestFit="1" customWidth="1"/>
    <col min="10499" max="10499" width="13" bestFit="1" customWidth="1"/>
    <col min="10500" max="10500" width="13.42578125" bestFit="1" customWidth="1"/>
    <col min="10501" max="10501" width="10.85546875" bestFit="1" customWidth="1"/>
    <col min="10502" max="10502" width="26.85546875" bestFit="1" customWidth="1"/>
    <col min="10503" max="10503" width="20.85546875" bestFit="1" customWidth="1"/>
    <col min="10504" max="10504" width="30.42578125" bestFit="1" customWidth="1"/>
    <col min="10505" max="10505" width="19.42578125" bestFit="1" customWidth="1"/>
    <col min="10506" max="10506" width="20.28515625" bestFit="1" customWidth="1"/>
    <col min="10507" max="10508" width="12" bestFit="1" customWidth="1"/>
    <col min="10509" max="10510" width="12.5703125" bestFit="1" customWidth="1"/>
    <col min="10511" max="10511" width="11.7109375" bestFit="1" customWidth="1"/>
    <col min="10512" max="10512" width="19" bestFit="1" customWidth="1"/>
    <col min="10513" max="10513" width="12.140625" bestFit="1" customWidth="1"/>
    <col min="10743" max="10743" width="15" bestFit="1" customWidth="1"/>
    <col min="10744" max="10744" width="68.28515625" bestFit="1" customWidth="1"/>
    <col min="10745" max="10745" width="9.140625" bestFit="1" customWidth="1"/>
    <col min="10746" max="10746" width="21.42578125" bestFit="1" customWidth="1"/>
    <col min="10747" max="10749" width="15.42578125" bestFit="1" customWidth="1"/>
    <col min="10750" max="10750" width="8.85546875" bestFit="1" customWidth="1"/>
    <col min="10751" max="10751" width="10" bestFit="1" customWidth="1"/>
    <col min="10752" max="10752" width="12.7109375" bestFit="1" customWidth="1"/>
    <col min="10753" max="10753" width="8.85546875" bestFit="1" customWidth="1"/>
    <col min="10754" max="10754" width="17.7109375" bestFit="1" customWidth="1"/>
    <col min="10755" max="10755" width="13" bestFit="1" customWidth="1"/>
    <col min="10756" max="10756" width="13.42578125" bestFit="1" customWidth="1"/>
    <col min="10757" max="10757" width="10.85546875" bestFit="1" customWidth="1"/>
    <col min="10758" max="10758" width="26.85546875" bestFit="1" customWidth="1"/>
    <col min="10759" max="10759" width="20.85546875" bestFit="1" customWidth="1"/>
    <col min="10760" max="10760" width="30.42578125" bestFit="1" customWidth="1"/>
    <col min="10761" max="10761" width="19.42578125" bestFit="1" customWidth="1"/>
    <col min="10762" max="10762" width="20.28515625" bestFit="1" customWidth="1"/>
    <col min="10763" max="10764" width="12" bestFit="1" customWidth="1"/>
    <col min="10765" max="10766" width="12.5703125" bestFit="1" customWidth="1"/>
    <col min="10767" max="10767" width="11.7109375" bestFit="1" customWidth="1"/>
    <col min="10768" max="10768" width="19" bestFit="1" customWidth="1"/>
    <col min="10769" max="10769" width="12.140625" bestFit="1" customWidth="1"/>
    <col min="10999" max="10999" width="15" bestFit="1" customWidth="1"/>
    <col min="11000" max="11000" width="68.28515625" bestFit="1" customWidth="1"/>
    <col min="11001" max="11001" width="9.140625" bestFit="1" customWidth="1"/>
    <col min="11002" max="11002" width="21.42578125" bestFit="1" customWidth="1"/>
    <col min="11003" max="11005" width="15.42578125" bestFit="1" customWidth="1"/>
    <col min="11006" max="11006" width="8.85546875" bestFit="1" customWidth="1"/>
    <col min="11007" max="11007" width="10" bestFit="1" customWidth="1"/>
    <col min="11008" max="11008" width="12.7109375" bestFit="1" customWidth="1"/>
    <col min="11009" max="11009" width="8.85546875" bestFit="1" customWidth="1"/>
    <col min="11010" max="11010" width="17.7109375" bestFit="1" customWidth="1"/>
    <col min="11011" max="11011" width="13" bestFit="1" customWidth="1"/>
    <col min="11012" max="11012" width="13.42578125" bestFit="1" customWidth="1"/>
    <col min="11013" max="11013" width="10.85546875" bestFit="1" customWidth="1"/>
    <col min="11014" max="11014" width="26.85546875" bestFit="1" customWidth="1"/>
    <col min="11015" max="11015" width="20.85546875" bestFit="1" customWidth="1"/>
    <col min="11016" max="11016" width="30.42578125" bestFit="1" customWidth="1"/>
    <col min="11017" max="11017" width="19.42578125" bestFit="1" customWidth="1"/>
    <col min="11018" max="11018" width="20.28515625" bestFit="1" customWidth="1"/>
    <col min="11019" max="11020" width="12" bestFit="1" customWidth="1"/>
    <col min="11021" max="11022" width="12.5703125" bestFit="1" customWidth="1"/>
    <col min="11023" max="11023" width="11.7109375" bestFit="1" customWidth="1"/>
    <col min="11024" max="11024" width="19" bestFit="1" customWidth="1"/>
    <col min="11025" max="11025" width="12.140625" bestFit="1" customWidth="1"/>
    <col min="11255" max="11255" width="15" bestFit="1" customWidth="1"/>
    <col min="11256" max="11256" width="68.28515625" bestFit="1" customWidth="1"/>
    <col min="11257" max="11257" width="9.140625" bestFit="1" customWidth="1"/>
    <col min="11258" max="11258" width="21.42578125" bestFit="1" customWidth="1"/>
    <col min="11259" max="11261" width="15.42578125" bestFit="1" customWidth="1"/>
    <col min="11262" max="11262" width="8.85546875" bestFit="1" customWidth="1"/>
    <col min="11263" max="11263" width="10" bestFit="1" customWidth="1"/>
    <col min="11264" max="11264" width="12.7109375" bestFit="1" customWidth="1"/>
    <col min="11265" max="11265" width="8.85546875" bestFit="1" customWidth="1"/>
    <col min="11266" max="11266" width="17.7109375" bestFit="1" customWidth="1"/>
    <col min="11267" max="11267" width="13" bestFit="1" customWidth="1"/>
    <col min="11268" max="11268" width="13.42578125" bestFit="1" customWidth="1"/>
    <col min="11269" max="11269" width="10.85546875" bestFit="1" customWidth="1"/>
    <col min="11270" max="11270" width="26.85546875" bestFit="1" customWidth="1"/>
    <col min="11271" max="11271" width="20.85546875" bestFit="1" customWidth="1"/>
    <col min="11272" max="11272" width="30.42578125" bestFit="1" customWidth="1"/>
    <col min="11273" max="11273" width="19.42578125" bestFit="1" customWidth="1"/>
    <col min="11274" max="11274" width="20.28515625" bestFit="1" customWidth="1"/>
    <col min="11275" max="11276" width="12" bestFit="1" customWidth="1"/>
    <col min="11277" max="11278" width="12.5703125" bestFit="1" customWidth="1"/>
    <col min="11279" max="11279" width="11.7109375" bestFit="1" customWidth="1"/>
    <col min="11280" max="11280" width="19" bestFit="1" customWidth="1"/>
    <col min="11281" max="11281" width="12.140625" bestFit="1" customWidth="1"/>
    <col min="11511" max="11511" width="15" bestFit="1" customWidth="1"/>
    <col min="11512" max="11512" width="68.28515625" bestFit="1" customWidth="1"/>
    <col min="11513" max="11513" width="9.140625" bestFit="1" customWidth="1"/>
    <col min="11514" max="11514" width="21.42578125" bestFit="1" customWidth="1"/>
    <col min="11515" max="11517" width="15.42578125" bestFit="1" customWidth="1"/>
    <col min="11518" max="11518" width="8.85546875" bestFit="1" customWidth="1"/>
    <col min="11519" max="11519" width="10" bestFit="1" customWidth="1"/>
    <col min="11520" max="11520" width="12.7109375" bestFit="1" customWidth="1"/>
    <col min="11521" max="11521" width="8.85546875" bestFit="1" customWidth="1"/>
    <col min="11522" max="11522" width="17.7109375" bestFit="1" customWidth="1"/>
    <col min="11523" max="11523" width="13" bestFit="1" customWidth="1"/>
    <col min="11524" max="11524" width="13.42578125" bestFit="1" customWidth="1"/>
    <col min="11525" max="11525" width="10.85546875" bestFit="1" customWidth="1"/>
    <col min="11526" max="11526" width="26.85546875" bestFit="1" customWidth="1"/>
    <col min="11527" max="11527" width="20.85546875" bestFit="1" customWidth="1"/>
    <col min="11528" max="11528" width="30.42578125" bestFit="1" customWidth="1"/>
    <col min="11529" max="11529" width="19.42578125" bestFit="1" customWidth="1"/>
    <col min="11530" max="11530" width="20.28515625" bestFit="1" customWidth="1"/>
    <col min="11531" max="11532" width="12" bestFit="1" customWidth="1"/>
    <col min="11533" max="11534" width="12.5703125" bestFit="1" customWidth="1"/>
    <col min="11535" max="11535" width="11.7109375" bestFit="1" customWidth="1"/>
    <col min="11536" max="11536" width="19" bestFit="1" customWidth="1"/>
    <col min="11537" max="11537" width="12.140625" bestFit="1" customWidth="1"/>
    <col min="11767" max="11767" width="15" bestFit="1" customWidth="1"/>
    <col min="11768" max="11768" width="68.28515625" bestFit="1" customWidth="1"/>
    <col min="11769" max="11769" width="9.140625" bestFit="1" customWidth="1"/>
    <col min="11770" max="11770" width="21.42578125" bestFit="1" customWidth="1"/>
    <col min="11771" max="11773" width="15.42578125" bestFit="1" customWidth="1"/>
    <col min="11774" max="11774" width="8.85546875" bestFit="1" customWidth="1"/>
    <col min="11775" max="11775" width="10" bestFit="1" customWidth="1"/>
    <col min="11776" max="11776" width="12.7109375" bestFit="1" customWidth="1"/>
    <col min="11777" max="11777" width="8.85546875" bestFit="1" customWidth="1"/>
    <col min="11778" max="11778" width="17.7109375" bestFit="1" customWidth="1"/>
    <col min="11779" max="11779" width="13" bestFit="1" customWidth="1"/>
    <col min="11780" max="11780" width="13.42578125" bestFit="1" customWidth="1"/>
    <col min="11781" max="11781" width="10.85546875" bestFit="1" customWidth="1"/>
    <col min="11782" max="11782" width="26.85546875" bestFit="1" customWidth="1"/>
    <col min="11783" max="11783" width="20.85546875" bestFit="1" customWidth="1"/>
    <col min="11784" max="11784" width="30.42578125" bestFit="1" customWidth="1"/>
    <col min="11785" max="11785" width="19.42578125" bestFit="1" customWidth="1"/>
    <col min="11786" max="11786" width="20.28515625" bestFit="1" customWidth="1"/>
    <col min="11787" max="11788" width="12" bestFit="1" customWidth="1"/>
    <col min="11789" max="11790" width="12.5703125" bestFit="1" customWidth="1"/>
    <col min="11791" max="11791" width="11.7109375" bestFit="1" customWidth="1"/>
    <col min="11792" max="11792" width="19" bestFit="1" customWidth="1"/>
    <col min="11793" max="11793" width="12.140625" bestFit="1" customWidth="1"/>
    <col min="12023" max="12023" width="15" bestFit="1" customWidth="1"/>
    <col min="12024" max="12024" width="68.28515625" bestFit="1" customWidth="1"/>
    <col min="12025" max="12025" width="9.140625" bestFit="1" customWidth="1"/>
    <col min="12026" max="12026" width="21.42578125" bestFit="1" customWidth="1"/>
    <col min="12027" max="12029" width="15.42578125" bestFit="1" customWidth="1"/>
    <col min="12030" max="12030" width="8.85546875" bestFit="1" customWidth="1"/>
    <col min="12031" max="12031" width="10" bestFit="1" customWidth="1"/>
    <col min="12032" max="12032" width="12.7109375" bestFit="1" customWidth="1"/>
    <col min="12033" max="12033" width="8.85546875" bestFit="1" customWidth="1"/>
    <col min="12034" max="12034" width="17.7109375" bestFit="1" customWidth="1"/>
    <col min="12035" max="12035" width="13" bestFit="1" customWidth="1"/>
    <col min="12036" max="12036" width="13.42578125" bestFit="1" customWidth="1"/>
    <col min="12037" max="12037" width="10.85546875" bestFit="1" customWidth="1"/>
    <col min="12038" max="12038" width="26.85546875" bestFit="1" customWidth="1"/>
    <col min="12039" max="12039" width="20.85546875" bestFit="1" customWidth="1"/>
    <col min="12040" max="12040" width="30.42578125" bestFit="1" customWidth="1"/>
    <col min="12041" max="12041" width="19.42578125" bestFit="1" customWidth="1"/>
    <col min="12042" max="12042" width="20.28515625" bestFit="1" customWidth="1"/>
    <col min="12043" max="12044" width="12" bestFit="1" customWidth="1"/>
    <col min="12045" max="12046" width="12.5703125" bestFit="1" customWidth="1"/>
    <col min="12047" max="12047" width="11.7109375" bestFit="1" customWidth="1"/>
    <col min="12048" max="12048" width="19" bestFit="1" customWidth="1"/>
    <col min="12049" max="12049" width="12.140625" bestFit="1" customWidth="1"/>
    <col min="12279" max="12279" width="15" bestFit="1" customWidth="1"/>
    <col min="12280" max="12280" width="68.28515625" bestFit="1" customWidth="1"/>
    <col min="12281" max="12281" width="9.140625" bestFit="1" customWidth="1"/>
    <col min="12282" max="12282" width="21.42578125" bestFit="1" customWidth="1"/>
    <col min="12283" max="12285" width="15.42578125" bestFit="1" customWidth="1"/>
    <col min="12286" max="12286" width="8.85546875" bestFit="1" customWidth="1"/>
    <col min="12287" max="12287" width="10" bestFit="1" customWidth="1"/>
    <col min="12288" max="12288" width="12.7109375" bestFit="1" customWidth="1"/>
    <col min="12289" max="12289" width="8.85546875" bestFit="1" customWidth="1"/>
    <col min="12290" max="12290" width="17.7109375" bestFit="1" customWidth="1"/>
    <col min="12291" max="12291" width="13" bestFit="1" customWidth="1"/>
    <col min="12292" max="12292" width="13.42578125" bestFit="1" customWidth="1"/>
    <col min="12293" max="12293" width="10.85546875" bestFit="1" customWidth="1"/>
    <col min="12294" max="12294" width="26.85546875" bestFit="1" customWidth="1"/>
    <col min="12295" max="12295" width="20.85546875" bestFit="1" customWidth="1"/>
    <col min="12296" max="12296" width="30.42578125" bestFit="1" customWidth="1"/>
    <col min="12297" max="12297" width="19.42578125" bestFit="1" customWidth="1"/>
    <col min="12298" max="12298" width="20.28515625" bestFit="1" customWidth="1"/>
    <col min="12299" max="12300" width="12" bestFit="1" customWidth="1"/>
    <col min="12301" max="12302" width="12.5703125" bestFit="1" customWidth="1"/>
    <col min="12303" max="12303" width="11.7109375" bestFit="1" customWidth="1"/>
    <col min="12304" max="12304" width="19" bestFit="1" customWidth="1"/>
    <col min="12305" max="12305" width="12.140625" bestFit="1" customWidth="1"/>
    <col min="12535" max="12535" width="15" bestFit="1" customWidth="1"/>
    <col min="12536" max="12536" width="68.28515625" bestFit="1" customWidth="1"/>
    <col min="12537" max="12537" width="9.140625" bestFit="1" customWidth="1"/>
    <col min="12538" max="12538" width="21.42578125" bestFit="1" customWidth="1"/>
    <col min="12539" max="12541" width="15.42578125" bestFit="1" customWidth="1"/>
    <col min="12542" max="12542" width="8.85546875" bestFit="1" customWidth="1"/>
    <col min="12543" max="12543" width="10" bestFit="1" customWidth="1"/>
    <col min="12544" max="12544" width="12.7109375" bestFit="1" customWidth="1"/>
    <col min="12545" max="12545" width="8.85546875" bestFit="1" customWidth="1"/>
    <col min="12546" max="12546" width="17.7109375" bestFit="1" customWidth="1"/>
    <col min="12547" max="12547" width="13" bestFit="1" customWidth="1"/>
    <col min="12548" max="12548" width="13.42578125" bestFit="1" customWidth="1"/>
    <col min="12549" max="12549" width="10.85546875" bestFit="1" customWidth="1"/>
    <col min="12550" max="12550" width="26.85546875" bestFit="1" customWidth="1"/>
    <col min="12551" max="12551" width="20.85546875" bestFit="1" customWidth="1"/>
    <col min="12552" max="12552" width="30.42578125" bestFit="1" customWidth="1"/>
    <col min="12553" max="12553" width="19.42578125" bestFit="1" customWidth="1"/>
    <col min="12554" max="12554" width="20.28515625" bestFit="1" customWidth="1"/>
    <col min="12555" max="12556" width="12" bestFit="1" customWidth="1"/>
    <col min="12557" max="12558" width="12.5703125" bestFit="1" customWidth="1"/>
    <col min="12559" max="12559" width="11.7109375" bestFit="1" customWidth="1"/>
    <col min="12560" max="12560" width="19" bestFit="1" customWidth="1"/>
    <col min="12561" max="12561" width="12.140625" bestFit="1" customWidth="1"/>
    <col min="12791" max="12791" width="15" bestFit="1" customWidth="1"/>
    <col min="12792" max="12792" width="68.28515625" bestFit="1" customWidth="1"/>
    <col min="12793" max="12793" width="9.140625" bestFit="1" customWidth="1"/>
    <col min="12794" max="12794" width="21.42578125" bestFit="1" customWidth="1"/>
    <col min="12795" max="12797" width="15.42578125" bestFit="1" customWidth="1"/>
    <col min="12798" max="12798" width="8.85546875" bestFit="1" customWidth="1"/>
    <col min="12799" max="12799" width="10" bestFit="1" customWidth="1"/>
    <col min="12800" max="12800" width="12.7109375" bestFit="1" customWidth="1"/>
    <col min="12801" max="12801" width="8.85546875" bestFit="1" customWidth="1"/>
    <col min="12802" max="12802" width="17.7109375" bestFit="1" customWidth="1"/>
    <col min="12803" max="12803" width="13" bestFit="1" customWidth="1"/>
    <col min="12804" max="12804" width="13.42578125" bestFit="1" customWidth="1"/>
    <col min="12805" max="12805" width="10.85546875" bestFit="1" customWidth="1"/>
    <col min="12806" max="12806" width="26.85546875" bestFit="1" customWidth="1"/>
    <col min="12807" max="12807" width="20.85546875" bestFit="1" customWidth="1"/>
    <col min="12808" max="12808" width="30.42578125" bestFit="1" customWidth="1"/>
    <col min="12809" max="12809" width="19.42578125" bestFit="1" customWidth="1"/>
    <col min="12810" max="12810" width="20.28515625" bestFit="1" customWidth="1"/>
    <col min="12811" max="12812" width="12" bestFit="1" customWidth="1"/>
    <col min="12813" max="12814" width="12.5703125" bestFit="1" customWidth="1"/>
    <col min="12815" max="12815" width="11.7109375" bestFit="1" customWidth="1"/>
    <col min="12816" max="12816" width="19" bestFit="1" customWidth="1"/>
    <col min="12817" max="12817" width="12.140625" bestFit="1" customWidth="1"/>
    <col min="13047" max="13047" width="15" bestFit="1" customWidth="1"/>
    <col min="13048" max="13048" width="68.28515625" bestFit="1" customWidth="1"/>
    <col min="13049" max="13049" width="9.140625" bestFit="1" customWidth="1"/>
    <col min="13050" max="13050" width="21.42578125" bestFit="1" customWidth="1"/>
    <col min="13051" max="13053" width="15.42578125" bestFit="1" customWidth="1"/>
    <col min="13054" max="13054" width="8.85546875" bestFit="1" customWidth="1"/>
    <col min="13055" max="13055" width="10" bestFit="1" customWidth="1"/>
    <col min="13056" max="13056" width="12.7109375" bestFit="1" customWidth="1"/>
    <col min="13057" max="13057" width="8.85546875" bestFit="1" customWidth="1"/>
    <col min="13058" max="13058" width="17.7109375" bestFit="1" customWidth="1"/>
    <col min="13059" max="13059" width="13" bestFit="1" customWidth="1"/>
    <col min="13060" max="13060" width="13.42578125" bestFit="1" customWidth="1"/>
    <col min="13061" max="13061" width="10.85546875" bestFit="1" customWidth="1"/>
    <col min="13062" max="13062" width="26.85546875" bestFit="1" customWidth="1"/>
    <col min="13063" max="13063" width="20.85546875" bestFit="1" customWidth="1"/>
    <col min="13064" max="13064" width="30.42578125" bestFit="1" customWidth="1"/>
    <col min="13065" max="13065" width="19.42578125" bestFit="1" customWidth="1"/>
    <col min="13066" max="13066" width="20.28515625" bestFit="1" customWidth="1"/>
    <col min="13067" max="13068" width="12" bestFit="1" customWidth="1"/>
    <col min="13069" max="13070" width="12.5703125" bestFit="1" customWidth="1"/>
    <col min="13071" max="13071" width="11.7109375" bestFit="1" customWidth="1"/>
    <col min="13072" max="13072" width="19" bestFit="1" customWidth="1"/>
    <col min="13073" max="13073" width="12.140625" bestFit="1" customWidth="1"/>
    <col min="13303" max="13303" width="15" bestFit="1" customWidth="1"/>
    <col min="13304" max="13304" width="68.28515625" bestFit="1" customWidth="1"/>
    <col min="13305" max="13305" width="9.140625" bestFit="1" customWidth="1"/>
    <col min="13306" max="13306" width="21.42578125" bestFit="1" customWidth="1"/>
    <col min="13307" max="13309" width="15.42578125" bestFit="1" customWidth="1"/>
    <col min="13310" max="13310" width="8.85546875" bestFit="1" customWidth="1"/>
    <col min="13311" max="13311" width="10" bestFit="1" customWidth="1"/>
    <col min="13312" max="13312" width="12.7109375" bestFit="1" customWidth="1"/>
    <col min="13313" max="13313" width="8.85546875" bestFit="1" customWidth="1"/>
    <col min="13314" max="13314" width="17.7109375" bestFit="1" customWidth="1"/>
    <col min="13315" max="13315" width="13" bestFit="1" customWidth="1"/>
    <col min="13316" max="13316" width="13.42578125" bestFit="1" customWidth="1"/>
    <col min="13317" max="13317" width="10.85546875" bestFit="1" customWidth="1"/>
    <col min="13318" max="13318" width="26.85546875" bestFit="1" customWidth="1"/>
    <col min="13319" max="13319" width="20.85546875" bestFit="1" customWidth="1"/>
    <col min="13320" max="13320" width="30.42578125" bestFit="1" customWidth="1"/>
    <col min="13321" max="13321" width="19.42578125" bestFit="1" customWidth="1"/>
    <col min="13322" max="13322" width="20.28515625" bestFit="1" customWidth="1"/>
    <col min="13323" max="13324" width="12" bestFit="1" customWidth="1"/>
    <col min="13325" max="13326" width="12.5703125" bestFit="1" customWidth="1"/>
    <col min="13327" max="13327" width="11.7109375" bestFit="1" customWidth="1"/>
    <col min="13328" max="13328" width="19" bestFit="1" customWidth="1"/>
    <col min="13329" max="13329" width="12.140625" bestFit="1" customWidth="1"/>
    <col min="13559" max="13559" width="15" bestFit="1" customWidth="1"/>
    <col min="13560" max="13560" width="68.28515625" bestFit="1" customWidth="1"/>
    <col min="13561" max="13561" width="9.140625" bestFit="1" customWidth="1"/>
    <col min="13562" max="13562" width="21.42578125" bestFit="1" customWidth="1"/>
    <col min="13563" max="13565" width="15.42578125" bestFit="1" customWidth="1"/>
    <col min="13566" max="13566" width="8.85546875" bestFit="1" customWidth="1"/>
    <col min="13567" max="13567" width="10" bestFit="1" customWidth="1"/>
    <col min="13568" max="13568" width="12.7109375" bestFit="1" customWidth="1"/>
    <col min="13569" max="13569" width="8.85546875" bestFit="1" customWidth="1"/>
    <col min="13570" max="13570" width="17.7109375" bestFit="1" customWidth="1"/>
    <col min="13571" max="13571" width="13" bestFit="1" customWidth="1"/>
    <col min="13572" max="13572" width="13.42578125" bestFit="1" customWidth="1"/>
    <col min="13573" max="13573" width="10.85546875" bestFit="1" customWidth="1"/>
    <col min="13574" max="13574" width="26.85546875" bestFit="1" customWidth="1"/>
    <col min="13575" max="13575" width="20.85546875" bestFit="1" customWidth="1"/>
    <col min="13576" max="13576" width="30.42578125" bestFit="1" customWidth="1"/>
    <col min="13577" max="13577" width="19.42578125" bestFit="1" customWidth="1"/>
    <col min="13578" max="13578" width="20.28515625" bestFit="1" customWidth="1"/>
    <col min="13579" max="13580" width="12" bestFit="1" customWidth="1"/>
    <col min="13581" max="13582" width="12.5703125" bestFit="1" customWidth="1"/>
    <col min="13583" max="13583" width="11.7109375" bestFit="1" customWidth="1"/>
    <col min="13584" max="13584" width="19" bestFit="1" customWidth="1"/>
    <col min="13585" max="13585" width="12.140625" bestFit="1" customWidth="1"/>
    <col min="13815" max="13815" width="15" bestFit="1" customWidth="1"/>
    <col min="13816" max="13816" width="68.28515625" bestFit="1" customWidth="1"/>
    <col min="13817" max="13817" width="9.140625" bestFit="1" customWidth="1"/>
    <col min="13818" max="13818" width="21.42578125" bestFit="1" customWidth="1"/>
    <col min="13819" max="13821" width="15.42578125" bestFit="1" customWidth="1"/>
    <col min="13822" max="13822" width="8.85546875" bestFit="1" customWidth="1"/>
    <col min="13823" max="13823" width="10" bestFit="1" customWidth="1"/>
    <col min="13824" max="13824" width="12.7109375" bestFit="1" customWidth="1"/>
    <col min="13825" max="13825" width="8.85546875" bestFit="1" customWidth="1"/>
    <col min="13826" max="13826" width="17.7109375" bestFit="1" customWidth="1"/>
    <col min="13827" max="13827" width="13" bestFit="1" customWidth="1"/>
    <col min="13828" max="13828" width="13.42578125" bestFit="1" customWidth="1"/>
    <col min="13829" max="13829" width="10.85546875" bestFit="1" customWidth="1"/>
    <col min="13830" max="13830" width="26.85546875" bestFit="1" customWidth="1"/>
    <col min="13831" max="13831" width="20.85546875" bestFit="1" customWidth="1"/>
    <col min="13832" max="13832" width="30.42578125" bestFit="1" customWidth="1"/>
    <col min="13833" max="13833" width="19.42578125" bestFit="1" customWidth="1"/>
    <col min="13834" max="13834" width="20.28515625" bestFit="1" customWidth="1"/>
    <col min="13835" max="13836" width="12" bestFit="1" customWidth="1"/>
    <col min="13837" max="13838" width="12.5703125" bestFit="1" customWidth="1"/>
    <col min="13839" max="13839" width="11.7109375" bestFit="1" customWidth="1"/>
    <col min="13840" max="13840" width="19" bestFit="1" customWidth="1"/>
    <col min="13841" max="13841" width="12.140625" bestFit="1" customWidth="1"/>
    <col min="14071" max="14071" width="15" bestFit="1" customWidth="1"/>
    <col min="14072" max="14072" width="68.28515625" bestFit="1" customWidth="1"/>
    <col min="14073" max="14073" width="9.140625" bestFit="1" customWidth="1"/>
    <col min="14074" max="14074" width="21.42578125" bestFit="1" customWidth="1"/>
    <col min="14075" max="14077" width="15.42578125" bestFit="1" customWidth="1"/>
    <col min="14078" max="14078" width="8.85546875" bestFit="1" customWidth="1"/>
    <col min="14079" max="14079" width="10" bestFit="1" customWidth="1"/>
    <col min="14080" max="14080" width="12.7109375" bestFit="1" customWidth="1"/>
    <col min="14081" max="14081" width="8.85546875" bestFit="1" customWidth="1"/>
    <col min="14082" max="14082" width="17.7109375" bestFit="1" customWidth="1"/>
    <col min="14083" max="14083" width="13" bestFit="1" customWidth="1"/>
    <col min="14084" max="14084" width="13.42578125" bestFit="1" customWidth="1"/>
    <col min="14085" max="14085" width="10.85546875" bestFit="1" customWidth="1"/>
    <col min="14086" max="14086" width="26.85546875" bestFit="1" customWidth="1"/>
    <col min="14087" max="14087" width="20.85546875" bestFit="1" customWidth="1"/>
    <col min="14088" max="14088" width="30.42578125" bestFit="1" customWidth="1"/>
    <col min="14089" max="14089" width="19.42578125" bestFit="1" customWidth="1"/>
    <col min="14090" max="14090" width="20.28515625" bestFit="1" customWidth="1"/>
    <col min="14091" max="14092" width="12" bestFit="1" customWidth="1"/>
    <col min="14093" max="14094" width="12.5703125" bestFit="1" customWidth="1"/>
    <col min="14095" max="14095" width="11.7109375" bestFit="1" customWidth="1"/>
    <col min="14096" max="14096" width="19" bestFit="1" customWidth="1"/>
    <col min="14097" max="14097" width="12.140625" bestFit="1" customWidth="1"/>
    <col min="14327" max="14327" width="15" bestFit="1" customWidth="1"/>
    <col min="14328" max="14328" width="68.28515625" bestFit="1" customWidth="1"/>
    <col min="14329" max="14329" width="9.140625" bestFit="1" customWidth="1"/>
    <col min="14330" max="14330" width="21.42578125" bestFit="1" customWidth="1"/>
    <col min="14331" max="14333" width="15.42578125" bestFit="1" customWidth="1"/>
    <col min="14334" max="14334" width="8.85546875" bestFit="1" customWidth="1"/>
    <col min="14335" max="14335" width="10" bestFit="1" customWidth="1"/>
    <col min="14336" max="14336" width="12.7109375" bestFit="1" customWidth="1"/>
    <col min="14337" max="14337" width="8.85546875" bestFit="1" customWidth="1"/>
    <col min="14338" max="14338" width="17.7109375" bestFit="1" customWidth="1"/>
    <col min="14339" max="14339" width="13" bestFit="1" customWidth="1"/>
    <col min="14340" max="14340" width="13.42578125" bestFit="1" customWidth="1"/>
    <col min="14341" max="14341" width="10.85546875" bestFit="1" customWidth="1"/>
    <col min="14342" max="14342" width="26.85546875" bestFit="1" customWidth="1"/>
    <col min="14343" max="14343" width="20.85546875" bestFit="1" customWidth="1"/>
    <col min="14344" max="14344" width="30.42578125" bestFit="1" customWidth="1"/>
    <col min="14345" max="14345" width="19.42578125" bestFit="1" customWidth="1"/>
    <col min="14346" max="14346" width="20.28515625" bestFit="1" customWidth="1"/>
    <col min="14347" max="14348" width="12" bestFit="1" customWidth="1"/>
    <col min="14349" max="14350" width="12.5703125" bestFit="1" customWidth="1"/>
    <col min="14351" max="14351" width="11.7109375" bestFit="1" customWidth="1"/>
    <col min="14352" max="14352" width="19" bestFit="1" customWidth="1"/>
    <col min="14353" max="14353" width="12.140625" bestFit="1" customWidth="1"/>
    <col min="14583" max="14583" width="15" bestFit="1" customWidth="1"/>
    <col min="14584" max="14584" width="68.28515625" bestFit="1" customWidth="1"/>
    <col min="14585" max="14585" width="9.140625" bestFit="1" customWidth="1"/>
    <col min="14586" max="14586" width="21.42578125" bestFit="1" customWidth="1"/>
    <col min="14587" max="14589" width="15.42578125" bestFit="1" customWidth="1"/>
    <col min="14590" max="14590" width="8.85546875" bestFit="1" customWidth="1"/>
    <col min="14591" max="14591" width="10" bestFit="1" customWidth="1"/>
    <col min="14592" max="14592" width="12.7109375" bestFit="1" customWidth="1"/>
    <col min="14593" max="14593" width="8.85546875" bestFit="1" customWidth="1"/>
    <col min="14594" max="14594" width="17.7109375" bestFit="1" customWidth="1"/>
    <col min="14595" max="14595" width="13" bestFit="1" customWidth="1"/>
    <col min="14596" max="14596" width="13.42578125" bestFit="1" customWidth="1"/>
    <col min="14597" max="14597" width="10.85546875" bestFit="1" customWidth="1"/>
    <col min="14598" max="14598" width="26.85546875" bestFit="1" customWidth="1"/>
    <col min="14599" max="14599" width="20.85546875" bestFit="1" customWidth="1"/>
    <col min="14600" max="14600" width="30.42578125" bestFit="1" customWidth="1"/>
    <col min="14601" max="14601" width="19.42578125" bestFit="1" customWidth="1"/>
    <col min="14602" max="14602" width="20.28515625" bestFit="1" customWidth="1"/>
    <col min="14603" max="14604" width="12" bestFit="1" customWidth="1"/>
    <col min="14605" max="14606" width="12.5703125" bestFit="1" customWidth="1"/>
    <col min="14607" max="14607" width="11.7109375" bestFit="1" customWidth="1"/>
    <col min="14608" max="14608" width="19" bestFit="1" customWidth="1"/>
    <col min="14609" max="14609" width="12.140625" bestFit="1" customWidth="1"/>
    <col min="14839" max="14839" width="15" bestFit="1" customWidth="1"/>
    <col min="14840" max="14840" width="68.28515625" bestFit="1" customWidth="1"/>
    <col min="14841" max="14841" width="9.140625" bestFit="1" customWidth="1"/>
    <col min="14842" max="14842" width="21.42578125" bestFit="1" customWidth="1"/>
    <col min="14843" max="14845" width="15.42578125" bestFit="1" customWidth="1"/>
    <col min="14846" max="14846" width="8.85546875" bestFit="1" customWidth="1"/>
    <col min="14847" max="14847" width="10" bestFit="1" customWidth="1"/>
    <col min="14848" max="14848" width="12.7109375" bestFit="1" customWidth="1"/>
    <col min="14849" max="14849" width="8.85546875" bestFit="1" customWidth="1"/>
    <col min="14850" max="14850" width="17.7109375" bestFit="1" customWidth="1"/>
    <col min="14851" max="14851" width="13" bestFit="1" customWidth="1"/>
    <col min="14852" max="14852" width="13.42578125" bestFit="1" customWidth="1"/>
    <col min="14853" max="14853" width="10.85546875" bestFit="1" customWidth="1"/>
    <col min="14854" max="14854" width="26.85546875" bestFit="1" customWidth="1"/>
    <col min="14855" max="14855" width="20.85546875" bestFit="1" customWidth="1"/>
    <col min="14856" max="14856" width="30.42578125" bestFit="1" customWidth="1"/>
    <col min="14857" max="14857" width="19.42578125" bestFit="1" customWidth="1"/>
    <col min="14858" max="14858" width="20.28515625" bestFit="1" customWidth="1"/>
    <col min="14859" max="14860" width="12" bestFit="1" customWidth="1"/>
    <col min="14861" max="14862" width="12.5703125" bestFit="1" customWidth="1"/>
    <col min="14863" max="14863" width="11.7109375" bestFit="1" customWidth="1"/>
    <col min="14864" max="14864" width="19" bestFit="1" customWidth="1"/>
    <col min="14865" max="14865" width="12.140625" bestFit="1" customWidth="1"/>
    <col min="15095" max="15095" width="15" bestFit="1" customWidth="1"/>
    <col min="15096" max="15096" width="68.28515625" bestFit="1" customWidth="1"/>
    <col min="15097" max="15097" width="9.140625" bestFit="1" customWidth="1"/>
    <col min="15098" max="15098" width="21.42578125" bestFit="1" customWidth="1"/>
    <col min="15099" max="15101" width="15.42578125" bestFit="1" customWidth="1"/>
    <col min="15102" max="15102" width="8.85546875" bestFit="1" customWidth="1"/>
    <col min="15103" max="15103" width="10" bestFit="1" customWidth="1"/>
    <col min="15104" max="15104" width="12.7109375" bestFit="1" customWidth="1"/>
    <col min="15105" max="15105" width="8.85546875" bestFit="1" customWidth="1"/>
    <col min="15106" max="15106" width="17.7109375" bestFit="1" customWidth="1"/>
    <col min="15107" max="15107" width="13" bestFit="1" customWidth="1"/>
    <col min="15108" max="15108" width="13.42578125" bestFit="1" customWidth="1"/>
    <col min="15109" max="15109" width="10.85546875" bestFit="1" customWidth="1"/>
    <col min="15110" max="15110" width="26.85546875" bestFit="1" customWidth="1"/>
    <col min="15111" max="15111" width="20.85546875" bestFit="1" customWidth="1"/>
    <col min="15112" max="15112" width="30.42578125" bestFit="1" customWidth="1"/>
    <col min="15113" max="15113" width="19.42578125" bestFit="1" customWidth="1"/>
    <col min="15114" max="15114" width="20.28515625" bestFit="1" customWidth="1"/>
    <col min="15115" max="15116" width="12" bestFit="1" customWidth="1"/>
    <col min="15117" max="15118" width="12.5703125" bestFit="1" customWidth="1"/>
    <col min="15119" max="15119" width="11.7109375" bestFit="1" customWidth="1"/>
    <col min="15120" max="15120" width="19" bestFit="1" customWidth="1"/>
    <col min="15121" max="15121" width="12.140625" bestFit="1" customWidth="1"/>
    <col min="15351" max="15351" width="15" bestFit="1" customWidth="1"/>
    <col min="15352" max="15352" width="68.28515625" bestFit="1" customWidth="1"/>
    <col min="15353" max="15353" width="9.140625" bestFit="1" customWidth="1"/>
    <col min="15354" max="15354" width="21.42578125" bestFit="1" customWidth="1"/>
    <col min="15355" max="15357" width="15.42578125" bestFit="1" customWidth="1"/>
    <col min="15358" max="15358" width="8.85546875" bestFit="1" customWidth="1"/>
    <col min="15359" max="15359" width="10" bestFit="1" customWidth="1"/>
    <col min="15360" max="15360" width="12.7109375" bestFit="1" customWidth="1"/>
    <col min="15361" max="15361" width="8.85546875" bestFit="1" customWidth="1"/>
    <col min="15362" max="15362" width="17.7109375" bestFit="1" customWidth="1"/>
    <col min="15363" max="15363" width="13" bestFit="1" customWidth="1"/>
    <col min="15364" max="15364" width="13.42578125" bestFit="1" customWidth="1"/>
    <col min="15365" max="15365" width="10.85546875" bestFit="1" customWidth="1"/>
    <col min="15366" max="15366" width="26.85546875" bestFit="1" customWidth="1"/>
    <col min="15367" max="15367" width="20.85546875" bestFit="1" customWidth="1"/>
    <col min="15368" max="15368" width="30.42578125" bestFit="1" customWidth="1"/>
    <col min="15369" max="15369" width="19.42578125" bestFit="1" customWidth="1"/>
    <col min="15370" max="15370" width="20.28515625" bestFit="1" customWidth="1"/>
    <col min="15371" max="15372" width="12" bestFit="1" customWidth="1"/>
    <col min="15373" max="15374" width="12.5703125" bestFit="1" customWidth="1"/>
    <col min="15375" max="15375" width="11.7109375" bestFit="1" customWidth="1"/>
    <col min="15376" max="15376" width="19" bestFit="1" customWidth="1"/>
    <col min="15377" max="15377" width="12.140625" bestFit="1" customWidth="1"/>
    <col min="15607" max="15607" width="15" bestFit="1" customWidth="1"/>
    <col min="15608" max="15608" width="68.28515625" bestFit="1" customWidth="1"/>
    <col min="15609" max="15609" width="9.140625" bestFit="1" customWidth="1"/>
    <col min="15610" max="15610" width="21.42578125" bestFit="1" customWidth="1"/>
    <col min="15611" max="15613" width="15.42578125" bestFit="1" customWidth="1"/>
    <col min="15614" max="15614" width="8.85546875" bestFit="1" customWidth="1"/>
    <col min="15615" max="15615" width="10" bestFit="1" customWidth="1"/>
    <col min="15616" max="15616" width="12.7109375" bestFit="1" customWidth="1"/>
    <col min="15617" max="15617" width="8.85546875" bestFit="1" customWidth="1"/>
    <col min="15618" max="15618" width="17.7109375" bestFit="1" customWidth="1"/>
    <col min="15619" max="15619" width="13" bestFit="1" customWidth="1"/>
    <col min="15620" max="15620" width="13.42578125" bestFit="1" customWidth="1"/>
    <col min="15621" max="15621" width="10.85546875" bestFit="1" customWidth="1"/>
    <col min="15622" max="15622" width="26.85546875" bestFit="1" customWidth="1"/>
    <col min="15623" max="15623" width="20.85546875" bestFit="1" customWidth="1"/>
    <col min="15624" max="15624" width="30.42578125" bestFit="1" customWidth="1"/>
    <col min="15625" max="15625" width="19.42578125" bestFit="1" customWidth="1"/>
    <col min="15626" max="15626" width="20.28515625" bestFit="1" customWidth="1"/>
    <col min="15627" max="15628" width="12" bestFit="1" customWidth="1"/>
    <col min="15629" max="15630" width="12.5703125" bestFit="1" customWidth="1"/>
    <col min="15631" max="15631" width="11.7109375" bestFit="1" customWidth="1"/>
    <col min="15632" max="15632" width="19" bestFit="1" customWidth="1"/>
    <col min="15633" max="15633" width="12.140625" bestFit="1" customWidth="1"/>
    <col min="15863" max="15863" width="15" bestFit="1" customWidth="1"/>
    <col min="15864" max="15864" width="68.28515625" bestFit="1" customWidth="1"/>
    <col min="15865" max="15865" width="9.140625" bestFit="1" customWidth="1"/>
    <col min="15866" max="15866" width="21.42578125" bestFit="1" customWidth="1"/>
    <col min="15867" max="15869" width="15.42578125" bestFit="1" customWidth="1"/>
    <col min="15870" max="15870" width="8.85546875" bestFit="1" customWidth="1"/>
    <col min="15871" max="15871" width="10" bestFit="1" customWidth="1"/>
    <col min="15872" max="15872" width="12.7109375" bestFit="1" customWidth="1"/>
    <col min="15873" max="15873" width="8.85546875" bestFit="1" customWidth="1"/>
    <col min="15874" max="15874" width="17.7109375" bestFit="1" customWidth="1"/>
    <col min="15875" max="15875" width="13" bestFit="1" customWidth="1"/>
    <col min="15876" max="15876" width="13.42578125" bestFit="1" customWidth="1"/>
    <col min="15877" max="15877" width="10.85546875" bestFit="1" customWidth="1"/>
    <col min="15878" max="15878" width="26.85546875" bestFit="1" customWidth="1"/>
    <col min="15879" max="15879" width="20.85546875" bestFit="1" customWidth="1"/>
    <col min="15880" max="15880" width="30.42578125" bestFit="1" customWidth="1"/>
    <col min="15881" max="15881" width="19.42578125" bestFit="1" customWidth="1"/>
    <col min="15882" max="15882" width="20.28515625" bestFit="1" customWidth="1"/>
    <col min="15883" max="15884" width="12" bestFit="1" customWidth="1"/>
    <col min="15885" max="15886" width="12.5703125" bestFit="1" customWidth="1"/>
    <col min="15887" max="15887" width="11.7109375" bestFit="1" customWidth="1"/>
    <col min="15888" max="15888" width="19" bestFit="1" customWidth="1"/>
    <col min="15889" max="15889" width="12.140625" bestFit="1" customWidth="1"/>
    <col min="16119" max="16119" width="15" bestFit="1" customWidth="1"/>
    <col min="16120" max="16120" width="68.28515625" bestFit="1" customWidth="1"/>
    <col min="16121" max="16121" width="9.140625" bestFit="1" customWidth="1"/>
    <col min="16122" max="16122" width="21.42578125" bestFit="1" customWidth="1"/>
    <col min="16123" max="16125" width="15.42578125" bestFit="1" customWidth="1"/>
    <col min="16126" max="16126" width="8.85546875" bestFit="1" customWidth="1"/>
    <col min="16127" max="16127" width="10" bestFit="1" customWidth="1"/>
    <col min="16128" max="16128" width="12.7109375" bestFit="1" customWidth="1"/>
    <col min="16129" max="16129" width="8.85546875" bestFit="1" customWidth="1"/>
    <col min="16130" max="16130" width="17.7109375" bestFit="1" customWidth="1"/>
    <col min="16131" max="16131" width="13" bestFit="1" customWidth="1"/>
    <col min="16132" max="16132" width="13.42578125" bestFit="1" customWidth="1"/>
    <col min="16133" max="16133" width="10.85546875" bestFit="1" customWidth="1"/>
    <col min="16134" max="16134" width="26.85546875" bestFit="1" customWidth="1"/>
    <col min="16135" max="16135" width="20.85546875" bestFit="1" customWidth="1"/>
    <col min="16136" max="16136" width="30.42578125" bestFit="1" customWidth="1"/>
    <col min="16137" max="16137" width="19.42578125" bestFit="1" customWidth="1"/>
    <col min="16138" max="16138" width="20.28515625" bestFit="1" customWidth="1"/>
    <col min="16139" max="16140" width="12" bestFit="1" customWidth="1"/>
    <col min="16141" max="16142" width="12.5703125" bestFit="1" customWidth="1"/>
    <col min="16143" max="16143" width="11.7109375" bestFit="1" customWidth="1"/>
    <col min="16144" max="16144" width="19" bestFit="1" customWidth="1"/>
    <col min="16145" max="16145" width="12.140625" bestFit="1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118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97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x14ac:dyDescent="0.25">
      <c r="A2" s="1" t="s">
        <v>10880</v>
      </c>
      <c r="B2" s="1" t="s">
        <v>10881</v>
      </c>
      <c r="C2" t="str">
        <f t="shared" ref="C2:C37" si="0">CONCATENATE(LEFT(T2,3),RIGHT(A2,8))</f>
        <v>BEB70042258</v>
      </c>
      <c r="D2" t="s">
        <v>8689</v>
      </c>
      <c r="E2" s="1" t="s">
        <v>10882</v>
      </c>
      <c r="F2" s="61">
        <v>4600</v>
      </c>
      <c r="G2" s="119">
        <v>0</v>
      </c>
      <c r="H2" s="4" t="s">
        <v>8690</v>
      </c>
      <c r="I2">
        <v>6</v>
      </c>
      <c r="J2">
        <v>6</v>
      </c>
      <c r="L2" s="65">
        <f>((ARTICULOS_AGUANORT[[#This Row],[P. Compra]]*(1+ARTICULOS_AGUANORT[[#This Row],[IVA]]))/ARTICULOS_AGUANORT[[#This Row],[UnidFact]])+ARTICULOS_AGUANORT[[#This Row],[CostoFlete]]</f>
        <v>766.66666666666663</v>
      </c>
      <c r="M2">
        <v>35</v>
      </c>
      <c r="N2" s="63">
        <f t="shared" ref="N2:N33" si="1">IF(L2&gt;=5,MROUND(L2/(1-M2/100),100),100)</f>
        <v>1200</v>
      </c>
      <c r="O2" s="3">
        <f>MROUND((ARTICULOS_AGUANORT[[#This Row],[Precio]]/0.6),10)</f>
        <v>2000</v>
      </c>
      <c r="P2" t="s">
        <v>8693</v>
      </c>
      <c r="Q2" s="42">
        <v>6</v>
      </c>
      <c r="R2" s="36">
        <f>ARTICULOS_AGUANORT[[#This Row],[Bulto]]*3</f>
        <v>18</v>
      </c>
      <c r="S2" t="s">
        <v>68</v>
      </c>
      <c r="T2" t="s">
        <v>10</v>
      </c>
      <c r="U2" t="s">
        <v>54</v>
      </c>
      <c r="V2" t="s">
        <v>10879</v>
      </c>
      <c r="W2" t="s">
        <v>8692</v>
      </c>
      <c r="X2">
        <v>2</v>
      </c>
      <c r="Y2">
        <v>17</v>
      </c>
      <c r="Z2"/>
      <c r="AB2" s="80">
        <f>ARTICULOS_AGUANORT[[#This Row],[Costo]]*ARTICULOS_AGUANORT[[#This Row],[Pedido]]</f>
        <v>0</v>
      </c>
      <c r="AD2"/>
      <c r="AF2" s="2"/>
      <c r="AH2" s="2" t="str">
        <f>IF(AND(ARTICULOS_AGUANORT[[#This Row],[FechaVenc]]=0,ARTICULOS_AGUANORT[[#This Row],[DiasVenc]]=0),"",ARTICULOS_AGUANORT[[#This Row],[FechaVenc]]-ARTICULOS_AGUANORT[[#This Row],[DiasVenc]])</f>
        <v/>
      </c>
      <c r="AK2"/>
      <c r="AM2"/>
      <c r="AO2" t="s">
        <v>8689</v>
      </c>
      <c r="AP2" t="s">
        <v>8690</v>
      </c>
    </row>
    <row r="3" spans="1:43" ht="15" customHeight="1" x14ac:dyDescent="0.25">
      <c r="A3" s="1" t="s">
        <v>10876</v>
      </c>
      <c r="B3" s="1" t="s">
        <v>10877</v>
      </c>
      <c r="C3" t="str">
        <f t="shared" si="0"/>
        <v>BEB70042029</v>
      </c>
      <c r="D3" t="s">
        <v>8689</v>
      </c>
      <c r="E3" s="1" t="s">
        <v>10878</v>
      </c>
      <c r="F3" s="61">
        <f>F2</f>
        <v>4600</v>
      </c>
      <c r="G3" s="119">
        <v>0</v>
      </c>
      <c r="H3" s="4" t="s">
        <v>8690</v>
      </c>
      <c r="I3">
        <v>6</v>
      </c>
      <c r="J3">
        <v>6</v>
      </c>
      <c r="L3" s="16">
        <f>((ARTICULOS_AGUANORT[[#This Row],[P. Compra]]*(1+ARTICULOS_AGUANORT[[#This Row],[IVA]]))/ARTICULOS_AGUANORT[[#This Row],[UnidFact]])+ARTICULOS_AGUANORT[[#This Row],[CostoFlete]]</f>
        <v>766.66666666666663</v>
      </c>
      <c r="M3">
        <v>35</v>
      </c>
      <c r="N3" s="63">
        <f t="shared" si="1"/>
        <v>1200</v>
      </c>
      <c r="O3" s="3">
        <f>MROUND((ARTICULOS_AGUANORT[[#This Row],[Precio]]/0.6),10)</f>
        <v>2000</v>
      </c>
      <c r="P3" t="s">
        <v>8693</v>
      </c>
      <c r="Q3" s="42">
        <v>6</v>
      </c>
      <c r="R3" s="36">
        <f>ARTICULOS_AGUANORT[[#This Row],[Bulto]]*3</f>
        <v>18</v>
      </c>
      <c r="S3" t="s">
        <v>68</v>
      </c>
      <c r="T3" t="s">
        <v>10</v>
      </c>
      <c r="U3" t="s">
        <v>54</v>
      </c>
      <c r="V3" t="s">
        <v>10879</v>
      </c>
      <c r="W3" t="s">
        <v>8692</v>
      </c>
      <c r="X3">
        <v>2</v>
      </c>
      <c r="Y3">
        <v>18</v>
      </c>
      <c r="Z3"/>
      <c r="AB3" s="80">
        <f>ARTICULOS_AGUANORT[[#This Row],[Costo]]*ARTICULOS_AGUANORT[[#This Row],[Pedido]]</f>
        <v>0</v>
      </c>
      <c r="AD3"/>
      <c r="AH3" s="2" t="str">
        <f>IF(AND(ARTICULOS_AGUANORT[[#This Row],[FechaVenc]]=0,ARTICULOS_AGUANORT[[#This Row],[DiasVenc]]=0),"",ARTICULOS_AGUANORT[[#This Row],[FechaVenc]]-ARTICULOS_AGUANORT[[#This Row],[DiasVenc]])</f>
        <v/>
      </c>
      <c r="AK3"/>
      <c r="AM3"/>
      <c r="AO3" t="s">
        <v>8689</v>
      </c>
      <c r="AP3" t="s">
        <v>8690</v>
      </c>
    </row>
    <row r="4" spans="1:43" ht="15" customHeight="1" x14ac:dyDescent="0.25">
      <c r="A4" s="1" t="s">
        <v>11874</v>
      </c>
      <c r="B4" s="1" t="s">
        <v>11876</v>
      </c>
      <c r="C4" t="str">
        <f t="shared" ref="C4" si="2">CONCATENATE(LEFT(T4,3),RIGHT(A4,8))</f>
        <v>BEB70042005</v>
      </c>
      <c r="D4" t="s">
        <v>8689</v>
      </c>
      <c r="E4" s="1" t="s">
        <v>11875</v>
      </c>
      <c r="F4" s="61">
        <f>F3</f>
        <v>4600</v>
      </c>
      <c r="G4" s="119">
        <v>0</v>
      </c>
      <c r="H4" s="4" t="s">
        <v>8690</v>
      </c>
      <c r="I4">
        <v>6</v>
      </c>
      <c r="J4">
        <v>6</v>
      </c>
      <c r="L4" s="16">
        <f>((ARTICULOS_AGUANORT[[#This Row],[P. Compra]]*(1+ARTICULOS_AGUANORT[[#This Row],[IVA]]))/ARTICULOS_AGUANORT[[#This Row],[UnidFact]])+ARTICULOS_AGUANORT[[#This Row],[CostoFlete]]</f>
        <v>766.66666666666663</v>
      </c>
      <c r="M4">
        <v>35</v>
      </c>
      <c r="N4" s="63">
        <f t="shared" si="1"/>
        <v>1200</v>
      </c>
      <c r="O4" s="3">
        <f>MROUND((ARTICULOS_AGUANORT[[#This Row],[Precio]]/0.6),10)</f>
        <v>2000</v>
      </c>
      <c r="P4" t="s">
        <v>8693</v>
      </c>
      <c r="Q4" s="42">
        <v>6</v>
      </c>
      <c r="R4" s="36">
        <f>ARTICULOS_AGUANORT[[#This Row],[Bulto]]*3</f>
        <v>18</v>
      </c>
      <c r="S4" t="s">
        <v>68</v>
      </c>
      <c r="T4" t="s">
        <v>10</v>
      </c>
      <c r="U4" t="s">
        <v>54</v>
      </c>
      <c r="V4" t="s">
        <v>10879</v>
      </c>
      <c r="W4" t="s">
        <v>8692</v>
      </c>
      <c r="X4">
        <v>2</v>
      </c>
      <c r="Y4">
        <v>13</v>
      </c>
      <c r="Z4"/>
      <c r="AB4" s="80">
        <f>ARTICULOS_AGUANORT[[#This Row],[Costo]]*ARTICULOS_AGUANORT[[#This Row],[Pedido]]</f>
        <v>0</v>
      </c>
      <c r="AD4"/>
      <c r="AH4" s="2" t="str">
        <f>IF(AND(ARTICULOS_AGUANORT[[#This Row],[FechaVenc]]=0,ARTICULOS_AGUANORT[[#This Row],[DiasVenc]]=0),"",ARTICULOS_AGUANORT[[#This Row],[FechaVenc]]-ARTICULOS_AGUANORT[[#This Row],[DiasVenc]])</f>
        <v/>
      </c>
      <c r="AK4"/>
      <c r="AM4"/>
      <c r="AO4" t="s">
        <v>8689</v>
      </c>
      <c r="AP4" t="s">
        <v>8690</v>
      </c>
    </row>
    <row r="5" spans="1:43" ht="15" customHeight="1" x14ac:dyDescent="0.25">
      <c r="A5" s="24" t="s">
        <v>10883</v>
      </c>
      <c r="B5" s="1" t="s">
        <v>10884</v>
      </c>
      <c r="C5" t="str">
        <f t="shared" si="0"/>
        <v>BEB13777021</v>
      </c>
      <c r="D5" t="s">
        <v>8689</v>
      </c>
      <c r="E5" s="24" t="s">
        <v>10885</v>
      </c>
      <c r="F5" s="61">
        <f>29323.58/6*4</f>
        <v>19549.053333333333</v>
      </c>
      <c r="G5" s="119">
        <v>0</v>
      </c>
      <c r="H5" s="4" t="s">
        <v>8690</v>
      </c>
      <c r="I5">
        <v>24</v>
      </c>
      <c r="J5">
        <v>24</v>
      </c>
      <c r="L5" s="17">
        <f>((ARTICULOS_AGUANORT[[#This Row],[P. Compra]]*(1+ARTICULOS_AGUANORT[[#This Row],[IVA]]))/ARTICULOS_AGUANORT[[#This Row],[UnidFact]])+ARTICULOS_AGUANORT[[#This Row],[CostoFlete]]</f>
        <v>814.54388888888889</v>
      </c>
      <c r="M5">
        <v>35</v>
      </c>
      <c r="N5" s="63">
        <f t="shared" si="1"/>
        <v>1300</v>
      </c>
      <c r="O5" s="3">
        <f>MROUND((ARTICULOS_AGUANORT[[#This Row],[Precio]]/0.6),10)</f>
        <v>2170</v>
      </c>
      <c r="P5" t="s">
        <v>8693</v>
      </c>
      <c r="Q5" s="42">
        <v>12</v>
      </c>
      <c r="R5" s="36">
        <f>ARTICULOS_AGUANORT[[#This Row],[Bulto]]*2</f>
        <v>48</v>
      </c>
      <c r="S5" t="s">
        <v>68</v>
      </c>
      <c r="T5" t="s">
        <v>10</v>
      </c>
      <c r="U5" t="s">
        <v>62</v>
      </c>
      <c r="V5" s="30" t="s">
        <v>10886</v>
      </c>
      <c r="W5" t="s">
        <v>8692</v>
      </c>
      <c r="X5">
        <v>1</v>
      </c>
      <c r="Y5">
        <v>17</v>
      </c>
      <c r="Z5"/>
      <c r="AB5" s="80">
        <f>ARTICULOS_AGUANORT[[#This Row],[Costo]]*ARTICULOS_AGUANORT[[#This Row],[Pedido]]</f>
        <v>0</v>
      </c>
      <c r="AD5"/>
      <c r="AH5" s="2" t="str">
        <f>IF(AND(ARTICULOS_AGUANORT[[#This Row],[FechaVenc]]=0,ARTICULOS_AGUANORT[[#This Row],[DiasVenc]]=0),"",ARTICULOS_AGUANORT[[#This Row],[FechaVenc]]-ARTICULOS_AGUANORT[[#This Row],[DiasVenc]])</f>
        <v/>
      </c>
      <c r="AK5"/>
      <c r="AM5"/>
      <c r="AO5" t="s">
        <v>8689</v>
      </c>
      <c r="AP5" t="s">
        <v>8690</v>
      </c>
    </row>
    <row r="6" spans="1:43" ht="15" customHeight="1" x14ac:dyDescent="0.25">
      <c r="A6" s="24" t="s">
        <v>10887</v>
      </c>
      <c r="C6" t="str">
        <f t="shared" si="0"/>
        <v>BEB13050582</v>
      </c>
      <c r="D6" t="s">
        <v>8689</v>
      </c>
      <c r="E6" s="24" t="s">
        <v>10888</v>
      </c>
      <c r="F6" s="61">
        <f>F5</f>
        <v>19549.053333333333</v>
      </c>
      <c r="G6" s="119">
        <v>0</v>
      </c>
      <c r="H6" s="4" t="s">
        <v>8690</v>
      </c>
      <c r="I6">
        <v>24</v>
      </c>
      <c r="J6">
        <v>24</v>
      </c>
      <c r="L6" s="17">
        <f>((ARTICULOS_AGUANORT[[#This Row],[P. Compra]]*(1+ARTICULOS_AGUANORT[[#This Row],[IVA]]))/ARTICULOS_AGUANORT[[#This Row],[UnidFact]])+ARTICULOS_AGUANORT[[#This Row],[CostoFlete]]</f>
        <v>814.54388888888889</v>
      </c>
      <c r="M6">
        <v>35</v>
      </c>
      <c r="N6" s="63">
        <f t="shared" si="1"/>
        <v>1300</v>
      </c>
      <c r="O6" s="3">
        <f>MROUND((ARTICULOS_AGUANORT[[#This Row],[Precio]]/0.6),10)</f>
        <v>2170</v>
      </c>
      <c r="P6" t="s">
        <v>8693</v>
      </c>
      <c r="Q6" s="42">
        <v>12</v>
      </c>
      <c r="R6" s="36">
        <f>ARTICULOS_AGUANORT[[#This Row],[Bulto]]*2</f>
        <v>48</v>
      </c>
      <c r="S6" t="s">
        <v>68</v>
      </c>
      <c r="T6" t="s">
        <v>10</v>
      </c>
      <c r="U6" t="s">
        <v>62</v>
      </c>
      <c r="V6" s="30" t="s">
        <v>10886</v>
      </c>
      <c r="W6" t="s">
        <v>8692</v>
      </c>
      <c r="X6">
        <v>1</v>
      </c>
      <c r="Y6">
        <v>11</v>
      </c>
      <c r="Z6"/>
      <c r="AB6" s="80">
        <f>ARTICULOS_AGUANORT[[#This Row],[Costo]]*ARTICULOS_AGUANORT[[#This Row],[Pedido]]</f>
        <v>0</v>
      </c>
      <c r="AD6"/>
      <c r="AH6" s="2" t="str">
        <f>IF(AND(ARTICULOS_AGUANORT[[#This Row],[FechaVenc]]=0,ARTICULOS_AGUANORT[[#This Row],[DiasVenc]]=0),"",ARTICULOS_AGUANORT[[#This Row],[FechaVenc]]-ARTICULOS_AGUANORT[[#This Row],[DiasVenc]])</f>
        <v/>
      </c>
      <c r="AK6"/>
      <c r="AM6"/>
      <c r="AO6" t="s">
        <v>8689</v>
      </c>
      <c r="AP6" t="s">
        <v>8690</v>
      </c>
    </row>
    <row r="7" spans="1:43" x14ac:dyDescent="0.25">
      <c r="A7" s="24" t="s">
        <v>10889</v>
      </c>
      <c r="B7" s="1" t="s">
        <v>10890</v>
      </c>
      <c r="C7" t="str">
        <f t="shared" si="0"/>
        <v>BEB74555025</v>
      </c>
      <c r="D7" t="s">
        <v>8689</v>
      </c>
      <c r="E7" s="24" t="s">
        <v>10891</v>
      </c>
      <c r="F7" s="61">
        <f t="shared" ref="F7:F9" si="3">F6</f>
        <v>19549.053333333333</v>
      </c>
      <c r="G7" s="119">
        <v>0</v>
      </c>
      <c r="H7" s="4" t="s">
        <v>8690</v>
      </c>
      <c r="I7">
        <v>24</v>
      </c>
      <c r="J7">
        <v>24</v>
      </c>
      <c r="L7" s="17">
        <f>((ARTICULOS_AGUANORT[[#This Row],[P. Compra]]*(1+ARTICULOS_AGUANORT[[#This Row],[IVA]]))/ARTICULOS_AGUANORT[[#This Row],[UnidFact]])+ARTICULOS_AGUANORT[[#This Row],[CostoFlete]]</f>
        <v>814.54388888888889</v>
      </c>
      <c r="M7">
        <v>35</v>
      </c>
      <c r="N7" s="63">
        <f t="shared" si="1"/>
        <v>1300</v>
      </c>
      <c r="O7" s="3">
        <f>MROUND((ARTICULOS_AGUANORT[[#This Row],[Precio]]/0.6),10)</f>
        <v>2170</v>
      </c>
      <c r="P7" t="s">
        <v>8693</v>
      </c>
      <c r="Q7" s="42">
        <v>12</v>
      </c>
      <c r="R7" s="36">
        <f>ARTICULOS_AGUANORT[[#This Row],[Bulto]]*2</f>
        <v>48</v>
      </c>
      <c r="S7" t="s">
        <v>68</v>
      </c>
      <c r="T7" t="s">
        <v>10</v>
      </c>
      <c r="U7" t="s">
        <v>62</v>
      </c>
      <c r="V7" s="30" t="s">
        <v>10892</v>
      </c>
      <c r="W7" t="s">
        <v>8692</v>
      </c>
      <c r="X7">
        <v>1</v>
      </c>
      <c r="Y7">
        <v>11</v>
      </c>
      <c r="Z7"/>
      <c r="AB7" s="80">
        <f>ARTICULOS_AGUANORT[[#This Row],[Costo]]*ARTICULOS_AGUANORT[[#This Row],[Pedido]]</f>
        <v>0</v>
      </c>
      <c r="AD7"/>
      <c r="AH7" s="2" t="str">
        <f>IF(AND(ARTICULOS_AGUANORT[[#This Row],[FechaVenc]]=0,ARTICULOS_AGUANORT[[#This Row],[DiasVenc]]=0),"",ARTICULOS_AGUANORT[[#This Row],[FechaVenc]]-ARTICULOS_AGUANORT[[#This Row],[DiasVenc]])</f>
        <v/>
      </c>
      <c r="AK7"/>
      <c r="AM7"/>
      <c r="AO7" t="s">
        <v>8689</v>
      </c>
      <c r="AP7" t="s">
        <v>8690</v>
      </c>
    </row>
    <row r="8" spans="1:43" x14ac:dyDescent="0.25">
      <c r="A8" s="24" t="s">
        <v>10893</v>
      </c>
      <c r="C8" t="str">
        <f t="shared" si="0"/>
        <v>BEB13050056</v>
      </c>
      <c r="D8" t="s">
        <v>8689</v>
      </c>
      <c r="E8" s="24" t="s">
        <v>10894</v>
      </c>
      <c r="F8" s="61">
        <f t="shared" si="3"/>
        <v>19549.053333333333</v>
      </c>
      <c r="G8" s="119">
        <v>0</v>
      </c>
      <c r="H8" s="4" t="s">
        <v>8690</v>
      </c>
      <c r="I8">
        <v>24</v>
      </c>
      <c r="J8">
        <v>24</v>
      </c>
      <c r="L8" s="17">
        <f>((ARTICULOS_AGUANORT[[#This Row],[P. Compra]]*(1+ARTICULOS_AGUANORT[[#This Row],[IVA]]))/ARTICULOS_AGUANORT[[#This Row],[UnidFact]])+ARTICULOS_AGUANORT[[#This Row],[CostoFlete]]</f>
        <v>814.54388888888889</v>
      </c>
      <c r="M8">
        <v>35</v>
      </c>
      <c r="N8" s="63">
        <f t="shared" si="1"/>
        <v>1300</v>
      </c>
      <c r="O8" s="3">
        <f>MROUND((ARTICULOS_AGUANORT[[#This Row],[Precio]]/0.6),10)</f>
        <v>2170</v>
      </c>
      <c r="P8" t="s">
        <v>8693</v>
      </c>
      <c r="Q8" s="42">
        <v>12</v>
      </c>
      <c r="R8" s="36">
        <f>ARTICULOS_AGUANORT[[#This Row],[Bulto]]*2</f>
        <v>48</v>
      </c>
      <c r="S8" t="s">
        <v>68</v>
      </c>
      <c r="T8" t="s">
        <v>10</v>
      </c>
      <c r="U8" t="s">
        <v>62</v>
      </c>
      <c r="V8" s="30" t="s">
        <v>10892</v>
      </c>
      <c r="W8" t="s">
        <v>8692</v>
      </c>
      <c r="X8">
        <v>1</v>
      </c>
      <c r="Y8">
        <v>0</v>
      </c>
      <c r="Z8"/>
      <c r="AB8" s="80">
        <f>ARTICULOS_AGUANORT[[#This Row],[Costo]]*ARTICULOS_AGUANORT[[#This Row],[Pedido]]</f>
        <v>0</v>
      </c>
      <c r="AD8"/>
      <c r="AH8" s="2" t="str">
        <f>IF(AND(ARTICULOS_AGUANORT[[#This Row],[FechaVenc]]=0,ARTICULOS_AGUANORT[[#This Row],[DiasVenc]]=0),"",ARTICULOS_AGUANORT[[#This Row],[FechaVenc]]-ARTICULOS_AGUANORT[[#This Row],[DiasVenc]])</f>
        <v/>
      </c>
      <c r="AK8"/>
      <c r="AM8"/>
      <c r="AO8" t="s">
        <v>8689</v>
      </c>
      <c r="AP8" t="s">
        <v>8690</v>
      </c>
    </row>
    <row r="9" spans="1:43" x14ac:dyDescent="0.25">
      <c r="A9" s="24" t="s">
        <v>10895</v>
      </c>
      <c r="B9" s="1" t="s">
        <v>10896</v>
      </c>
      <c r="C9" t="str">
        <f t="shared" si="0"/>
        <v>BEB13000433</v>
      </c>
      <c r="D9" t="s">
        <v>8689</v>
      </c>
      <c r="E9" s="24" t="s">
        <v>10897</v>
      </c>
      <c r="F9" s="61">
        <f t="shared" si="3"/>
        <v>19549.053333333333</v>
      </c>
      <c r="G9" s="119">
        <v>0</v>
      </c>
      <c r="H9" s="4" t="s">
        <v>8690</v>
      </c>
      <c r="I9">
        <v>24</v>
      </c>
      <c r="J9">
        <v>24</v>
      </c>
      <c r="L9" s="17">
        <f>((ARTICULOS_AGUANORT[[#This Row],[P. Compra]]*(1+ARTICULOS_AGUANORT[[#This Row],[IVA]]))/ARTICULOS_AGUANORT[[#This Row],[UnidFact]])+ARTICULOS_AGUANORT[[#This Row],[CostoFlete]]</f>
        <v>814.54388888888889</v>
      </c>
      <c r="M9">
        <v>35</v>
      </c>
      <c r="N9" s="63">
        <f t="shared" si="1"/>
        <v>1300</v>
      </c>
      <c r="O9" s="3">
        <f>MROUND((ARTICULOS_AGUANORT[[#This Row],[Precio]]/0.6),10)</f>
        <v>2170</v>
      </c>
      <c r="P9" t="s">
        <v>8693</v>
      </c>
      <c r="Q9" s="42">
        <v>12</v>
      </c>
      <c r="R9" s="36">
        <f>ARTICULOS_AGUANORT[[#This Row],[Bulto]]*2</f>
        <v>48</v>
      </c>
      <c r="S9" t="s">
        <v>68</v>
      </c>
      <c r="T9" t="s">
        <v>10</v>
      </c>
      <c r="U9" t="s">
        <v>62</v>
      </c>
      <c r="V9" s="30" t="s">
        <v>10892</v>
      </c>
      <c r="W9" t="s">
        <v>8692</v>
      </c>
      <c r="X9">
        <v>1</v>
      </c>
      <c r="Y9">
        <v>0</v>
      </c>
      <c r="Z9"/>
      <c r="AB9" s="80">
        <f>ARTICULOS_AGUANORT[[#This Row],[Costo]]*ARTICULOS_AGUANORT[[#This Row],[Pedido]]</f>
        <v>0</v>
      </c>
      <c r="AD9"/>
      <c r="AH9" s="2" t="str">
        <f>IF(AND(ARTICULOS_AGUANORT[[#This Row],[FechaVenc]]=0,ARTICULOS_AGUANORT[[#This Row],[DiasVenc]]=0),"",ARTICULOS_AGUANORT[[#This Row],[FechaVenc]]-ARTICULOS_AGUANORT[[#This Row],[DiasVenc]])</f>
        <v/>
      </c>
      <c r="AK9"/>
      <c r="AM9"/>
      <c r="AO9" t="s">
        <v>8689</v>
      </c>
      <c r="AP9" t="s">
        <v>8690</v>
      </c>
    </row>
    <row r="10" spans="1:43" x14ac:dyDescent="0.25">
      <c r="A10" s="24" t="s">
        <v>11439</v>
      </c>
      <c r="B10" s="1" t="s">
        <v>11441</v>
      </c>
      <c r="C10" t="str">
        <f t="shared" si="0"/>
        <v>BEB13222057</v>
      </c>
      <c r="D10" t="s">
        <v>8689</v>
      </c>
      <c r="E10" s="24" t="s">
        <v>11440</v>
      </c>
      <c r="F10" s="61">
        <v>9263.42</v>
      </c>
      <c r="G10" s="119">
        <v>0</v>
      </c>
      <c r="H10" s="4" t="s">
        <v>8690</v>
      </c>
      <c r="I10">
        <v>6</v>
      </c>
      <c r="J10">
        <v>6</v>
      </c>
      <c r="L10" s="17">
        <f>((ARTICULOS_AGUANORT[[#This Row],[P. Compra]]*(1+ARTICULOS_AGUANORT[[#This Row],[IVA]]))/ARTICULOS_AGUANORT[[#This Row],[UnidFact]])+ARTICULOS_AGUANORT[[#This Row],[CostoFlete]]</f>
        <v>1543.9033333333334</v>
      </c>
      <c r="M10">
        <v>35</v>
      </c>
      <c r="N10" s="63">
        <f t="shared" si="1"/>
        <v>2400</v>
      </c>
      <c r="O10" s="3">
        <f>MROUND((ARTICULOS_AGUANORT[[#This Row],[Precio]]/0.6),10)</f>
        <v>4000</v>
      </c>
      <c r="P10" t="s">
        <v>8693</v>
      </c>
      <c r="Q10" s="42">
        <v>12</v>
      </c>
      <c r="R10" s="36">
        <f>ARTICULOS_AGUANORT[[#This Row],[Bulto]]*5</f>
        <v>30</v>
      </c>
      <c r="S10" t="s">
        <v>68</v>
      </c>
      <c r="T10" t="s">
        <v>10</v>
      </c>
      <c r="U10" t="s">
        <v>62</v>
      </c>
      <c r="V10" s="30" t="s">
        <v>10917</v>
      </c>
      <c r="W10" t="s">
        <v>8692</v>
      </c>
      <c r="X10">
        <v>1</v>
      </c>
      <c r="Y10">
        <v>7</v>
      </c>
      <c r="Z10"/>
      <c r="AB10" s="80">
        <f>ARTICULOS_AGUANORT[[#This Row],[Costo]]*ARTICULOS_AGUANORT[[#This Row],[Pedido]]</f>
        <v>0</v>
      </c>
      <c r="AD10"/>
      <c r="AH10" s="2" t="str">
        <f>IF(AND(ARTICULOS_AGUANORT[[#This Row],[FechaVenc]]=0,ARTICULOS_AGUANORT[[#This Row],[DiasVenc]]=0),"",ARTICULOS_AGUANORT[[#This Row],[FechaVenc]]-ARTICULOS_AGUANORT[[#This Row],[DiasVenc]])</f>
        <v/>
      </c>
      <c r="AK10"/>
      <c r="AM10"/>
      <c r="AO10" t="s">
        <v>8689</v>
      </c>
      <c r="AP10" t="s">
        <v>8690</v>
      </c>
    </row>
    <row r="11" spans="1:43" x14ac:dyDescent="0.25">
      <c r="A11" s="24" t="s">
        <v>10898</v>
      </c>
      <c r="C11" t="str">
        <f t="shared" si="0"/>
        <v>BEB73423311</v>
      </c>
      <c r="D11" t="s">
        <v>8689</v>
      </c>
      <c r="E11" s="24" t="s">
        <v>10899</v>
      </c>
      <c r="F11" s="61">
        <v>7264.79</v>
      </c>
      <c r="G11" s="119">
        <v>0</v>
      </c>
      <c r="H11" s="4" t="s">
        <v>8690</v>
      </c>
      <c r="I11">
        <v>8</v>
      </c>
      <c r="J11">
        <v>8</v>
      </c>
      <c r="L11" s="17">
        <f>((ARTICULOS_AGUANORT[[#This Row],[P. Compra]]*(1+ARTICULOS_AGUANORT[[#This Row],[IVA]]))/ARTICULOS_AGUANORT[[#This Row],[UnidFact]])+ARTICULOS_AGUANORT[[#This Row],[CostoFlete]]</f>
        <v>908.09875</v>
      </c>
      <c r="M11">
        <v>35</v>
      </c>
      <c r="N11" s="63">
        <f t="shared" si="1"/>
        <v>1400</v>
      </c>
      <c r="O11" s="3">
        <f>MROUND((ARTICULOS_AGUANORT[[#This Row],[Precio]]/0.6),10)</f>
        <v>2330</v>
      </c>
      <c r="P11" t="s">
        <v>8693</v>
      </c>
      <c r="Q11" s="42">
        <v>8</v>
      </c>
      <c r="R11" s="36">
        <f>ARTICULOS_AGUANORT[[#This Row],[Bulto]]*5</f>
        <v>40</v>
      </c>
      <c r="S11" t="s">
        <v>68</v>
      </c>
      <c r="T11" t="s">
        <v>10</v>
      </c>
      <c r="U11" t="s">
        <v>62</v>
      </c>
      <c r="V11" s="30" t="s">
        <v>10900</v>
      </c>
      <c r="W11" t="s">
        <v>8692</v>
      </c>
      <c r="X11">
        <v>1</v>
      </c>
      <c r="Y11">
        <v>16</v>
      </c>
      <c r="Z11"/>
      <c r="AB11" s="80">
        <f>ARTICULOS_AGUANORT[[#This Row],[Costo]]*ARTICULOS_AGUANORT[[#This Row],[Pedido]]</f>
        <v>0</v>
      </c>
      <c r="AD11"/>
      <c r="AH11" s="2" t="str">
        <f>IF(AND(ARTICULOS_AGUANORT[[#This Row],[FechaVenc]]=0,ARTICULOS_AGUANORT[[#This Row],[DiasVenc]]=0),"",ARTICULOS_AGUANORT[[#This Row],[FechaVenc]]-ARTICULOS_AGUANORT[[#This Row],[DiasVenc]])</f>
        <v/>
      </c>
      <c r="AK11"/>
      <c r="AM11"/>
      <c r="AO11" t="s">
        <v>8689</v>
      </c>
      <c r="AP11" t="s">
        <v>8690</v>
      </c>
    </row>
    <row r="12" spans="1:43" x14ac:dyDescent="0.25">
      <c r="A12" s="24" t="s">
        <v>10901</v>
      </c>
      <c r="C12" t="str">
        <f t="shared" si="0"/>
        <v>BEB13423157</v>
      </c>
      <c r="D12" t="s">
        <v>8689</v>
      </c>
      <c r="E12" s="24" t="s">
        <v>10902</v>
      </c>
      <c r="F12" s="61">
        <f>F11</f>
        <v>7264.79</v>
      </c>
      <c r="G12" s="119">
        <v>0</v>
      </c>
      <c r="H12" s="4" t="s">
        <v>8690</v>
      </c>
      <c r="I12">
        <v>8</v>
      </c>
      <c r="J12">
        <v>8</v>
      </c>
      <c r="L12" s="17">
        <f>((ARTICULOS_AGUANORT[[#This Row],[P. Compra]]*(1+ARTICULOS_AGUANORT[[#This Row],[IVA]]))/ARTICULOS_AGUANORT[[#This Row],[UnidFact]])+ARTICULOS_AGUANORT[[#This Row],[CostoFlete]]</f>
        <v>908.09875</v>
      </c>
      <c r="M12">
        <v>35</v>
      </c>
      <c r="N12" s="63">
        <f t="shared" si="1"/>
        <v>1400</v>
      </c>
      <c r="O12" s="3">
        <f>MROUND((ARTICULOS_AGUANORT[[#This Row],[Precio]]/0.6),10)</f>
        <v>2330</v>
      </c>
      <c r="P12" t="s">
        <v>8693</v>
      </c>
      <c r="Q12" s="42">
        <v>8</v>
      </c>
      <c r="R12" s="36">
        <f>ARTICULOS_AGUANORT[[#This Row],[Bulto]]*5</f>
        <v>40</v>
      </c>
      <c r="S12" t="s">
        <v>68</v>
      </c>
      <c r="T12" t="s">
        <v>10</v>
      </c>
      <c r="U12" t="s">
        <v>62</v>
      </c>
      <c r="V12" s="30" t="s">
        <v>10900</v>
      </c>
      <c r="W12" t="s">
        <v>8692</v>
      </c>
      <c r="X12">
        <v>1</v>
      </c>
      <c r="Y12">
        <v>9</v>
      </c>
      <c r="Z12"/>
      <c r="AB12" s="80">
        <f>ARTICULOS_AGUANORT[[#This Row],[Costo]]*ARTICULOS_AGUANORT[[#This Row],[Pedido]]</f>
        <v>0</v>
      </c>
      <c r="AD12"/>
      <c r="AH12" s="2" t="str">
        <f>IF(AND(ARTICULOS_AGUANORT[[#This Row],[FechaVenc]]=0,ARTICULOS_AGUANORT[[#This Row],[DiasVenc]]=0),"",ARTICULOS_AGUANORT[[#This Row],[FechaVenc]]-ARTICULOS_AGUANORT[[#This Row],[DiasVenc]])</f>
        <v/>
      </c>
      <c r="AK12"/>
      <c r="AM12"/>
      <c r="AO12" t="s">
        <v>8689</v>
      </c>
      <c r="AP12" t="s">
        <v>8690</v>
      </c>
    </row>
    <row r="13" spans="1:43" x14ac:dyDescent="0.25">
      <c r="A13" s="24" t="s">
        <v>10903</v>
      </c>
      <c r="B13" s="1" t="s">
        <v>10904</v>
      </c>
      <c r="C13" t="str">
        <f t="shared" si="0"/>
        <v>BEB13777014</v>
      </c>
      <c r="D13" t="s">
        <v>8689</v>
      </c>
      <c r="E13" s="24" t="s">
        <v>10905</v>
      </c>
      <c r="F13" s="61">
        <f>3035.47</f>
        <v>3035.47</v>
      </c>
      <c r="G13" s="119">
        <v>0</v>
      </c>
      <c r="H13" s="4" t="s">
        <v>8690</v>
      </c>
      <c r="I13">
        <v>9</v>
      </c>
      <c r="J13">
        <v>9</v>
      </c>
      <c r="L13" s="17">
        <f>((ARTICULOS_AGUANORT[[#This Row],[P. Compra]]*(1+ARTICULOS_AGUANORT[[#This Row],[IVA]]))/ARTICULOS_AGUANORT[[#This Row],[UnidFact]])+ARTICULOS_AGUANORT[[#This Row],[CostoFlete]]</f>
        <v>337.27444444444444</v>
      </c>
      <c r="M13">
        <v>35</v>
      </c>
      <c r="N13" s="63">
        <f t="shared" si="1"/>
        <v>500</v>
      </c>
      <c r="O13" s="3">
        <f>MROUND((ARTICULOS_AGUANORT[[#This Row],[Precio]]/0.6),10)</f>
        <v>830</v>
      </c>
      <c r="P13" t="s">
        <v>8693</v>
      </c>
      <c r="Q13" s="42">
        <v>18</v>
      </c>
      <c r="R13" s="36">
        <f>ARTICULOS_AGUANORT[[#This Row],[Bulto]]*5</f>
        <v>45</v>
      </c>
      <c r="S13" t="s">
        <v>68</v>
      </c>
      <c r="T13" t="s">
        <v>10</v>
      </c>
      <c r="U13" t="s">
        <v>62</v>
      </c>
      <c r="V13" s="30" t="s">
        <v>10886</v>
      </c>
      <c r="W13" t="s">
        <v>8692</v>
      </c>
      <c r="X13">
        <v>1</v>
      </c>
      <c r="Y13">
        <v>1</v>
      </c>
      <c r="Z13"/>
      <c r="AB13" s="80">
        <f>ARTICULOS_AGUANORT[[#This Row],[Costo]]*ARTICULOS_AGUANORT[[#This Row],[Pedido]]</f>
        <v>0</v>
      </c>
      <c r="AD13"/>
      <c r="AH13" s="2" t="str">
        <f>IF(AND(ARTICULOS_AGUANORT[[#This Row],[FechaVenc]]=0,ARTICULOS_AGUANORT[[#This Row],[DiasVenc]]=0),"",ARTICULOS_AGUANORT[[#This Row],[FechaVenc]]-ARTICULOS_AGUANORT[[#This Row],[DiasVenc]])</f>
        <v/>
      </c>
      <c r="AK13"/>
      <c r="AM13"/>
      <c r="AO13" t="s">
        <v>8689</v>
      </c>
      <c r="AP13" t="s">
        <v>8690</v>
      </c>
    </row>
    <row r="14" spans="1:43" x14ac:dyDescent="0.25">
      <c r="A14" s="24" t="s">
        <v>10906</v>
      </c>
      <c r="B14" s="1" t="s">
        <v>10907</v>
      </c>
      <c r="C14" t="str">
        <f t="shared" si="0"/>
        <v>BEB13555018</v>
      </c>
      <c r="D14" t="s">
        <v>8689</v>
      </c>
      <c r="E14" s="24" t="s">
        <v>10908</v>
      </c>
      <c r="F14" s="61">
        <f>F13</f>
        <v>3035.47</v>
      </c>
      <c r="G14" s="119">
        <v>0</v>
      </c>
      <c r="H14" s="4" t="s">
        <v>8690</v>
      </c>
      <c r="I14">
        <v>9</v>
      </c>
      <c r="J14">
        <v>9</v>
      </c>
      <c r="L14" s="17">
        <f>((ARTICULOS_AGUANORT[[#This Row],[P. Compra]]*(1+ARTICULOS_AGUANORT[[#This Row],[IVA]]))/ARTICULOS_AGUANORT[[#This Row],[UnidFact]])+ARTICULOS_AGUANORT[[#This Row],[CostoFlete]]</f>
        <v>337.27444444444444</v>
      </c>
      <c r="M14">
        <v>35</v>
      </c>
      <c r="N14" s="63">
        <f t="shared" si="1"/>
        <v>500</v>
      </c>
      <c r="O14" s="3">
        <f>MROUND((ARTICULOS_AGUANORT[[#This Row],[Precio]]/0.6),10)</f>
        <v>830</v>
      </c>
      <c r="P14" t="s">
        <v>8693</v>
      </c>
      <c r="Q14" s="42">
        <v>18</v>
      </c>
      <c r="R14" s="36">
        <f>ARTICULOS_AGUANORT[[#This Row],[Bulto]]*5</f>
        <v>45</v>
      </c>
      <c r="S14" t="s">
        <v>68</v>
      </c>
      <c r="T14" t="s">
        <v>10</v>
      </c>
      <c r="U14" t="s">
        <v>62</v>
      </c>
      <c r="V14" s="30" t="s">
        <v>10892</v>
      </c>
      <c r="W14" t="s">
        <v>8692</v>
      </c>
      <c r="X14">
        <v>1</v>
      </c>
      <c r="Y14">
        <v>0</v>
      </c>
      <c r="Z14"/>
      <c r="AB14" s="80">
        <f>ARTICULOS_AGUANORT[[#This Row],[Costo]]*ARTICULOS_AGUANORT[[#This Row],[Pedido]]</f>
        <v>0</v>
      </c>
      <c r="AD14"/>
      <c r="AH14" s="2" t="str">
        <f>IF(AND(ARTICULOS_AGUANORT[[#This Row],[FechaVenc]]=0,ARTICULOS_AGUANORT[[#This Row],[DiasVenc]]=0),"",ARTICULOS_AGUANORT[[#This Row],[FechaVenc]]-ARTICULOS_AGUANORT[[#This Row],[DiasVenc]])</f>
        <v/>
      </c>
      <c r="AK14"/>
      <c r="AM14"/>
      <c r="AO14" t="s">
        <v>8689</v>
      </c>
      <c r="AP14" t="s">
        <v>8690</v>
      </c>
    </row>
    <row r="15" spans="1:43" x14ac:dyDescent="0.25">
      <c r="A15" s="24" t="s">
        <v>10909</v>
      </c>
      <c r="B15" s="1" t="s">
        <v>10910</v>
      </c>
      <c r="C15" t="str">
        <f t="shared" si="0"/>
        <v>BEB13777038</v>
      </c>
      <c r="D15" t="s">
        <v>8689</v>
      </c>
      <c r="E15" s="24" t="s">
        <v>10911</v>
      </c>
      <c r="F15" s="61">
        <f>29323.58/6</f>
        <v>4887.2633333333333</v>
      </c>
      <c r="G15" s="119">
        <v>0</v>
      </c>
      <c r="H15" s="4" t="s">
        <v>8690</v>
      </c>
      <c r="I15">
        <v>6</v>
      </c>
      <c r="J15">
        <v>6</v>
      </c>
      <c r="L15" s="17">
        <f>((ARTICULOS_AGUANORT[[#This Row],[P. Compra]]*(1+ARTICULOS_AGUANORT[[#This Row],[IVA]]))/ARTICULOS_AGUANORT[[#This Row],[UnidFact]])+ARTICULOS_AGUANORT[[#This Row],[CostoFlete]]</f>
        <v>814.54388888888889</v>
      </c>
      <c r="M15">
        <v>35</v>
      </c>
      <c r="N15" s="63">
        <f t="shared" si="1"/>
        <v>1300</v>
      </c>
      <c r="O15" s="3">
        <f>MROUND((ARTICULOS_AGUANORT[[#This Row],[Precio]]/0.6),10)</f>
        <v>2170</v>
      </c>
      <c r="P15" t="s">
        <v>8693</v>
      </c>
      <c r="Q15" s="42">
        <v>12</v>
      </c>
      <c r="R15" s="36">
        <f>ARTICULOS_AGUANORT[[#This Row],[Bulto]]*5</f>
        <v>30</v>
      </c>
      <c r="S15" t="s">
        <v>68</v>
      </c>
      <c r="T15" t="s">
        <v>10</v>
      </c>
      <c r="U15" t="s">
        <v>62</v>
      </c>
      <c r="V15" s="30" t="s">
        <v>10886</v>
      </c>
      <c r="W15" t="s">
        <v>8692</v>
      </c>
      <c r="X15">
        <v>1</v>
      </c>
      <c r="Y15">
        <f>8+4+3</f>
        <v>15</v>
      </c>
      <c r="Z15"/>
      <c r="AB15" s="80">
        <f>ARTICULOS_AGUANORT[[#This Row],[Costo]]*ARTICULOS_AGUANORT[[#This Row],[Pedido]]</f>
        <v>0</v>
      </c>
      <c r="AD15"/>
      <c r="AH15" s="2" t="str">
        <f>IF(AND(ARTICULOS_AGUANORT[[#This Row],[FechaVenc]]=0,ARTICULOS_AGUANORT[[#This Row],[DiasVenc]]=0),"",ARTICULOS_AGUANORT[[#This Row],[FechaVenc]]-ARTICULOS_AGUANORT[[#This Row],[DiasVenc]])</f>
        <v/>
      </c>
      <c r="AK15"/>
      <c r="AM15"/>
      <c r="AO15" t="s">
        <v>8689</v>
      </c>
      <c r="AP15" t="s">
        <v>8690</v>
      </c>
    </row>
    <row r="16" spans="1:43" ht="15" customHeight="1" x14ac:dyDescent="0.25">
      <c r="A16" s="24" t="s">
        <v>10912</v>
      </c>
      <c r="C16" t="str">
        <f t="shared" si="0"/>
        <v>BEB13420583</v>
      </c>
      <c r="D16" t="s">
        <v>8689</v>
      </c>
      <c r="E16" s="24" t="s">
        <v>10913</v>
      </c>
      <c r="F16" s="61">
        <f>F15</f>
        <v>4887.2633333333333</v>
      </c>
      <c r="G16" s="119">
        <v>0</v>
      </c>
      <c r="H16" s="4" t="s">
        <v>8690</v>
      </c>
      <c r="I16">
        <v>6</v>
      </c>
      <c r="J16">
        <v>6</v>
      </c>
      <c r="L16" s="17">
        <f>((ARTICULOS_AGUANORT[[#This Row],[P. Compra]]*(1+ARTICULOS_AGUANORT[[#This Row],[IVA]]))/ARTICULOS_AGUANORT[[#This Row],[UnidFact]])+ARTICULOS_AGUANORT[[#This Row],[CostoFlete]]</f>
        <v>814.54388888888889</v>
      </c>
      <c r="M16">
        <v>35</v>
      </c>
      <c r="N16" s="63">
        <f t="shared" si="1"/>
        <v>1300</v>
      </c>
      <c r="O16" s="3">
        <f>MROUND((ARTICULOS_AGUANORT[[#This Row],[Precio]]/0.6),10)</f>
        <v>2170</v>
      </c>
      <c r="P16" t="s">
        <v>8693</v>
      </c>
      <c r="Q16" s="42">
        <v>12</v>
      </c>
      <c r="R16" s="36">
        <f>ARTICULOS_AGUANORT[[#This Row],[Bulto]]*5</f>
        <v>30</v>
      </c>
      <c r="S16" t="s">
        <v>68</v>
      </c>
      <c r="T16" t="s">
        <v>10</v>
      </c>
      <c r="U16" t="s">
        <v>62</v>
      </c>
      <c r="V16" s="30" t="s">
        <v>10886</v>
      </c>
      <c r="W16" t="s">
        <v>8692</v>
      </c>
      <c r="X16">
        <v>1</v>
      </c>
      <c r="Y16">
        <f>4+18</f>
        <v>22</v>
      </c>
      <c r="Z16"/>
      <c r="AB16" s="80">
        <f>ARTICULOS_AGUANORT[[#This Row],[Costo]]*ARTICULOS_AGUANORT[[#This Row],[Pedido]]</f>
        <v>0</v>
      </c>
      <c r="AD16"/>
      <c r="AH16" s="2" t="str">
        <f>IF(AND(ARTICULOS_AGUANORT[[#This Row],[FechaVenc]]=0,ARTICULOS_AGUANORT[[#This Row],[DiasVenc]]=0),"",ARTICULOS_AGUANORT[[#This Row],[FechaVenc]]-ARTICULOS_AGUANORT[[#This Row],[DiasVenc]])</f>
        <v/>
      </c>
      <c r="AK16"/>
      <c r="AM16"/>
      <c r="AO16" t="s">
        <v>8689</v>
      </c>
      <c r="AP16" t="s">
        <v>8690</v>
      </c>
    </row>
    <row r="17" spans="1:42" ht="15" customHeight="1" x14ac:dyDescent="0.25">
      <c r="A17" s="24" t="s">
        <v>11442</v>
      </c>
      <c r="B17" s="1" t="s">
        <v>11443</v>
      </c>
      <c r="C17" t="str">
        <f t="shared" si="0"/>
        <v>BEB13420385</v>
      </c>
      <c r="D17" t="s">
        <v>8689</v>
      </c>
      <c r="E17" s="24" t="s">
        <v>11444</v>
      </c>
      <c r="F17" s="61">
        <f t="shared" ref="F17:F20" si="4">F16</f>
        <v>4887.2633333333333</v>
      </c>
      <c r="G17" s="119">
        <v>0</v>
      </c>
      <c r="H17" s="4" t="s">
        <v>8690</v>
      </c>
      <c r="I17">
        <v>6</v>
      </c>
      <c r="J17">
        <v>6</v>
      </c>
      <c r="L17" s="17">
        <f>((ARTICULOS_AGUANORT[[#This Row],[P. Compra]]*(1+ARTICULOS_AGUANORT[[#This Row],[IVA]]))/ARTICULOS_AGUANORT[[#This Row],[UnidFact]])+ARTICULOS_AGUANORT[[#This Row],[CostoFlete]]</f>
        <v>814.54388888888889</v>
      </c>
      <c r="M17">
        <v>35</v>
      </c>
      <c r="N17" s="63">
        <f t="shared" si="1"/>
        <v>1300</v>
      </c>
      <c r="O17" s="3">
        <f>MROUND((ARTICULOS_AGUANORT[[#This Row],[Precio]]/0.6),10)</f>
        <v>2170</v>
      </c>
      <c r="P17" t="s">
        <v>8693</v>
      </c>
      <c r="Q17" s="42">
        <v>12</v>
      </c>
      <c r="R17" s="36">
        <f>ARTICULOS_AGUANORT[[#This Row],[Bulto]]*5</f>
        <v>30</v>
      </c>
      <c r="S17" t="s">
        <v>68</v>
      </c>
      <c r="T17" t="s">
        <v>10</v>
      </c>
      <c r="U17" t="s">
        <v>62</v>
      </c>
      <c r="V17" s="30" t="s">
        <v>10917</v>
      </c>
      <c r="W17" t="s">
        <v>8692</v>
      </c>
      <c r="X17">
        <v>1</v>
      </c>
      <c r="Y17">
        <v>7</v>
      </c>
      <c r="Z17"/>
      <c r="AB17" s="80">
        <f>ARTICULOS_AGUANORT[[#This Row],[Costo]]*ARTICULOS_AGUANORT[[#This Row],[Pedido]]</f>
        <v>0</v>
      </c>
      <c r="AD17"/>
      <c r="AH17" s="2" t="str">
        <f>IF(AND(ARTICULOS_AGUANORT[[#This Row],[FechaVenc]]=0,ARTICULOS_AGUANORT[[#This Row],[DiasVenc]]=0),"",ARTICULOS_AGUANORT[[#This Row],[FechaVenc]]-ARTICULOS_AGUANORT[[#This Row],[DiasVenc]])</f>
        <v/>
      </c>
      <c r="AK17"/>
      <c r="AM17"/>
      <c r="AO17" t="s">
        <v>8689</v>
      </c>
      <c r="AP17" t="s">
        <v>8690</v>
      </c>
    </row>
    <row r="18" spans="1:42" x14ac:dyDescent="0.25">
      <c r="A18" s="24" t="s">
        <v>10914</v>
      </c>
      <c r="B18" s="1" t="s">
        <v>10915</v>
      </c>
      <c r="C18" t="str">
        <f t="shared" si="0"/>
        <v>BEB13080022</v>
      </c>
      <c r="D18" t="s">
        <v>8689</v>
      </c>
      <c r="E18" s="24" t="s">
        <v>10916</v>
      </c>
      <c r="F18" s="61">
        <f t="shared" si="4"/>
        <v>4887.2633333333333</v>
      </c>
      <c r="G18" s="119">
        <v>0</v>
      </c>
      <c r="H18" s="4" t="s">
        <v>8690</v>
      </c>
      <c r="I18">
        <v>6</v>
      </c>
      <c r="J18">
        <v>6</v>
      </c>
      <c r="L18" s="17">
        <f>((ARTICULOS_AGUANORT[[#This Row],[P. Compra]]*(1+ARTICULOS_AGUANORT[[#This Row],[IVA]]))/ARTICULOS_AGUANORT[[#This Row],[UnidFact]])+ARTICULOS_AGUANORT[[#This Row],[CostoFlete]]</f>
        <v>814.54388888888889</v>
      </c>
      <c r="M18">
        <v>35</v>
      </c>
      <c r="N18" s="63">
        <f t="shared" si="1"/>
        <v>1300</v>
      </c>
      <c r="O18" s="3">
        <f>MROUND((ARTICULOS_AGUANORT[[#This Row],[Precio]]/0.6),10)</f>
        <v>2170</v>
      </c>
      <c r="P18" t="s">
        <v>8693</v>
      </c>
      <c r="Q18" s="42">
        <v>12</v>
      </c>
      <c r="R18" s="36">
        <f>ARTICULOS_AGUANORT[[#This Row],[Bulto]]*5</f>
        <v>30</v>
      </c>
      <c r="S18" t="s">
        <v>68</v>
      </c>
      <c r="T18" t="s">
        <v>10</v>
      </c>
      <c r="U18" t="s">
        <v>62</v>
      </c>
      <c r="V18" s="30" t="s">
        <v>10917</v>
      </c>
      <c r="W18" t="s">
        <v>8692</v>
      </c>
      <c r="X18">
        <v>1</v>
      </c>
      <c r="Y18">
        <v>0</v>
      </c>
      <c r="Z18"/>
      <c r="AB18" s="80">
        <f>ARTICULOS_AGUANORT[[#This Row],[Costo]]*ARTICULOS_AGUANORT[[#This Row],[Pedido]]</f>
        <v>0</v>
      </c>
      <c r="AD18"/>
      <c r="AH18" s="2" t="str">
        <f>IF(AND(ARTICULOS_AGUANORT[[#This Row],[FechaVenc]]=0,ARTICULOS_AGUANORT[[#This Row],[DiasVenc]]=0),"",ARTICULOS_AGUANORT[[#This Row],[FechaVenc]]-ARTICULOS_AGUANORT[[#This Row],[DiasVenc]])</f>
        <v/>
      </c>
      <c r="AK18"/>
      <c r="AM18"/>
      <c r="AO18" t="s">
        <v>8689</v>
      </c>
      <c r="AP18" t="s">
        <v>8690</v>
      </c>
    </row>
    <row r="19" spans="1:42" x14ac:dyDescent="0.25">
      <c r="A19" s="24" t="s">
        <v>10918</v>
      </c>
      <c r="B19" s="1" t="s">
        <v>10919</v>
      </c>
      <c r="C19" t="str">
        <f t="shared" si="0"/>
        <v>BEB13555025</v>
      </c>
      <c r="D19" t="s">
        <v>8689</v>
      </c>
      <c r="E19" s="24" t="s">
        <v>10920</v>
      </c>
      <c r="F19" s="61">
        <f t="shared" si="4"/>
        <v>4887.2633333333333</v>
      </c>
      <c r="G19" s="119">
        <v>0</v>
      </c>
      <c r="H19" s="4" t="s">
        <v>8690</v>
      </c>
      <c r="I19">
        <v>6</v>
      </c>
      <c r="J19">
        <v>6</v>
      </c>
      <c r="L19" s="17">
        <f>((ARTICULOS_AGUANORT[[#This Row],[P. Compra]]*(1+ARTICULOS_AGUANORT[[#This Row],[IVA]]))/ARTICULOS_AGUANORT[[#This Row],[UnidFact]])+ARTICULOS_AGUANORT[[#This Row],[CostoFlete]]</f>
        <v>814.54388888888889</v>
      </c>
      <c r="M19">
        <v>35</v>
      </c>
      <c r="N19" s="63">
        <f t="shared" si="1"/>
        <v>1300</v>
      </c>
      <c r="O19" s="3">
        <f>MROUND((ARTICULOS_AGUANORT[[#This Row],[Precio]]/0.6),10)</f>
        <v>2170</v>
      </c>
      <c r="P19" t="s">
        <v>8693</v>
      </c>
      <c r="Q19" s="42">
        <v>12</v>
      </c>
      <c r="R19" s="36">
        <f>ARTICULOS_AGUANORT[[#This Row],[Bulto]]*5</f>
        <v>30</v>
      </c>
      <c r="S19" t="s">
        <v>68</v>
      </c>
      <c r="T19" t="s">
        <v>10</v>
      </c>
      <c r="U19" t="s">
        <v>62</v>
      </c>
      <c r="V19" s="30" t="s">
        <v>10892</v>
      </c>
      <c r="W19" t="s">
        <v>8692</v>
      </c>
      <c r="X19">
        <v>1</v>
      </c>
      <c r="Y19">
        <f>4+1+12</f>
        <v>17</v>
      </c>
      <c r="Z19"/>
      <c r="AB19" s="80">
        <f>ARTICULOS_AGUANORT[[#This Row],[Costo]]*ARTICULOS_AGUANORT[[#This Row],[Pedido]]</f>
        <v>0</v>
      </c>
      <c r="AD19"/>
      <c r="AH19" s="2" t="str">
        <f>IF(AND(ARTICULOS_AGUANORT[[#This Row],[FechaVenc]]=0,ARTICULOS_AGUANORT[[#This Row],[DiasVenc]]=0),"",ARTICULOS_AGUANORT[[#This Row],[FechaVenc]]-ARTICULOS_AGUANORT[[#This Row],[DiasVenc]])</f>
        <v/>
      </c>
      <c r="AK19"/>
      <c r="AM19"/>
      <c r="AO19" t="s">
        <v>8689</v>
      </c>
      <c r="AP19" t="s">
        <v>8690</v>
      </c>
    </row>
    <row r="20" spans="1:42" x14ac:dyDescent="0.25">
      <c r="A20" s="24" t="s">
        <v>10921</v>
      </c>
      <c r="C20" t="str">
        <f t="shared" si="0"/>
        <v>BEB13420057</v>
      </c>
      <c r="D20" t="s">
        <v>8689</v>
      </c>
      <c r="E20" s="24" t="s">
        <v>10922</v>
      </c>
      <c r="F20" s="61">
        <f t="shared" si="4"/>
        <v>4887.2633333333333</v>
      </c>
      <c r="G20" s="119">
        <v>0</v>
      </c>
      <c r="H20" s="4" t="s">
        <v>8690</v>
      </c>
      <c r="I20">
        <v>6</v>
      </c>
      <c r="J20">
        <v>6</v>
      </c>
      <c r="L20" s="17">
        <f>((ARTICULOS_AGUANORT[[#This Row],[P. Compra]]*(1+ARTICULOS_AGUANORT[[#This Row],[IVA]]))/ARTICULOS_AGUANORT[[#This Row],[UnidFact]])+ARTICULOS_AGUANORT[[#This Row],[CostoFlete]]</f>
        <v>814.54388888888889</v>
      </c>
      <c r="M20">
        <v>35</v>
      </c>
      <c r="N20" s="63">
        <f t="shared" si="1"/>
        <v>1300</v>
      </c>
      <c r="O20" s="3">
        <f>MROUND((ARTICULOS_AGUANORT[[#This Row],[Precio]]/0.6),10)</f>
        <v>2170</v>
      </c>
      <c r="P20" t="s">
        <v>8693</v>
      </c>
      <c r="Q20" s="42">
        <v>12</v>
      </c>
      <c r="R20" s="36">
        <f>ARTICULOS_AGUANORT[[#This Row],[Bulto]]*5</f>
        <v>30</v>
      </c>
      <c r="S20" t="s">
        <v>68</v>
      </c>
      <c r="T20" t="s">
        <v>10</v>
      </c>
      <c r="U20" t="s">
        <v>62</v>
      </c>
      <c r="V20" s="30" t="s">
        <v>10892</v>
      </c>
      <c r="W20" t="s">
        <v>8692</v>
      </c>
      <c r="X20">
        <v>1</v>
      </c>
      <c r="Y20">
        <v>0</v>
      </c>
      <c r="Z20"/>
      <c r="AB20" s="80">
        <f>ARTICULOS_AGUANORT[[#This Row],[Costo]]*ARTICULOS_AGUANORT[[#This Row],[Pedido]]</f>
        <v>0</v>
      </c>
      <c r="AD20"/>
      <c r="AH20" s="2" t="str">
        <f>IF(AND(ARTICULOS_AGUANORT[[#This Row],[FechaVenc]]=0,ARTICULOS_AGUANORT[[#This Row],[DiasVenc]]=0),"",ARTICULOS_AGUANORT[[#This Row],[FechaVenc]]-ARTICULOS_AGUANORT[[#This Row],[DiasVenc]])</f>
        <v/>
      </c>
      <c r="AK20"/>
      <c r="AM20"/>
      <c r="AO20" t="s">
        <v>8689</v>
      </c>
      <c r="AP20" t="s">
        <v>8690</v>
      </c>
    </row>
    <row r="21" spans="1:42" x14ac:dyDescent="0.25">
      <c r="A21" s="1" t="s">
        <v>10866</v>
      </c>
      <c r="B21" s="1" t="s">
        <v>10867</v>
      </c>
      <c r="C21" t="str">
        <f t="shared" si="0"/>
        <v>BEB90100070</v>
      </c>
      <c r="D21" t="s">
        <v>8689</v>
      </c>
      <c r="E21" s="1" t="s">
        <v>10868</v>
      </c>
      <c r="F21" s="61">
        <v>39000</v>
      </c>
      <c r="G21" s="119">
        <v>0</v>
      </c>
      <c r="H21" s="4" t="s">
        <v>8690</v>
      </c>
      <c r="I21">
        <v>24</v>
      </c>
      <c r="J21">
        <v>24</v>
      </c>
      <c r="L21" s="17">
        <f>((ARTICULOS_AGUANORT[[#This Row],[P. Compra]]*(1+ARTICULOS_AGUANORT[[#This Row],[IVA]]))/ARTICULOS_AGUANORT[[#This Row],[UnidFact]])+ARTICULOS_AGUANORT[[#This Row],[CostoFlete]]</f>
        <v>1625</v>
      </c>
      <c r="M21">
        <v>35</v>
      </c>
      <c r="N21" s="63">
        <f t="shared" si="1"/>
        <v>2500</v>
      </c>
      <c r="O21" s="3">
        <f>MROUND((ARTICULOS_AGUANORT[[#This Row],[Precio]]/0.6),10)</f>
        <v>4170</v>
      </c>
      <c r="P21" t="s">
        <v>8693</v>
      </c>
      <c r="Q21" s="41">
        <v>6</v>
      </c>
      <c r="R21" s="36">
        <f>ARTICULOS_AGUANORT[[#This Row],[Bulto]]*2</f>
        <v>48</v>
      </c>
      <c r="S21" t="s">
        <v>68</v>
      </c>
      <c r="T21" t="s">
        <v>10</v>
      </c>
      <c r="U21" t="s">
        <v>54</v>
      </c>
      <c r="V21" t="s">
        <v>10869</v>
      </c>
      <c r="W21" t="s">
        <v>8692</v>
      </c>
      <c r="X21">
        <v>1</v>
      </c>
      <c r="Y21">
        <v>25</v>
      </c>
      <c r="Z21"/>
      <c r="AB21" s="80">
        <f>ARTICULOS_AGUANORT[[#This Row],[Costo]]*ARTICULOS_AGUANORT[[#This Row],[Pedido]]</f>
        <v>0</v>
      </c>
      <c r="AD21"/>
      <c r="AH21" s="2" t="str">
        <f>IF(AND(ARTICULOS_AGUANORT[[#This Row],[FechaVenc]]=0,ARTICULOS_AGUANORT[[#This Row],[DiasVenc]]=0),"",ARTICULOS_AGUANORT[[#This Row],[FechaVenc]]-ARTICULOS_AGUANORT[[#This Row],[DiasVenc]])</f>
        <v/>
      </c>
      <c r="AK21"/>
      <c r="AM21"/>
      <c r="AO21" t="s">
        <v>8689</v>
      </c>
      <c r="AP21" t="s">
        <v>8690</v>
      </c>
    </row>
    <row r="22" spans="1:42" ht="15" customHeight="1" x14ac:dyDescent="0.25">
      <c r="A22" s="1" t="s">
        <v>10870</v>
      </c>
      <c r="B22" s="1" t="s">
        <v>10871</v>
      </c>
      <c r="C22" t="str">
        <f t="shared" si="0"/>
        <v>BEB90415418</v>
      </c>
      <c r="D22" t="s">
        <v>8689</v>
      </c>
      <c r="E22" s="1" t="s">
        <v>11837</v>
      </c>
      <c r="F22" s="61">
        <f>F21</f>
        <v>39000</v>
      </c>
      <c r="G22" s="119">
        <v>0</v>
      </c>
      <c r="H22" s="4" t="s">
        <v>8690</v>
      </c>
      <c r="I22">
        <v>24</v>
      </c>
      <c r="J22">
        <v>24</v>
      </c>
      <c r="L22" s="17">
        <f>((ARTICULOS_AGUANORT[[#This Row],[P. Compra]]*(1+ARTICULOS_AGUANORT[[#This Row],[IVA]]))/ARTICULOS_AGUANORT[[#This Row],[UnidFact]])+ARTICULOS_AGUANORT[[#This Row],[CostoFlete]]</f>
        <v>1625</v>
      </c>
      <c r="M22">
        <v>35</v>
      </c>
      <c r="N22" s="63">
        <f t="shared" si="1"/>
        <v>2500</v>
      </c>
      <c r="O22" s="3">
        <f>MROUND((ARTICULOS_AGUANORT[[#This Row],[Precio]]/0.6),10)</f>
        <v>4170</v>
      </c>
      <c r="P22" t="s">
        <v>8693</v>
      </c>
      <c r="Q22" s="41">
        <v>6</v>
      </c>
      <c r="R22" s="36">
        <f>ARTICULOS_AGUANORT[[#This Row],[Bulto]]*2</f>
        <v>48</v>
      </c>
      <c r="S22" t="s">
        <v>68</v>
      </c>
      <c r="T22" t="s">
        <v>10</v>
      </c>
      <c r="U22" t="s">
        <v>54</v>
      </c>
      <c r="V22" t="s">
        <v>10869</v>
      </c>
      <c r="W22" t="s">
        <v>8692</v>
      </c>
      <c r="X22">
        <v>1</v>
      </c>
      <c r="Y22">
        <v>0</v>
      </c>
      <c r="Z22"/>
      <c r="AB22" s="80">
        <f>ARTICULOS_AGUANORT[[#This Row],[Costo]]*ARTICULOS_AGUANORT[[#This Row],[Pedido]]</f>
        <v>0</v>
      </c>
      <c r="AD22"/>
      <c r="AH22" s="2" t="str">
        <f>IF(AND(ARTICULOS_AGUANORT[[#This Row],[FechaVenc]]=0,ARTICULOS_AGUANORT[[#This Row],[DiasVenc]]=0),"",ARTICULOS_AGUANORT[[#This Row],[FechaVenc]]-ARTICULOS_AGUANORT[[#This Row],[DiasVenc]])</f>
        <v/>
      </c>
      <c r="AK22"/>
      <c r="AM22"/>
      <c r="AO22" t="s">
        <v>8689</v>
      </c>
      <c r="AP22" t="s">
        <v>8690</v>
      </c>
    </row>
    <row r="23" spans="1:42" ht="15" customHeight="1" x14ac:dyDescent="0.25">
      <c r="A23" s="1" t="s">
        <v>11839</v>
      </c>
      <c r="B23" s="1" t="s">
        <v>11840</v>
      </c>
      <c r="C23" t="str">
        <f t="shared" ref="C23" si="5">CONCATENATE(LEFT(T23,3),RIGHT(A23,8))</f>
        <v>BEB90258313</v>
      </c>
      <c r="D23" t="s">
        <v>8689</v>
      </c>
      <c r="E23" s="1" t="s">
        <v>11838</v>
      </c>
      <c r="F23" s="61">
        <f>F22</f>
        <v>39000</v>
      </c>
      <c r="G23" s="119">
        <v>0</v>
      </c>
      <c r="H23" s="4" t="s">
        <v>8690</v>
      </c>
      <c r="I23">
        <v>24</v>
      </c>
      <c r="J23">
        <v>24</v>
      </c>
      <c r="L23" s="17">
        <f>((ARTICULOS_AGUANORT[[#This Row],[P. Compra]]*(1+ARTICULOS_AGUANORT[[#This Row],[IVA]]))/ARTICULOS_AGUANORT[[#This Row],[UnidFact]])+ARTICULOS_AGUANORT[[#This Row],[CostoFlete]]</f>
        <v>1625</v>
      </c>
      <c r="M23">
        <v>35</v>
      </c>
      <c r="N23" s="63">
        <f t="shared" si="1"/>
        <v>2500</v>
      </c>
      <c r="O23" s="3">
        <f>MROUND((ARTICULOS_AGUANORT[[#This Row],[Precio]]/0.6),10)</f>
        <v>4170</v>
      </c>
      <c r="P23" t="s">
        <v>8693</v>
      </c>
      <c r="Q23" s="41">
        <v>6</v>
      </c>
      <c r="R23" s="36">
        <f>ARTICULOS_AGUANORT[[#This Row],[Bulto]]*2</f>
        <v>48</v>
      </c>
      <c r="S23" t="s">
        <v>68</v>
      </c>
      <c r="T23" t="s">
        <v>10</v>
      </c>
      <c r="U23" t="s">
        <v>54</v>
      </c>
      <c r="V23" t="s">
        <v>10869</v>
      </c>
      <c r="W23" t="s">
        <v>8692</v>
      </c>
      <c r="X23">
        <v>1</v>
      </c>
      <c r="Y23">
        <v>18</v>
      </c>
      <c r="Z23"/>
      <c r="AB23" s="80">
        <f>ARTICULOS_AGUANORT[[#This Row],[Costo]]*ARTICULOS_AGUANORT[[#This Row],[Pedido]]</f>
        <v>0</v>
      </c>
      <c r="AD23"/>
      <c r="AH23" s="2" t="str">
        <f>IF(AND(ARTICULOS_AGUANORT[[#This Row],[FechaVenc]]=0,ARTICULOS_AGUANORT[[#This Row],[DiasVenc]]=0),"",ARTICULOS_AGUANORT[[#This Row],[FechaVenc]]-ARTICULOS_AGUANORT[[#This Row],[DiasVenc]])</f>
        <v/>
      </c>
      <c r="AK23"/>
      <c r="AM23"/>
      <c r="AO23" t="s">
        <v>8689</v>
      </c>
      <c r="AP23" t="s">
        <v>8690</v>
      </c>
    </row>
    <row r="24" spans="1:42" ht="15" customHeight="1" x14ac:dyDescent="0.25">
      <c r="A24" s="1" t="s">
        <v>12198</v>
      </c>
      <c r="B24" s="1" t="s">
        <v>11840</v>
      </c>
      <c r="C24" t="str">
        <f t="shared" ref="C24" si="6">CONCATENATE(LEFT(T24,3),RIGHT(A24,8))</f>
        <v>BEB90248949</v>
      </c>
      <c r="D24" t="s">
        <v>8689</v>
      </c>
      <c r="E24" s="1" t="s">
        <v>12194</v>
      </c>
      <c r="F24" s="61">
        <f>F23</f>
        <v>39000</v>
      </c>
      <c r="G24" s="119">
        <v>0</v>
      </c>
      <c r="H24" s="4" t="s">
        <v>8690</v>
      </c>
      <c r="I24">
        <v>24</v>
      </c>
      <c r="J24">
        <v>24</v>
      </c>
      <c r="L24" s="17">
        <f>((ARTICULOS_AGUANORT[[#This Row],[P. Compra]]*(1+ARTICULOS_AGUANORT[[#This Row],[IVA]]))/ARTICULOS_AGUANORT[[#This Row],[UnidFact]])+ARTICULOS_AGUANORT[[#This Row],[CostoFlete]]</f>
        <v>1625</v>
      </c>
      <c r="M24">
        <v>35</v>
      </c>
      <c r="N24" s="63">
        <f t="shared" si="1"/>
        <v>2500</v>
      </c>
      <c r="O24" s="3">
        <f>MROUND((ARTICULOS_AGUANORT[[#This Row],[Precio]]/0.6),10)</f>
        <v>4170</v>
      </c>
      <c r="P24" t="s">
        <v>8693</v>
      </c>
      <c r="Q24" s="41">
        <v>6</v>
      </c>
      <c r="R24" s="36">
        <f>ARTICULOS_AGUANORT[[#This Row],[Bulto]]*2</f>
        <v>48</v>
      </c>
      <c r="S24" t="s">
        <v>68</v>
      </c>
      <c r="T24" t="s">
        <v>10</v>
      </c>
      <c r="U24" t="s">
        <v>54</v>
      </c>
      <c r="V24" t="s">
        <v>10869</v>
      </c>
      <c r="W24" t="s">
        <v>8692</v>
      </c>
      <c r="X24">
        <v>1</v>
      </c>
      <c r="Y24">
        <v>3</v>
      </c>
      <c r="Z24"/>
      <c r="AB24" s="80">
        <f>ARTICULOS_AGUANORT[[#This Row],[Costo]]*ARTICULOS_AGUANORT[[#This Row],[Pedido]]</f>
        <v>0</v>
      </c>
      <c r="AD24"/>
      <c r="AH24" s="2" t="str">
        <f>IF(AND(ARTICULOS_AGUANORT[[#This Row],[FechaVenc]]=0,ARTICULOS_AGUANORT[[#This Row],[DiasVenc]]=0),"",ARTICULOS_AGUANORT[[#This Row],[FechaVenc]]-ARTICULOS_AGUANORT[[#This Row],[DiasVenc]])</f>
        <v/>
      </c>
      <c r="AK24"/>
      <c r="AM24"/>
      <c r="AO24" t="s">
        <v>8689</v>
      </c>
      <c r="AP24" t="s">
        <v>8690</v>
      </c>
    </row>
    <row r="25" spans="1:42" ht="15" customHeight="1" x14ac:dyDescent="0.25">
      <c r="A25" s="24" t="s">
        <v>12576</v>
      </c>
      <c r="B25" s="1" t="s">
        <v>11840</v>
      </c>
      <c r="C25" t="str">
        <f t="shared" ref="C25" si="7">CONCATENATE(LEFT(T25,3),RIGHT(A25,8))</f>
        <v>BEB90435225</v>
      </c>
      <c r="D25" t="s">
        <v>8689</v>
      </c>
      <c r="E25" s="24" t="s">
        <v>12577</v>
      </c>
      <c r="F25" s="61">
        <f>110022.47/2</f>
        <v>55011.235000000001</v>
      </c>
      <c r="G25" s="119">
        <v>0</v>
      </c>
      <c r="H25" s="4" t="s">
        <v>8690</v>
      </c>
      <c r="I25">
        <v>24</v>
      </c>
      <c r="J25">
        <v>24</v>
      </c>
      <c r="L25" s="17">
        <f>((ARTICULOS_AGUANORT[[#This Row],[P. Compra]]*(1+ARTICULOS_AGUANORT[[#This Row],[IVA]]))/ARTICULOS_AGUANORT[[#This Row],[UnidFact]])+ARTICULOS_AGUANORT[[#This Row],[CostoFlete]]</f>
        <v>2292.1347916666668</v>
      </c>
      <c r="M25">
        <v>35</v>
      </c>
      <c r="N25" s="63">
        <f t="shared" si="1"/>
        <v>3500</v>
      </c>
      <c r="O25" s="3">
        <f>MROUND((ARTICULOS_AGUANORT[[#This Row],[Precio]]/0.6),10)</f>
        <v>5830</v>
      </c>
      <c r="P25" t="s">
        <v>8693</v>
      </c>
      <c r="Q25" s="41">
        <v>6</v>
      </c>
      <c r="R25" s="36">
        <f>ARTICULOS_AGUANORT[[#This Row],[Bulto]]*2</f>
        <v>48</v>
      </c>
      <c r="S25" t="s">
        <v>68</v>
      </c>
      <c r="T25" t="s">
        <v>10</v>
      </c>
      <c r="U25" t="s">
        <v>54</v>
      </c>
      <c r="V25" t="s">
        <v>10869</v>
      </c>
      <c r="W25" t="s">
        <v>8692</v>
      </c>
      <c r="X25">
        <v>1</v>
      </c>
      <c r="Y25">
        <v>3</v>
      </c>
      <c r="Z25"/>
      <c r="AB25" s="80">
        <f>ARTICULOS_AGUANORT[[#This Row],[Costo]]*ARTICULOS_AGUANORT[[#This Row],[Pedido]]</f>
        <v>0</v>
      </c>
      <c r="AD25"/>
      <c r="AH25" s="2" t="str">
        <f>IF(AND(ARTICULOS_AGUANORT[[#This Row],[FechaVenc]]=0,ARTICULOS_AGUANORT[[#This Row],[DiasVenc]]=0),"",ARTICULOS_AGUANORT[[#This Row],[FechaVenc]]-ARTICULOS_AGUANORT[[#This Row],[DiasVenc]])</f>
        <v/>
      </c>
      <c r="AK25"/>
      <c r="AM25"/>
      <c r="AO25" t="s">
        <v>8689</v>
      </c>
      <c r="AP25" t="s">
        <v>8690</v>
      </c>
    </row>
    <row r="26" spans="1:42" ht="15" customHeight="1" x14ac:dyDescent="0.25">
      <c r="A26" s="1" t="s">
        <v>10872</v>
      </c>
      <c r="B26" s="1" t="s">
        <v>10873</v>
      </c>
      <c r="C26" t="str">
        <f t="shared" si="0"/>
        <v>BEB13111245</v>
      </c>
      <c r="D26" t="s">
        <v>8689</v>
      </c>
      <c r="E26" s="1" t="s">
        <v>10874</v>
      </c>
      <c r="F26" s="61">
        <v>5170.01</v>
      </c>
      <c r="G26" s="119">
        <v>0</v>
      </c>
      <c r="H26" s="4" t="s">
        <v>8690</v>
      </c>
      <c r="I26">
        <v>6</v>
      </c>
      <c r="J26">
        <v>6</v>
      </c>
      <c r="L26" s="16">
        <f>((ARTICULOS_AGUANORT[[#This Row],[P. Compra]]*(1+ARTICULOS_AGUANORT[[#This Row],[IVA]]))/ARTICULOS_AGUANORT[[#This Row],[UnidFact]])+ARTICULOS_AGUANORT[[#This Row],[CostoFlete]]</f>
        <v>861.66833333333341</v>
      </c>
      <c r="M26">
        <v>35</v>
      </c>
      <c r="N26" s="63">
        <f t="shared" si="1"/>
        <v>1300</v>
      </c>
      <c r="O26" s="3">
        <f>MROUND((ARTICULOS_AGUANORT[[#This Row],[Precio]]/0.6),10)</f>
        <v>2170</v>
      </c>
      <c r="P26" t="s">
        <v>8693</v>
      </c>
      <c r="Q26" s="42">
        <v>6</v>
      </c>
      <c r="R26" s="36">
        <f>ARTICULOS_AGUANORT[[#This Row],[Bulto]]*3</f>
        <v>18</v>
      </c>
      <c r="S26" t="s">
        <v>68</v>
      </c>
      <c r="T26" t="s">
        <v>10</v>
      </c>
      <c r="U26" t="s">
        <v>54</v>
      </c>
      <c r="V26" t="s">
        <v>10875</v>
      </c>
      <c r="W26" t="s">
        <v>8692</v>
      </c>
      <c r="X26">
        <v>2</v>
      </c>
      <c r="Y26">
        <v>2</v>
      </c>
      <c r="Z26"/>
      <c r="AB26" s="80">
        <f>ARTICULOS_AGUANORT[[#This Row],[Costo]]*ARTICULOS_AGUANORT[[#This Row],[Pedido]]</f>
        <v>0</v>
      </c>
      <c r="AD26"/>
      <c r="AH26" s="2" t="str">
        <f>IF(AND(ARTICULOS_AGUANORT[[#This Row],[FechaVenc]]=0,ARTICULOS_AGUANORT[[#This Row],[DiasVenc]]=0),"",ARTICULOS_AGUANORT[[#This Row],[FechaVenc]]-ARTICULOS_AGUANORT[[#This Row],[DiasVenc]])</f>
        <v/>
      </c>
      <c r="AK26"/>
      <c r="AM26"/>
      <c r="AO26" t="s">
        <v>8689</v>
      </c>
      <c r="AP26" t="s">
        <v>8690</v>
      </c>
    </row>
    <row r="27" spans="1:42" ht="15" customHeight="1" x14ac:dyDescent="0.25">
      <c r="A27" s="1" t="s">
        <v>11445</v>
      </c>
      <c r="B27" s="1" t="s">
        <v>10873</v>
      </c>
      <c r="C27" t="str">
        <f t="shared" si="0"/>
        <v>BEB13111214</v>
      </c>
      <c r="D27" t="s">
        <v>8689</v>
      </c>
      <c r="E27" s="1" t="s">
        <v>11446</v>
      </c>
      <c r="F27" s="61">
        <f>F26</f>
        <v>5170.01</v>
      </c>
      <c r="G27" s="119">
        <v>0</v>
      </c>
      <c r="H27" s="4" t="s">
        <v>8690</v>
      </c>
      <c r="I27">
        <v>6</v>
      </c>
      <c r="J27">
        <v>6</v>
      </c>
      <c r="L27" s="16">
        <f>((ARTICULOS_AGUANORT[[#This Row],[P. Compra]]*(1+ARTICULOS_AGUANORT[[#This Row],[IVA]]))/ARTICULOS_AGUANORT[[#This Row],[UnidFact]])+ARTICULOS_AGUANORT[[#This Row],[CostoFlete]]</f>
        <v>861.66833333333341</v>
      </c>
      <c r="M27">
        <v>35</v>
      </c>
      <c r="N27" s="63">
        <f t="shared" si="1"/>
        <v>1300</v>
      </c>
      <c r="O27" s="3">
        <f>MROUND((ARTICULOS_AGUANORT[[#This Row],[Precio]]/0.6),10)</f>
        <v>2170</v>
      </c>
      <c r="P27" t="s">
        <v>8693</v>
      </c>
      <c r="Q27" s="42">
        <v>6</v>
      </c>
      <c r="R27" s="36">
        <f>ARTICULOS_AGUANORT[[#This Row],[Bulto]]*3</f>
        <v>18</v>
      </c>
      <c r="S27" t="s">
        <v>68</v>
      </c>
      <c r="T27" t="s">
        <v>10</v>
      </c>
      <c r="U27" t="s">
        <v>54</v>
      </c>
      <c r="V27" t="s">
        <v>10875</v>
      </c>
      <c r="W27" t="s">
        <v>8692</v>
      </c>
      <c r="X27">
        <v>2</v>
      </c>
      <c r="Y27">
        <v>16</v>
      </c>
      <c r="Z27"/>
      <c r="AB27" s="80">
        <f>ARTICULOS_AGUANORT[[#This Row],[Costo]]*ARTICULOS_AGUANORT[[#This Row],[Pedido]]</f>
        <v>0</v>
      </c>
      <c r="AD27"/>
      <c r="AH27" s="2" t="str">
        <f>IF(AND(ARTICULOS_AGUANORT[[#This Row],[FechaVenc]]=0,ARTICULOS_AGUANORT[[#This Row],[DiasVenc]]=0),"",ARTICULOS_AGUANORT[[#This Row],[FechaVenc]]-ARTICULOS_AGUANORT[[#This Row],[DiasVenc]])</f>
        <v/>
      </c>
      <c r="AK27"/>
      <c r="AM27"/>
      <c r="AO27" t="s">
        <v>8689</v>
      </c>
      <c r="AP27" t="s">
        <v>8690</v>
      </c>
    </row>
    <row r="28" spans="1:42" x14ac:dyDescent="0.25">
      <c r="A28" s="1" t="s">
        <v>10812</v>
      </c>
      <c r="C28" t="str">
        <f t="shared" si="0"/>
        <v>BOD98008377</v>
      </c>
      <c r="D28" t="s">
        <v>8689</v>
      </c>
      <c r="E28" s="24" t="s">
        <v>10813</v>
      </c>
      <c r="F28" s="61">
        <v>21807.03</v>
      </c>
      <c r="G28" s="119">
        <v>0</v>
      </c>
      <c r="H28" s="4" t="s">
        <v>8690</v>
      </c>
      <c r="I28">
        <v>24</v>
      </c>
      <c r="J28">
        <v>24</v>
      </c>
      <c r="L28" s="17">
        <f>((ARTICULOS_AGUANORT[[#This Row],[P. Compra]]*(1+ARTICULOS_AGUANORT[[#This Row],[IVA]]))/ARTICULOS_AGUANORT[[#This Row],[UnidFact]])+ARTICULOS_AGUANORT[[#This Row],[CostoFlete]]</f>
        <v>908.62624999999991</v>
      </c>
      <c r="M28">
        <v>35</v>
      </c>
      <c r="N28" s="63">
        <f t="shared" si="1"/>
        <v>1400</v>
      </c>
      <c r="O28" s="3">
        <f>MROUND((ARTICULOS_AGUANORT[[#This Row],[Precio]]/0.6),10)</f>
        <v>2330</v>
      </c>
      <c r="P28" t="s">
        <v>8693</v>
      </c>
      <c r="Q28" s="41">
        <v>6</v>
      </c>
      <c r="R28" s="36">
        <f>ARTICULOS_AGUANORT[[#This Row],[Bulto]]*2</f>
        <v>48</v>
      </c>
      <c r="S28" t="s">
        <v>68</v>
      </c>
      <c r="T28" t="s">
        <v>13</v>
      </c>
      <c r="U28" t="s">
        <v>22</v>
      </c>
      <c r="V28" t="s">
        <v>10814</v>
      </c>
      <c r="W28" t="s">
        <v>8692</v>
      </c>
      <c r="X28">
        <v>1</v>
      </c>
      <c r="Y28">
        <v>0</v>
      </c>
      <c r="Z28"/>
      <c r="AB28" s="80">
        <f>ARTICULOS_AGUANORT[[#This Row],[Costo]]*ARTICULOS_AGUANORT[[#This Row],[Pedido]]</f>
        <v>0</v>
      </c>
      <c r="AD28"/>
      <c r="AH28" s="2" t="str">
        <f>IF(AND(ARTICULOS_AGUANORT[[#This Row],[FechaVenc]]=0,ARTICULOS_AGUANORT[[#This Row],[DiasVenc]]=0),"",ARTICULOS_AGUANORT[[#This Row],[FechaVenc]]-ARTICULOS_AGUANORT[[#This Row],[DiasVenc]])</f>
        <v/>
      </c>
      <c r="AK28"/>
      <c r="AM28"/>
      <c r="AO28" t="s">
        <v>8689</v>
      </c>
      <c r="AP28" t="s">
        <v>8690</v>
      </c>
    </row>
    <row r="29" spans="1:42" x14ac:dyDescent="0.25">
      <c r="A29" s="1" t="s">
        <v>10815</v>
      </c>
      <c r="B29" s="1" t="s">
        <v>10816</v>
      </c>
      <c r="C29" t="str">
        <f t="shared" si="0"/>
        <v>BOD98012435</v>
      </c>
      <c r="D29" t="s">
        <v>8689</v>
      </c>
      <c r="E29" s="1" t="s">
        <v>10817</v>
      </c>
      <c r="F29" s="61">
        <v>37407.79</v>
      </c>
      <c r="G29" s="119">
        <v>0</v>
      </c>
      <c r="H29" s="4" t="s">
        <v>8690</v>
      </c>
      <c r="I29">
        <v>24</v>
      </c>
      <c r="J29">
        <v>24</v>
      </c>
      <c r="L29" s="17">
        <f>((ARTICULOS_AGUANORT[[#This Row],[P. Compra]]*(1+ARTICULOS_AGUANORT[[#This Row],[IVA]]))/ARTICULOS_AGUANORT[[#This Row],[UnidFact]])+ARTICULOS_AGUANORT[[#This Row],[CostoFlete]]</f>
        <v>1558.6579166666668</v>
      </c>
      <c r="M29">
        <v>35</v>
      </c>
      <c r="N29" s="63">
        <f t="shared" si="1"/>
        <v>2400</v>
      </c>
      <c r="O29" s="3">
        <f>MROUND((ARTICULOS_AGUANORT[[#This Row],[Precio]]/0.6),10)</f>
        <v>4000</v>
      </c>
      <c r="P29" t="s">
        <v>8693</v>
      </c>
      <c r="Q29" s="41">
        <v>6</v>
      </c>
      <c r="R29" s="36">
        <f>ARTICULOS_AGUANORT[[#This Row],[Bulto]]*2</f>
        <v>48</v>
      </c>
      <c r="S29" t="s">
        <v>68</v>
      </c>
      <c r="T29" t="s">
        <v>13</v>
      </c>
      <c r="U29" t="s">
        <v>22</v>
      </c>
      <c r="V29" t="s">
        <v>10818</v>
      </c>
      <c r="W29" t="s">
        <v>8692</v>
      </c>
      <c r="X29">
        <v>1</v>
      </c>
      <c r="Y29">
        <v>6</v>
      </c>
      <c r="Z29"/>
      <c r="AB29" s="80">
        <f>ARTICULOS_AGUANORT[[#This Row],[Costo]]*ARTICULOS_AGUANORT[[#This Row],[Pedido]]</f>
        <v>0</v>
      </c>
      <c r="AD29"/>
      <c r="AH29" s="2" t="str">
        <f>IF(AND(ARTICULOS_AGUANORT[[#This Row],[FechaVenc]]=0,ARTICULOS_AGUANORT[[#This Row],[DiasVenc]]=0),"",ARTICULOS_AGUANORT[[#This Row],[FechaVenc]]-ARTICULOS_AGUANORT[[#This Row],[DiasVenc]])</f>
        <v/>
      </c>
      <c r="AK29"/>
      <c r="AM29"/>
      <c r="AO29" t="s">
        <v>8689</v>
      </c>
      <c r="AP29" t="s">
        <v>8690</v>
      </c>
    </row>
    <row r="30" spans="1:42" x14ac:dyDescent="0.25">
      <c r="A30" s="1" t="s">
        <v>10819</v>
      </c>
      <c r="C30" t="str">
        <f t="shared" si="0"/>
        <v>BOD98005956</v>
      </c>
      <c r="D30" t="s">
        <v>8689</v>
      </c>
      <c r="E30" s="1" t="s">
        <v>10820</v>
      </c>
      <c r="F30" s="61">
        <v>31000</v>
      </c>
      <c r="G30" s="119">
        <v>0</v>
      </c>
      <c r="H30" s="4" t="s">
        <v>8690</v>
      </c>
      <c r="I30">
        <v>24</v>
      </c>
      <c r="J30">
        <v>24</v>
      </c>
      <c r="L30" s="17">
        <f>((ARTICULOS_AGUANORT[[#This Row],[P. Compra]]*(1+ARTICULOS_AGUANORT[[#This Row],[IVA]]))/ARTICULOS_AGUANORT[[#This Row],[UnidFact]])+ARTICULOS_AGUANORT[[#This Row],[CostoFlete]]</f>
        <v>1291.6666666666667</v>
      </c>
      <c r="M30">
        <v>35</v>
      </c>
      <c r="N30" s="63">
        <f t="shared" si="1"/>
        <v>2000</v>
      </c>
      <c r="O30" s="3">
        <f>MROUND((ARTICULOS_AGUANORT[[#This Row],[Precio]]/0.6),10)</f>
        <v>3330</v>
      </c>
      <c r="P30" t="s">
        <v>8693</v>
      </c>
      <c r="Q30" s="41">
        <v>6</v>
      </c>
      <c r="R30" s="36">
        <f>ARTICULOS_AGUANORT[[#This Row],[Bulto]]*2</f>
        <v>48</v>
      </c>
      <c r="S30" t="s">
        <v>68</v>
      </c>
      <c r="T30" t="s">
        <v>13</v>
      </c>
      <c r="U30" t="s">
        <v>22</v>
      </c>
      <c r="V30" t="s">
        <v>10818</v>
      </c>
      <c r="W30" t="s">
        <v>8692</v>
      </c>
      <c r="X30">
        <v>1</v>
      </c>
      <c r="Y30">
        <v>0</v>
      </c>
      <c r="Z30"/>
      <c r="AB30" s="80">
        <f>ARTICULOS_AGUANORT[[#This Row],[Costo]]*ARTICULOS_AGUANORT[[#This Row],[Pedido]]</f>
        <v>0</v>
      </c>
      <c r="AD30"/>
      <c r="AH30" s="2" t="str">
        <f>IF(AND(ARTICULOS_AGUANORT[[#This Row],[FechaVenc]]=0,ARTICULOS_AGUANORT[[#This Row],[DiasVenc]]=0),"",ARTICULOS_AGUANORT[[#This Row],[FechaVenc]]-ARTICULOS_AGUANORT[[#This Row],[DiasVenc]])</f>
        <v/>
      </c>
      <c r="AK30"/>
      <c r="AM30"/>
      <c r="AO30" t="s">
        <v>8689</v>
      </c>
      <c r="AP30" t="s">
        <v>8690</v>
      </c>
    </row>
    <row r="31" spans="1:42" x14ac:dyDescent="0.25">
      <c r="A31" s="1" t="s">
        <v>10821</v>
      </c>
      <c r="C31" t="str">
        <f t="shared" si="0"/>
        <v>BOD98006502</v>
      </c>
      <c r="D31" t="s">
        <v>8689</v>
      </c>
      <c r="E31" s="1" t="s">
        <v>10822</v>
      </c>
      <c r="F31" s="61">
        <f>F30</f>
        <v>31000</v>
      </c>
      <c r="G31" s="119">
        <v>0</v>
      </c>
      <c r="H31" s="4" t="s">
        <v>8690</v>
      </c>
      <c r="I31">
        <v>24</v>
      </c>
      <c r="J31">
        <v>24</v>
      </c>
      <c r="L31" s="17">
        <f>((ARTICULOS_AGUANORT[[#This Row],[P. Compra]]*(1+ARTICULOS_AGUANORT[[#This Row],[IVA]]))/ARTICULOS_AGUANORT[[#This Row],[UnidFact]])+ARTICULOS_AGUANORT[[#This Row],[CostoFlete]]</f>
        <v>1291.6666666666667</v>
      </c>
      <c r="M31">
        <v>35</v>
      </c>
      <c r="N31" s="63">
        <f t="shared" si="1"/>
        <v>2000</v>
      </c>
      <c r="O31" s="3">
        <f>MROUND((ARTICULOS_AGUANORT[[#This Row],[Precio]]/0.6),10)</f>
        <v>3330</v>
      </c>
      <c r="P31" t="s">
        <v>8693</v>
      </c>
      <c r="Q31" s="41">
        <v>6</v>
      </c>
      <c r="R31" s="36">
        <f>ARTICULOS_AGUANORT[[#This Row],[Bulto]]*2</f>
        <v>48</v>
      </c>
      <c r="S31" t="s">
        <v>68</v>
      </c>
      <c r="T31" t="s">
        <v>13</v>
      </c>
      <c r="U31" t="s">
        <v>22</v>
      </c>
      <c r="V31" t="s">
        <v>10818</v>
      </c>
      <c r="W31" t="s">
        <v>8692</v>
      </c>
      <c r="X31">
        <v>1</v>
      </c>
      <c r="Y31">
        <v>0</v>
      </c>
      <c r="Z31"/>
      <c r="AB31" s="80">
        <f>ARTICULOS_AGUANORT[[#This Row],[Costo]]*ARTICULOS_AGUANORT[[#This Row],[Pedido]]</f>
        <v>0</v>
      </c>
      <c r="AD31"/>
      <c r="AH31" s="2" t="str">
        <f>IF(AND(ARTICULOS_AGUANORT[[#This Row],[FechaVenc]]=0,ARTICULOS_AGUANORT[[#This Row],[DiasVenc]]=0),"",ARTICULOS_AGUANORT[[#This Row],[FechaVenc]]-ARTICULOS_AGUANORT[[#This Row],[DiasVenc]])</f>
        <v/>
      </c>
      <c r="AK31"/>
      <c r="AM31"/>
      <c r="AO31" t="s">
        <v>8689</v>
      </c>
      <c r="AP31" t="s">
        <v>8690</v>
      </c>
    </row>
    <row r="32" spans="1:42" x14ac:dyDescent="0.25">
      <c r="A32" s="1" t="s">
        <v>10823</v>
      </c>
      <c r="C32" t="str">
        <f t="shared" si="0"/>
        <v>BOD79899231</v>
      </c>
      <c r="D32" t="s">
        <v>8689</v>
      </c>
      <c r="E32" s="1" t="s">
        <v>10824</v>
      </c>
      <c r="F32" s="61">
        <v>22000</v>
      </c>
      <c r="G32" s="119">
        <v>0</v>
      </c>
      <c r="H32" s="4" t="s">
        <v>8690</v>
      </c>
      <c r="I32">
        <v>24</v>
      </c>
      <c r="J32">
        <v>24</v>
      </c>
      <c r="L32" s="17">
        <f>((ARTICULOS_AGUANORT[[#This Row],[P. Compra]]*(1+ARTICULOS_AGUANORT[[#This Row],[IVA]]))/ARTICULOS_AGUANORT[[#This Row],[UnidFact]])+ARTICULOS_AGUANORT[[#This Row],[CostoFlete]]</f>
        <v>916.66666666666663</v>
      </c>
      <c r="M32">
        <v>35</v>
      </c>
      <c r="N32" s="63">
        <f t="shared" si="1"/>
        <v>1400</v>
      </c>
      <c r="O32" s="3">
        <f>MROUND((ARTICULOS_AGUANORT[[#This Row],[Precio]]/0.6),10)</f>
        <v>2330</v>
      </c>
      <c r="P32" t="s">
        <v>8693</v>
      </c>
      <c r="Q32" s="41">
        <v>6</v>
      </c>
      <c r="R32" s="36">
        <f>ARTICULOS_AGUANORT[[#This Row],[Bulto]]*2</f>
        <v>48</v>
      </c>
      <c r="S32" t="s">
        <v>68</v>
      </c>
      <c r="T32" t="s">
        <v>13</v>
      </c>
      <c r="U32" t="s">
        <v>22</v>
      </c>
      <c r="V32" t="s">
        <v>10825</v>
      </c>
      <c r="W32" t="s">
        <v>8692</v>
      </c>
      <c r="X32">
        <v>1</v>
      </c>
      <c r="Y32">
        <v>0</v>
      </c>
      <c r="Z32"/>
      <c r="AB32" s="80">
        <f>ARTICULOS_AGUANORT[[#This Row],[Costo]]*ARTICULOS_AGUANORT[[#This Row],[Pedido]]</f>
        <v>0</v>
      </c>
      <c r="AD32"/>
      <c r="AH32" s="2" t="str">
        <f>IF(AND(ARTICULOS_AGUANORT[[#This Row],[FechaVenc]]=0,ARTICULOS_AGUANORT[[#This Row],[DiasVenc]]=0),"",ARTICULOS_AGUANORT[[#This Row],[FechaVenc]]-ARTICULOS_AGUANORT[[#This Row],[DiasVenc]])</f>
        <v/>
      </c>
      <c r="AK32"/>
      <c r="AM32"/>
      <c r="AO32" t="s">
        <v>8689</v>
      </c>
      <c r="AP32" t="s">
        <v>8690</v>
      </c>
    </row>
    <row r="33" spans="1:42" x14ac:dyDescent="0.25">
      <c r="A33" s="1" t="s">
        <v>10826</v>
      </c>
      <c r="C33" t="str">
        <f t="shared" si="0"/>
        <v>BOD98992317</v>
      </c>
      <c r="D33" t="s">
        <v>8689</v>
      </c>
      <c r="E33" s="1" t="s">
        <v>10827</v>
      </c>
      <c r="F33" s="61">
        <f>F32</f>
        <v>22000</v>
      </c>
      <c r="G33" s="119">
        <v>0</v>
      </c>
      <c r="H33" s="4" t="s">
        <v>8690</v>
      </c>
      <c r="I33">
        <v>24</v>
      </c>
      <c r="J33">
        <v>24</v>
      </c>
      <c r="L33" s="17">
        <f>((ARTICULOS_AGUANORT[[#This Row],[P. Compra]]*(1+ARTICULOS_AGUANORT[[#This Row],[IVA]]))/ARTICULOS_AGUANORT[[#This Row],[UnidFact]])+ARTICULOS_AGUANORT[[#This Row],[CostoFlete]]</f>
        <v>916.66666666666663</v>
      </c>
      <c r="M33">
        <v>35</v>
      </c>
      <c r="N33" s="63">
        <f t="shared" si="1"/>
        <v>1400</v>
      </c>
      <c r="O33" s="3">
        <f>MROUND((ARTICULOS_AGUANORT[[#This Row],[Precio]]/0.6),10)</f>
        <v>2330</v>
      </c>
      <c r="P33" t="s">
        <v>8693</v>
      </c>
      <c r="Q33" s="41">
        <v>6</v>
      </c>
      <c r="R33" s="36">
        <f>ARTICULOS_AGUANORT[[#This Row],[Bulto]]*2</f>
        <v>48</v>
      </c>
      <c r="S33" t="s">
        <v>68</v>
      </c>
      <c r="T33" t="s">
        <v>13</v>
      </c>
      <c r="U33" t="s">
        <v>22</v>
      </c>
      <c r="V33" t="s">
        <v>10825</v>
      </c>
      <c r="W33" t="s">
        <v>8692</v>
      </c>
      <c r="X33">
        <v>1</v>
      </c>
      <c r="Y33">
        <v>0</v>
      </c>
      <c r="Z33"/>
      <c r="AB33" s="80">
        <f>ARTICULOS_AGUANORT[[#This Row],[Costo]]*ARTICULOS_AGUANORT[[#This Row],[Pedido]]</f>
        <v>0</v>
      </c>
      <c r="AD33"/>
      <c r="AH33" s="2" t="str">
        <f>IF(AND(ARTICULOS_AGUANORT[[#This Row],[FechaVenc]]=0,ARTICULOS_AGUANORT[[#This Row],[DiasVenc]]=0),"",ARTICULOS_AGUANORT[[#This Row],[FechaVenc]]-ARTICULOS_AGUANORT[[#This Row],[DiasVenc]])</f>
        <v/>
      </c>
      <c r="AK33"/>
      <c r="AM33"/>
      <c r="AO33" t="s">
        <v>8689</v>
      </c>
      <c r="AP33" t="s">
        <v>8690</v>
      </c>
    </row>
    <row r="34" spans="1:42" x14ac:dyDescent="0.25">
      <c r="A34" s="1" t="s">
        <v>10828</v>
      </c>
      <c r="C34" t="str">
        <f t="shared" si="0"/>
        <v>BOD98999866</v>
      </c>
      <c r="D34" t="s">
        <v>8689</v>
      </c>
      <c r="E34" s="1" t="s">
        <v>10829</v>
      </c>
      <c r="F34" s="61">
        <f t="shared" ref="F34:F36" si="8">F33</f>
        <v>22000</v>
      </c>
      <c r="G34" s="119">
        <v>0</v>
      </c>
      <c r="H34" s="4" t="s">
        <v>8690</v>
      </c>
      <c r="I34">
        <v>24</v>
      </c>
      <c r="J34">
        <v>24</v>
      </c>
      <c r="L34" s="17">
        <f>((ARTICULOS_AGUANORT[[#This Row],[P. Compra]]*(1+ARTICULOS_AGUANORT[[#This Row],[IVA]]))/ARTICULOS_AGUANORT[[#This Row],[UnidFact]])+ARTICULOS_AGUANORT[[#This Row],[CostoFlete]]</f>
        <v>916.66666666666663</v>
      </c>
      <c r="M34">
        <v>35</v>
      </c>
      <c r="N34" s="63">
        <f t="shared" ref="N34:N60" si="9">IF(L34&gt;=5,MROUND(L34/(1-M34/100),100),100)</f>
        <v>1400</v>
      </c>
      <c r="O34" s="3">
        <f>MROUND((ARTICULOS_AGUANORT[[#This Row],[Precio]]/0.6),10)</f>
        <v>2330</v>
      </c>
      <c r="P34" t="s">
        <v>8693</v>
      </c>
      <c r="Q34" s="41">
        <v>6</v>
      </c>
      <c r="R34" s="36">
        <f>ARTICULOS_AGUANORT[[#This Row],[Bulto]]*2</f>
        <v>48</v>
      </c>
      <c r="S34" t="s">
        <v>68</v>
      </c>
      <c r="T34" t="s">
        <v>13</v>
      </c>
      <c r="U34" t="s">
        <v>22</v>
      </c>
      <c r="V34" t="s">
        <v>10825</v>
      </c>
      <c r="W34" t="s">
        <v>8692</v>
      </c>
      <c r="X34">
        <v>1</v>
      </c>
      <c r="Y34">
        <v>11</v>
      </c>
      <c r="Z34"/>
      <c r="AB34" s="80">
        <f>ARTICULOS_AGUANORT[[#This Row],[Costo]]*ARTICULOS_AGUANORT[[#This Row],[Pedido]]</f>
        <v>0</v>
      </c>
      <c r="AD34"/>
      <c r="AH34" s="2" t="str">
        <f>IF(AND(ARTICULOS_AGUANORT[[#This Row],[FechaVenc]]=0,ARTICULOS_AGUANORT[[#This Row],[DiasVenc]]=0),"",ARTICULOS_AGUANORT[[#This Row],[FechaVenc]]-ARTICULOS_AGUANORT[[#This Row],[DiasVenc]])</f>
        <v/>
      </c>
      <c r="AK34"/>
      <c r="AM34"/>
      <c r="AO34" t="s">
        <v>8689</v>
      </c>
      <c r="AP34" t="s">
        <v>8690</v>
      </c>
    </row>
    <row r="35" spans="1:42" x14ac:dyDescent="0.25">
      <c r="A35" s="24" t="s">
        <v>10830</v>
      </c>
      <c r="C35" t="str">
        <f t="shared" si="0"/>
        <v>BOD98012572</v>
      </c>
      <c r="D35" t="s">
        <v>8689</v>
      </c>
      <c r="E35" s="24" t="s">
        <v>10831</v>
      </c>
      <c r="F35" s="61">
        <f t="shared" si="8"/>
        <v>22000</v>
      </c>
      <c r="G35" s="119">
        <v>0</v>
      </c>
      <c r="H35" s="4" t="s">
        <v>8690</v>
      </c>
      <c r="I35">
        <v>24</v>
      </c>
      <c r="J35">
        <v>24</v>
      </c>
      <c r="L35" s="17">
        <f>((ARTICULOS_AGUANORT[[#This Row],[P. Compra]]*(1+ARTICULOS_AGUANORT[[#This Row],[IVA]]))/ARTICULOS_AGUANORT[[#This Row],[UnidFact]])+ARTICULOS_AGUANORT[[#This Row],[CostoFlete]]</f>
        <v>916.66666666666663</v>
      </c>
      <c r="M35">
        <v>35</v>
      </c>
      <c r="N35" s="63">
        <f t="shared" si="9"/>
        <v>1400</v>
      </c>
      <c r="O35" s="3">
        <f>MROUND((ARTICULOS_AGUANORT[[#This Row],[Precio]]/0.6),10)</f>
        <v>2330</v>
      </c>
      <c r="P35" t="s">
        <v>8693</v>
      </c>
      <c r="Q35" s="42">
        <v>6</v>
      </c>
      <c r="R35" s="36">
        <f>ARTICULOS_AGUANORT[[#This Row],[Bulto]]*2</f>
        <v>48</v>
      </c>
      <c r="S35" t="s">
        <v>68</v>
      </c>
      <c r="T35" t="s">
        <v>13</v>
      </c>
      <c r="U35" t="s">
        <v>22</v>
      </c>
      <c r="V35" t="s">
        <v>10825</v>
      </c>
      <c r="W35" t="s">
        <v>8692</v>
      </c>
      <c r="X35">
        <v>1</v>
      </c>
      <c r="Y35">
        <v>0</v>
      </c>
      <c r="Z35"/>
      <c r="AB35" s="80">
        <f>ARTICULOS_AGUANORT[[#This Row],[Costo]]*ARTICULOS_AGUANORT[[#This Row],[Pedido]]</f>
        <v>0</v>
      </c>
      <c r="AD35"/>
      <c r="AH35" s="2" t="str">
        <f>IF(AND(ARTICULOS_AGUANORT[[#This Row],[FechaVenc]]=0,ARTICULOS_AGUANORT[[#This Row],[DiasVenc]]=0),"",ARTICULOS_AGUANORT[[#This Row],[FechaVenc]]-ARTICULOS_AGUANORT[[#This Row],[DiasVenc]])</f>
        <v/>
      </c>
      <c r="AK35"/>
      <c r="AM35"/>
      <c r="AO35" t="s">
        <v>8689</v>
      </c>
      <c r="AP35" t="s">
        <v>8690</v>
      </c>
    </row>
    <row r="36" spans="1:42" x14ac:dyDescent="0.25">
      <c r="A36" s="1" t="s">
        <v>10832</v>
      </c>
      <c r="C36" t="str">
        <f t="shared" si="0"/>
        <v>BOD98002320</v>
      </c>
      <c r="D36" t="s">
        <v>8689</v>
      </c>
      <c r="E36" s="1" t="s">
        <v>10833</v>
      </c>
      <c r="F36" s="61">
        <f t="shared" si="8"/>
        <v>22000</v>
      </c>
      <c r="G36" s="119">
        <v>0</v>
      </c>
      <c r="H36" s="4" t="s">
        <v>8690</v>
      </c>
      <c r="I36">
        <v>24</v>
      </c>
      <c r="J36">
        <v>24</v>
      </c>
      <c r="L36" s="17">
        <f>((ARTICULOS_AGUANORT[[#This Row],[P. Compra]]*(1+ARTICULOS_AGUANORT[[#This Row],[IVA]]))/ARTICULOS_AGUANORT[[#This Row],[UnidFact]])+ARTICULOS_AGUANORT[[#This Row],[CostoFlete]]</f>
        <v>916.66666666666663</v>
      </c>
      <c r="M36">
        <v>35</v>
      </c>
      <c r="N36" s="63">
        <f t="shared" si="9"/>
        <v>1400</v>
      </c>
      <c r="O36" s="3">
        <f>MROUND((ARTICULOS_AGUANORT[[#This Row],[Precio]]/0.6),10)</f>
        <v>2330</v>
      </c>
      <c r="P36" t="s">
        <v>8693</v>
      </c>
      <c r="Q36" s="41">
        <v>6</v>
      </c>
      <c r="R36" s="36">
        <f>ARTICULOS_AGUANORT[[#This Row],[Bulto]]*2</f>
        <v>48</v>
      </c>
      <c r="S36" t="s">
        <v>68</v>
      </c>
      <c r="T36" t="s">
        <v>13</v>
      </c>
      <c r="U36" t="s">
        <v>22</v>
      </c>
      <c r="V36" t="s">
        <v>10825</v>
      </c>
      <c r="W36" t="s">
        <v>8692</v>
      </c>
      <c r="X36">
        <v>1</v>
      </c>
      <c r="Y36">
        <v>0</v>
      </c>
      <c r="Z36"/>
      <c r="AB36" s="80">
        <f>ARTICULOS_AGUANORT[[#This Row],[Costo]]*ARTICULOS_AGUANORT[[#This Row],[Pedido]]</f>
        <v>0</v>
      </c>
      <c r="AD36"/>
      <c r="AH36" s="2" t="str">
        <f>IF(AND(ARTICULOS_AGUANORT[[#This Row],[FechaVenc]]=0,ARTICULOS_AGUANORT[[#This Row],[DiasVenc]]=0),"",ARTICULOS_AGUANORT[[#This Row],[FechaVenc]]-ARTICULOS_AGUANORT[[#This Row],[DiasVenc]])</f>
        <v/>
      </c>
      <c r="AK36"/>
      <c r="AM36"/>
      <c r="AO36" t="s">
        <v>8689</v>
      </c>
      <c r="AP36" t="s">
        <v>8690</v>
      </c>
    </row>
    <row r="37" spans="1:42" x14ac:dyDescent="0.25">
      <c r="A37" s="24" t="s">
        <v>10834</v>
      </c>
      <c r="B37" s="1" t="s">
        <v>10835</v>
      </c>
      <c r="C37" t="str">
        <f t="shared" si="0"/>
        <v>BOD98014255</v>
      </c>
      <c r="D37" t="s">
        <v>8689</v>
      </c>
      <c r="E37" s="1" t="s">
        <v>10836</v>
      </c>
      <c r="F37" s="61">
        <v>20000</v>
      </c>
      <c r="G37" s="119">
        <v>0</v>
      </c>
      <c r="H37" s="4" t="s">
        <v>8690</v>
      </c>
      <c r="I37">
        <v>24</v>
      </c>
      <c r="J37">
        <v>24</v>
      </c>
      <c r="L37" s="17">
        <f>((ARTICULOS_AGUANORT[[#This Row],[P. Compra]]*(1+ARTICULOS_AGUANORT[[#This Row],[IVA]]))/ARTICULOS_AGUANORT[[#This Row],[UnidFact]])+ARTICULOS_AGUANORT[[#This Row],[CostoFlete]]</f>
        <v>833.33333333333337</v>
      </c>
      <c r="M37">
        <v>35</v>
      </c>
      <c r="N37" s="63">
        <f t="shared" si="9"/>
        <v>1300</v>
      </c>
      <c r="O37" s="3">
        <f>MROUND((ARTICULOS_AGUANORT[[#This Row],[Precio]]/0.6),10)</f>
        <v>2170</v>
      </c>
      <c r="P37" t="s">
        <v>8693</v>
      </c>
      <c r="Q37" s="41">
        <v>6</v>
      </c>
      <c r="R37" s="36">
        <f>ARTICULOS_AGUANORT[[#This Row],[Bulto]]*2</f>
        <v>48</v>
      </c>
      <c r="S37" t="s">
        <v>68</v>
      </c>
      <c r="T37" t="s">
        <v>13</v>
      </c>
      <c r="U37" t="s">
        <v>22</v>
      </c>
      <c r="V37" t="s">
        <v>10837</v>
      </c>
      <c r="W37" t="s">
        <v>8692</v>
      </c>
      <c r="X37">
        <v>1</v>
      </c>
      <c r="Y37">
        <v>57</v>
      </c>
      <c r="Z37"/>
      <c r="AB37" s="80">
        <f>ARTICULOS_AGUANORT[[#This Row],[Costo]]*ARTICULOS_AGUANORT[[#This Row],[Pedido]]</f>
        <v>0</v>
      </c>
      <c r="AD37"/>
      <c r="AH37" s="2" t="str">
        <f>IF(AND(ARTICULOS_AGUANORT[[#This Row],[FechaVenc]]=0,ARTICULOS_AGUANORT[[#This Row],[DiasVenc]]=0),"",ARTICULOS_AGUANORT[[#This Row],[FechaVenc]]-ARTICULOS_AGUANORT[[#This Row],[DiasVenc]])</f>
        <v/>
      </c>
      <c r="AK37"/>
      <c r="AM37"/>
      <c r="AO37" t="s">
        <v>8689</v>
      </c>
      <c r="AP37" t="s">
        <v>8690</v>
      </c>
    </row>
    <row r="38" spans="1:42" x14ac:dyDescent="0.25">
      <c r="A38" s="1" t="s">
        <v>11392</v>
      </c>
      <c r="B38" s="1" t="s">
        <v>10838</v>
      </c>
      <c r="C38" t="str">
        <f t="shared" ref="C38:C58" si="10">CONCATENATE(LEFT(T38,3),RIGHT(A38,8))</f>
        <v>BOD47118822</v>
      </c>
      <c r="D38" t="s">
        <v>8689</v>
      </c>
      <c r="E38" s="1" t="s">
        <v>10839</v>
      </c>
      <c r="F38" s="61">
        <v>24366.46</v>
      </c>
      <c r="G38" s="119">
        <v>0</v>
      </c>
      <c r="H38" s="4" t="s">
        <v>8690</v>
      </c>
      <c r="I38">
        <v>24</v>
      </c>
      <c r="J38">
        <v>24</v>
      </c>
      <c r="L38" s="17">
        <f>((ARTICULOS_AGUANORT[[#This Row],[P. Compra]]*(1+ARTICULOS_AGUANORT[[#This Row],[IVA]]))/ARTICULOS_AGUANORT[[#This Row],[UnidFact]])+ARTICULOS_AGUANORT[[#This Row],[CostoFlete]]</f>
        <v>1015.2691666666666</v>
      </c>
      <c r="M38">
        <v>35</v>
      </c>
      <c r="N38" s="63">
        <f t="shared" si="9"/>
        <v>1600</v>
      </c>
      <c r="O38" s="3">
        <f>MROUND((ARTICULOS_AGUANORT[[#This Row],[Precio]]/0.6),10)</f>
        <v>2670</v>
      </c>
      <c r="P38" t="s">
        <v>8693</v>
      </c>
      <c r="Q38" s="41">
        <v>6</v>
      </c>
      <c r="R38" s="36">
        <f>ARTICULOS_AGUANORT[[#This Row],[Bulto]]*2</f>
        <v>48</v>
      </c>
      <c r="S38" t="s">
        <v>68</v>
      </c>
      <c r="T38" t="s">
        <v>13</v>
      </c>
      <c r="U38" t="s">
        <v>22</v>
      </c>
      <c r="V38" t="s">
        <v>10840</v>
      </c>
      <c r="W38" t="s">
        <v>8692</v>
      </c>
      <c r="X38">
        <v>1</v>
      </c>
      <c r="Y38">
        <v>37</v>
      </c>
      <c r="Z38"/>
      <c r="AB38" s="80">
        <f>ARTICULOS_AGUANORT[[#This Row],[Costo]]*ARTICULOS_AGUANORT[[#This Row],[Pedido]]</f>
        <v>0</v>
      </c>
      <c r="AD38"/>
      <c r="AH38" s="2" t="str">
        <f>IF(AND(ARTICULOS_AGUANORT[[#This Row],[FechaVenc]]=0,ARTICULOS_AGUANORT[[#This Row],[DiasVenc]]=0),"",ARTICULOS_AGUANORT[[#This Row],[FechaVenc]]-ARTICULOS_AGUANORT[[#This Row],[DiasVenc]])</f>
        <v/>
      </c>
      <c r="AK38"/>
      <c r="AM38"/>
      <c r="AO38" t="s">
        <v>8689</v>
      </c>
      <c r="AP38" t="s">
        <v>8690</v>
      </c>
    </row>
    <row r="39" spans="1:42" x14ac:dyDescent="0.25">
      <c r="A39" s="24" t="s">
        <v>10841</v>
      </c>
      <c r="C39" t="str">
        <f t="shared" si="10"/>
        <v>BOD98013791</v>
      </c>
      <c r="D39" t="s">
        <v>8689</v>
      </c>
      <c r="E39" s="24" t="s">
        <v>10842</v>
      </c>
      <c r="F39" s="61">
        <v>35709.360000000001</v>
      </c>
      <c r="G39" s="119">
        <v>0</v>
      </c>
      <c r="H39" s="4" t="s">
        <v>8690</v>
      </c>
      <c r="I39">
        <v>24</v>
      </c>
      <c r="J39">
        <v>24</v>
      </c>
      <c r="L39" s="17">
        <f>((ARTICULOS_AGUANORT[[#This Row],[P. Compra]]*(1+ARTICULOS_AGUANORT[[#This Row],[IVA]]))/ARTICULOS_AGUANORT[[#This Row],[UnidFact]])+ARTICULOS_AGUANORT[[#This Row],[CostoFlete]]</f>
        <v>1487.89</v>
      </c>
      <c r="M39">
        <v>35</v>
      </c>
      <c r="N39" s="63">
        <f t="shared" si="9"/>
        <v>2300</v>
      </c>
      <c r="O39" s="3">
        <f>MROUND((ARTICULOS_AGUANORT[[#This Row],[Precio]]/0.6),10)</f>
        <v>3830</v>
      </c>
      <c r="P39" t="s">
        <v>8693</v>
      </c>
      <c r="Q39" s="42">
        <v>6</v>
      </c>
      <c r="R39" s="36">
        <f>ARTICULOS_AGUANORT[[#This Row],[Bulto]]*2</f>
        <v>48</v>
      </c>
      <c r="S39" t="s">
        <v>68</v>
      </c>
      <c r="T39" t="s">
        <v>13</v>
      </c>
      <c r="U39" t="s">
        <v>22</v>
      </c>
      <c r="V39" t="s">
        <v>10843</v>
      </c>
      <c r="W39" t="s">
        <v>8692</v>
      </c>
      <c r="X39">
        <v>1</v>
      </c>
      <c r="Y39">
        <v>2</v>
      </c>
      <c r="Z39"/>
      <c r="AB39" s="80">
        <f>ARTICULOS_AGUANORT[[#This Row],[Costo]]*ARTICULOS_AGUANORT[[#This Row],[Pedido]]</f>
        <v>0</v>
      </c>
      <c r="AD39"/>
      <c r="AH39" s="2" t="str">
        <f>IF(AND(ARTICULOS_AGUANORT[[#This Row],[FechaVenc]]=0,ARTICULOS_AGUANORT[[#This Row],[DiasVenc]]=0),"",ARTICULOS_AGUANORT[[#This Row],[FechaVenc]]-ARTICULOS_AGUANORT[[#This Row],[DiasVenc]])</f>
        <v/>
      </c>
      <c r="AK39"/>
      <c r="AM39"/>
      <c r="AO39" t="s">
        <v>8689</v>
      </c>
      <c r="AP39" t="s">
        <v>8690</v>
      </c>
    </row>
    <row r="40" spans="1:42" x14ac:dyDescent="0.25">
      <c r="A40" s="1" t="s">
        <v>10844</v>
      </c>
      <c r="C40" t="str">
        <f t="shared" si="10"/>
        <v>BOD98009107</v>
      </c>
      <c r="D40" t="s">
        <v>8689</v>
      </c>
      <c r="E40" s="1" t="s">
        <v>10845</v>
      </c>
      <c r="F40" s="61">
        <v>21801.5</v>
      </c>
      <c r="G40" s="119">
        <v>0</v>
      </c>
      <c r="H40" s="4" t="s">
        <v>8690</v>
      </c>
      <c r="I40">
        <v>24</v>
      </c>
      <c r="J40">
        <v>24</v>
      </c>
      <c r="L40" s="17">
        <f>((ARTICULOS_AGUANORT[[#This Row],[P. Compra]]*(1+ARTICULOS_AGUANORT[[#This Row],[IVA]]))/ARTICULOS_AGUANORT[[#This Row],[UnidFact]])+ARTICULOS_AGUANORT[[#This Row],[CostoFlete]]</f>
        <v>908.39583333333337</v>
      </c>
      <c r="M40">
        <v>35</v>
      </c>
      <c r="N40" s="63">
        <f t="shared" si="9"/>
        <v>1400</v>
      </c>
      <c r="O40" s="3">
        <f>MROUND((ARTICULOS_AGUANORT[[#This Row],[Precio]]/0.6),10)</f>
        <v>2330</v>
      </c>
      <c r="P40" t="s">
        <v>8693</v>
      </c>
      <c r="Q40" s="41">
        <v>6</v>
      </c>
      <c r="R40" s="36">
        <f>ARTICULOS_AGUANORT[[#This Row],[Bulto]]*2</f>
        <v>48</v>
      </c>
      <c r="S40" t="s">
        <v>68</v>
      </c>
      <c r="T40" t="s">
        <v>13</v>
      </c>
      <c r="U40" t="s">
        <v>22</v>
      </c>
      <c r="V40" t="s">
        <v>10846</v>
      </c>
      <c r="W40" t="s">
        <v>8692</v>
      </c>
      <c r="X40">
        <v>1</v>
      </c>
      <c r="Y40">
        <v>0</v>
      </c>
      <c r="Z40"/>
      <c r="AB40" s="80">
        <f>ARTICULOS_AGUANORT[[#This Row],[Costo]]*ARTICULOS_AGUANORT[[#This Row],[Pedido]]</f>
        <v>0</v>
      </c>
      <c r="AD40"/>
      <c r="AH40" s="2" t="str">
        <f>IF(AND(ARTICULOS_AGUANORT[[#This Row],[FechaVenc]]=0,ARTICULOS_AGUANORT[[#This Row],[DiasVenc]]=0),"",ARTICULOS_AGUANORT[[#This Row],[FechaVenc]]-ARTICULOS_AGUANORT[[#This Row],[DiasVenc]])</f>
        <v/>
      </c>
      <c r="AK40"/>
      <c r="AM40"/>
      <c r="AO40" t="s">
        <v>8689</v>
      </c>
      <c r="AP40" t="s">
        <v>8690</v>
      </c>
    </row>
    <row r="41" spans="1:42" x14ac:dyDescent="0.25">
      <c r="A41" s="1" t="s">
        <v>10847</v>
      </c>
      <c r="C41" t="str">
        <f t="shared" si="10"/>
        <v>BOD98012923</v>
      </c>
      <c r="D41" t="s">
        <v>8689</v>
      </c>
      <c r="E41" s="1" t="s">
        <v>10848</v>
      </c>
      <c r="F41" s="61">
        <v>19573.86</v>
      </c>
      <c r="G41" s="119">
        <v>0</v>
      </c>
      <c r="H41" s="4" t="s">
        <v>8690</v>
      </c>
      <c r="I41">
        <v>24</v>
      </c>
      <c r="J41">
        <v>24</v>
      </c>
      <c r="L41" s="17">
        <f>((ARTICULOS_AGUANORT[[#This Row],[P. Compra]]*(1+ARTICULOS_AGUANORT[[#This Row],[IVA]]))/ARTICULOS_AGUANORT[[#This Row],[UnidFact]])+ARTICULOS_AGUANORT[[#This Row],[CostoFlete]]</f>
        <v>815.57749999999999</v>
      </c>
      <c r="M41">
        <v>35</v>
      </c>
      <c r="N41" s="63">
        <f t="shared" si="9"/>
        <v>1300</v>
      </c>
      <c r="O41" s="3">
        <f>MROUND((ARTICULOS_AGUANORT[[#This Row],[Precio]]/0.6),10)</f>
        <v>2170</v>
      </c>
      <c r="P41" t="s">
        <v>8693</v>
      </c>
      <c r="Q41" s="41">
        <v>6</v>
      </c>
      <c r="R41" s="36">
        <f>ARTICULOS_AGUANORT[[#This Row],[Bulto]]*2</f>
        <v>48</v>
      </c>
      <c r="S41" t="s">
        <v>68</v>
      </c>
      <c r="T41" t="s">
        <v>13</v>
      </c>
      <c r="U41" t="s">
        <v>22</v>
      </c>
      <c r="V41" t="s">
        <v>10846</v>
      </c>
      <c r="W41" t="s">
        <v>8692</v>
      </c>
      <c r="X41">
        <v>1</v>
      </c>
      <c r="Y41">
        <v>47</v>
      </c>
      <c r="Z41"/>
      <c r="AB41" s="80">
        <f>ARTICULOS_AGUANORT[[#This Row],[Costo]]*ARTICULOS_AGUANORT[[#This Row],[Pedido]]</f>
        <v>0</v>
      </c>
      <c r="AD41"/>
      <c r="AH41" s="2" t="str">
        <f>IF(AND(ARTICULOS_AGUANORT[[#This Row],[FechaVenc]]=0,ARTICULOS_AGUANORT[[#This Row],[DiasVenc]]=0),"",ARTICULOS_AGUANORT[[#This Row],[FechaVenc]]-ARTICULOS_AGUANORT[[#This Row],[DiasVenc]])</f>
        <v/>
      </c>
      <c r="AK41"/>
      <c r="AM41"/>
      <c r="AO41" t="s">
        <v>8689</v>
      </c>
      <c r="AP41" t="s">
        <v>8690</v>
      </c>
    </row>
    <row r="42" spans="1:42" x14ac:dyDescent="0.25">
      <c r="A42" s="1" t="s">
        <v>10854</v>
      </c>
      <c r="B42" s="1" t="s">
        <v>10855</v>
      </c>
      <c r="C42" t="str">
        <f t="shared" si="10"/>
        <v>BOD98011520</v>
      </c>
      <c r="D42" t="s">
        <v>8689</v>
      </c>
      <c r="E42" s="1" t="s">
        <v>10856</v>
      </c>
      <c r="F42" s="61">
        <f>F41</f>
        <v>19573.86</v>
      </c>
      <c r="G42" s="119">
        <v>0</v>
      </c>
      <c r="H42" s="4" t="s">
        <v>8690</v>
      </c>
      <c r="I42">
        <v>24</v>
      </c>
      <c r="J42">
        <v>24</v>
      </c>
      <c r="L42" s="17">
        <f>((ARTICULOS_AGUANORT[[#This Row],[P. Compra]]*(1+ARTICULOS_AGUANORT[[#This Row],[IVA]]))/ARTICULOS_AGUANORT[[#This Row],[UnidFact]])+ARTICULOS_AGUANORT[[#This Row],[CostoFlete]]</f>
        <v>815.57749999999999</v>
      </c>
      <c r="M42">
        <v>35</v>
      </c>
      <c r="N42" s="63">
        <f t="shared" si="9"/>
        <v>1300</v>
      </c>
      <c r="O42" s="3">
        <f>MROUND((ARTICULOS_AGUANORT[[#This Row],[Precio]]/0.6),10)</f>
        <v>2170</v>
      </c>
      <c r="P42" t="s">
        <v>8693</v>
      </c>
      <c r="Q42" s="41">
        <v>6</v>
      </c>
      <c r="R42" s="36">
        <f>ARTICULOS_AGUANORT[[#This Row],[Bulto]]*2</f>
        <v>48</v>
      </c>
      <c r="S42" t="s">
        <v>68</v>
      </c>
      <c r="T42" t="s">
        <v>13</v>
      </c>
      <c r="U42" t="s">
        <v>22</v>
      </c>
      <c r="V42" t="s">
        <v>10846</v>
      </c>
      <c r="W42" t="s">
        <v>8692</v>
      </c>
      <c r="X42">
        <v>1</v>
      </c>
      <c r="Y42">
        <v>27</v>
      </c>
      <c r="Z42"/>
      <c r="AB42" s="80">
        <f>ARTICULOS_AGUANORT[[#This Row],[Costo]]*ARTICULOS_AGUANORT[[#This Row],[Pedido]]</f>
        <v>0</v>
      </c>
      <c r="AD42"/>
      <c r="AH42" s="2" t="str">
        <f>IF(AND(ARTICULOS_AGUANORT[[#This Row],[FechaVenc]]=0,ARTICULOS_AGUANORT[[#This Row],[DiasVenc]]=0),"",ARTICULOS_AGUANORT[[#This Row],[FechaVenc]]-ARTICULOS_AGUANORT[[#This Row],[DiasVenc]])</f>
        <v/>
      </c>
      <c r="AK42"/>
      <c r="AM42"/>
      <c r="AO42" t="s">
        <v>8689</v>
      </c>
      <c r="AP42" t="s">
        <v>8690</v>
      </c>
    </row>
    <row r="43" spans="1:42" x14ac:dyDescent="0.25">
      <c r="A43" s="24" t="s">
        <v>10849</v>
      </c>
      <c r="B43" s="1" t="s">
        <v>10850</v>
      </c>
      <c r="C43" t="str">
        <f t="shared" si="10"/>
        <v>BOD98013388</v>
      </c>
      <c r="D43" t="s">
        <v>8689</v>
      </c>
      <c r="E43" s="24" t="s">
        <v>10851</v>
      </c>
      <c r="F43" s="61">
        <f t="shared" ref="F43:F44" si="11">F42</f>
        <v>19573.86</v>
      </c>
      <c r="G43" s="119">
        <v>0</v>
      </c>
      <c r="H43" s="31" t="s">
        <v>8690</v>
      </c>
      <c r="I43">
        <v>24</v>
      </c>
      <c r="J43">
        <v>24</v>
      </c>
      <c r="L43" s="17">
        <f>((ARTICULOS_AGUANORT[[#This Row],[P. Compra]]*(1+ARTICULOS_AGUANORT[[#This Row],[IVA]]))/ARTICULOS_AGUANORT[[#This Row],[UnidFact]])+ARTICULOS_AGUANORT[[#This Row],[CostoFlete]]</f>
        <v>815.57749999999999</v>
      </c>
      <c r="M43">
        <v>35</v>
      </c>
      <c r="N43" s="63">
        <f t="shared" si="9"/>
        <v>1300</v>
      </c>
      <c r="O43" s="3">
        <f>MROUND((ARTICULOS_AGUANORT[[#This Row],[Precio]]/0.6),10)</f>
        <v>2170</v>
      </c>
      <c r="P43" t="s">
        <v>8693</v>
      </c>
      <c r="Q43" s="42">
        <v>6</v>
      </c>
      <c r="R43" s="37">
        <f>ARTICULOS_AGUANORT[[#This Row],[Bulto]]*2</f>
        <v>48</v>
      </c>
      <c r="S43" t="s">
        <v>68</v>
      </c>
      <c r="T43" t="s">
        <v>13</v>
      </c>
      <c r="U43" t="s">
        <v>22</v>
      </c>
      <c r="V43" t="s">
        <v>10846</v>
      </c>
      <c r="W43" t="s">
        <v>8692</v>
      </c>
      <c r="X43">
        <v>1</v>
      </c>
      <c r="Y43">
        <v>10</v>
      </c>
      <c r="Z43"/>
      <c r="AB43" s="80">
        <f>ARTICULOS_AGUANORT[[#This Row],[Costo]]*ARTICULOS_AGUANORT[[#This Row],[Pedido]]</f>
        <v>0</v>
      </c>
      <c r="AD43"/>
      <c r="AH43" s="2" t="str">
        <f>IF(AND(ARTICULOS_AGUANORT[[#This Row],[FechaVenc]]=0,ARTICULOS_AGUANORT[[#This Row],[DiasVenc]]=0),"",ARTICULOS_AGUANORT[[#This Row],[FechaVenc]]-ARTICULOS_AGUANORT[[#This Row],[DiasVenc]])</f>
        <v/>
      </c>
      <c r="AK43"/>
      <c r="AM43"/>
      <c r="AO43" t="s">
        <v>8689</v>
      </c>
      <c r="AP43" t="s">
        <v>8690</v>
      </c>
    </row>
    <row r="44" spans="1:42" x14ac:dyDescent="0.25">
      <c r="A44" s="1" t="s">
        <v>10852</v>
      </c>
      <c r="C44" t="str">
        <f t="shared" si="10"/>
        <v>BOD98001316</v>
      </c>
      <c r="D44" t="s">
        <v>8689</v>
      </c>
      <c r="E44" s="1" t="s">
        <v>10853</v>
      </c>
      <c r="F44" s="61">
        <f t="shared" si="11"/>
        <v>19573.86</v>
      </c>
      <c r="G44" s="119">
        <v>0</v>
      </c>
      <c r="H44" s="4" t="s">
        <v>8690</v>
      </c>
      <c r="I44">
        <v>24</v>
      </c>
      <c r="J44">
        <v>24</v>
      </c>
      <c r="L44" s="17">
        <f>((ARTICULOS_AGUANORT[[#This Row],[P. Compra]]*(1+ARTICULOS_AGUANORT[[#This Row],[IVA]]))/ARTICULOS_AGUANORT[[#This Row],[UnidFact]])+ARTICULOS_AGUANORT[[#This Row],[CostoFlete]]</f>
        <v>815.57749999999999</v>
      </c>
      <c r="M44">
        <v>35</v>
      </c>
      <c r="N44" s="63">
        <f t="shared" si="9"/>
        <v>1300</v>
      </c>
      <c r="O44" s="3">
        <f>MROUND((ARTICULOS_AGUANORT[[#This Row],[Precio]]/0.6),10)</f>
        <v>2170</v>
      </c>
      <c r="P44" t="s">
        <v>8693</v>
      </c>
      <c r="Q44" s="41">
        <v>6</v>
      </c>
      <c r="R44" s="36">
        <f>ARTICULOS_AGUANORT[[#This Row],[Bulto]]*2</f>
        <v>48</v>
      </c>
      <c r="S44" t="s">
        <v>68</v>
      </c>
      <c r="T44" t="s">
        <v>13</v>
      </c>
      <c r="U44" t="s">
        <v>22</v>
      </c>
      <c r="V44" t="s">
        <v>10846</v>
      </c>
      <c r="W44" t="s">
        <v>8692</v>
      </c>
      <c r="X44">
        <v>1</v>
      </c>
      <c r="Y44">
        <v>32</v>
      </c>
      <c r="Z44"/>
      <c r="AB44" s="80">
        <f>ARTICULOS_AGUANORT[[#This Row],[Costo]]*ARTICULOS_AGUANORT[[#This Row],[Pedido]]</f>
        <v>0</v>
      </c>
      <c r="AD44"/>
      <c r="AH44" s="2" t="str">
        <f>IF(AND(ARTICULOS_AGUANORT[[#This Row],[FechaVenc]]=0,ARTICULOS_AGUANORT[[#This Row],[DiasVenc]]=0),"",ARTICULOS_AGUANORT[[#This Row],[FechaVenc]]-ARTICULOS_AGUANORT[[#This Row],[DiasVenc]])</f>
        <v/>
      </c>
      <c r="AK44"/>
      <c r="AM44"/>
      <c r="AO44" t="s">
        <v>8689</v>
      </c>
      <c r="AP44" t="s">
        <v>8690</v>
      </c>
    </row>
    <row r="45" spans="1:42" x14ac:dyDescent="0.25">
      <c r="A45" s="1" t="s">
        <v>10857</v>
      </c>
      <c r="B45" s="1" t="s">
        <v>10858</v>
      </c>
      <c r="C45" t="str">
        <f>CONCATENATE(LEFT(T45,3),RIGHT(A45,8))</f>
        <v>BOD98010615</v>
      </c>
      <c r="D45" t="s">
        <v>8689</v>
      </c>
      <c r="E45" s="1" t="s">
        <v>10859</v>
      </c>
      <c r="F45" s="61">
        <v>37409.11</v>
      </c>
      <c r="G45" s="119">
        <v>0</v>
      </c>
      <c r="H45" s="4" t="s">
        <v>8690</v>
      </c>
      <c r="I45">
        <v>24</v>
      </c>
      <c r="J45">
        <v>24</v>
      </c>
      <c r="L45" s="17">
        <f>((ARTICULOS_AGUANORT[[#This Row],[P. Compra]]*(1+ARTICULOS_AGUANORT[[#This Row],[IVA]]))/ARTICULOS_AGUANORT[[#This Row],[UnidFact]])+ARTICULOS_AGUANORT[[#This Row],[CostoFlete]]</f>
        <v>1558.7129166666666</v>
      </c>
      <c r="M45">
        <v>35</v>
      </c>
      <c r="N45" s="63">
        <f t="shared" si="9"/>
        <v>2400</v>
      </c>
      <c r="O45" s="3">
        <f>MROUND((ARTICULOS_AGUANORT[[#This Row],[Precio]]/0.6),10)</f>
        <v>4000</v>
      </c>
      <c r="P45" t="s">
        <v>8693</v>
      </c>
      <c r="Q45" s="41">
        <v>6</v>
      </c>
      <c r="R45" s="36">
        <f>ARTICULOS_AGUANORT[[#This Row],[Bulto]]*2</f>
        <v>48</v>
      </c>
      <c r="S45" t="s">
        <v>68</v>
      </c>
      <c r="T45" t="s">
        <v>13</v>
      </c>
      <c r="U45" t="s">
        <v>22</v>
      </c>
      <c r="V45" t="s">
        <v>10843</v>
      </c>
      <c r="W45" t="s">
        <v>8692</v>
      </c>
      <c r="X45">
        <v>1</v>
      </c>
      <c r="Y45">
        <v>30</v>
      </c>
      <c r="Z45"/>
      <c r="AB45" s="80">
        <f>ARTICULOS_AGUANORT[[#This Row],[Costo]]*ARTICULOS_AGUANORT[[#This Row],[Pedido]]</f>
        <v>0</v>
      </c>
      <c r="AD45"/>
      <c r="AH45" s="2" t="str">
        <f>IF(AND(ARTICULOS_AGUANORT[[#This Row],[FechaVenc]]=0,ARTICULOS_AGUANORT[[#This Row],[DiasVenc]]=0),"",ARTICULOS_AGUANORT[[#This Row],[FechaVenc]]-ARTICULOS_AGUANORT[[#This Row],[DiasVenc]])</f>
        <v/>
      </c>
      <c r="AK45"/>
      <c r="AM45"/>
      <c r="AO45" t="s">
        <v>8689</v>
      </c>
      <c r="AP45" t="s">
        <v>8690</v>
      </c>
    </row>
    <row r="46" spans="1:42" x14ac:dyDescent="0.25">
      <c r="A46" s="24" t="s">
        <v>10862</v>
      </c>
      <c r="B46" s="1" t="s">
        <v>10863</v>
      </c>
      <c r="C46" t="str">
        <f t="shared" si="10"/>
        <v>BOD98012701</v>
      </c>
      <c r="D46" t="s">
        <v>8689</v>
      </c>
      <c r="E46" s="24" t="s">
        <v>10864</v>
      </c>
      <c r="F46" s="61">
        <f>F45</f>
        <v>37409.11</v>
      </c>
      <c r="G46" s="119">
        <v>0</v>
      </c>
      <c r="H46" s="4" t="s">
        <v>8690</v>
      </c>
      <c r="I46">
        <v>24</v>
      </c>
      <c r="J46">
        <v>24</v>
      </c>
      <c r="L46" s="17">
        <f>((ARTICULOS_AGUANORT[[#This Row],[P. Compra]]*(1+ARTICULOS_AGUANORT[[#This Row],[IVA]]))/ARTICULOS_AGUANORT[[#This Row],[UnidFact]])+ARTICULOS_AGUANORT[[#This Row],[CostoFlete]]</f>
        <v>1558.7129166666666</v>
      </c>
      <c r="M46">
        <v>35</v>
      </c>
      <c r="N46" s="63">
        <f t="shared" si="9"/>
        <v>2400</v>
      </c>
      <c r="O46" s="3">
        <f>MROUND((ARTICULOS_AGUANORT[[#This Row],[Precio]]/0.6),10)</f>
        <v>4000</v>
      </c>
      <c r="P46" t="s">
        <v>8693</v>
      </c>
      <c r="Q46" s="41">
        <v>6</v>
      </c>
      <c r="R46" s="36">
        <f>ARTICULOS_AGUANORT[[#This Row],[Bulto]]*2</f>
        <v>48</v>
      </c>
      <c r="S46" t="s">
        <v>68</v>
      </c>
      <c r="T46" t="s">
        <v>13</v>
      </c>
      <c r="U46" t="s">
        <v>22</v>
      </c>
      <c r="V46" t="s">
        <v>10843</v>
      </c>
      <c r="W46" t="s">
        <v>8692</v>
      </c>
      <c r="X46">
        <v>1</v>
      </c>
      <c r="Y46">
        <v>0</v>
      </c>
      <c r="Z46"/>
      <c r="AB46" s="80">
        <f>ARTICULOS_AGUANORT[[#This Row],[Costo]]*ARTICULOS_AGUANORT[[#This Row],[Pedido]]</f>
        <v>0</v>
      </c>
      <c r="AD46"/>
      <c r="AH46" s="2" t="str">
        <f>IF(AND(ARTICULOS_AGUANORT[[#This Row],[FechaVenc]]=0,ARTICULOS_AGUANORT[[#This Row],[DiasVenc]]=0),"",ARTICULOS_AGUANORT[[#This Row],[FechaVenc]]-ARTICULOS_AGUANORT[[#This Row],[DiasVenc]])</f>
        <v/>
      </c>
      <c r="AK46"/>
      <c r="AM46"/>
      <c r="AO46" t="s">
        <v>8689</v>
      </c>
      <c r="AP46" t="s">
        <v>8690</v>
      </c>
    </row>
    <row r="47" spans="1:42" x14ac:dyDescent="0.25">
      <c r="A47" s="24" t="s">
        <v>11393</v>
      </c>
      <c r="B47" s="1" t="s">
        <v>10860</v>
      </c>
      <c r="C47" t="str">
        <f t="shared" si="10"/>
        <v>BOD98010639</v>
      </c>
      <c r="D47" t="s">
        <v>8689</v>
      </c>
      <c r="E47" s="24" t="s">
        <v>10861</v>
      </c>
      <c r="F47" s="61">
        <f>F46</f>
        <v>37409.11</v>
      </c>
      <c r="G47" s="119">
        <v>0</v>
      </c>
      <c r="H47" s="4" t="s">
        <v>8690</v>
      </c>
      <c r="I47">
        <v>24</v>
      </c>
      <c r="J47">
        <v>24</v>
      </c>
      <c r="L47" s="17">
        <f>((ARTICULOS_AGUANORT[[#This Row],[P. Compra]]*(1+ARTICULOS_AGUANORT[[#This Row],[IVA]]))/ARTICULOS_AGUANORT[[#This Row],[UnidFact]])+ARTICULOS_AGUANORT[[#This Row],[CostoFlete]]</f>
        <v>1558.7129166666666</v>
      </c>
      <c r="M47">
        <v>35</v>
      </c>
      <c r="N47" s="63">
        <f t="shared" si="9"/>
        <v>2400</v>
      </c>
      <c r="O47" s="3">
        <f>MROUND((ARTICULOS_AGUANORT[[#This Row],[Precio]]/0.6),10)</f>
        <v>4000</v>
      </c>
      <c r="P47" t="s">
        <v>8693</v>
      </c>
      <c r="Q47" s="41">
        <v>6</v>
      </c>
      <c r="R47" s="36">
        <f>ARTICULOS_AGUANORT[[#This Row],[Bulto]]*2</f>
        <v>48</v>
      </c>
      <c r="S47" t="s">
        <v>68</v>
      </c>
      <c r="T47" t="s">
        <v>13</v>
      </c>
      <c r="U47" t="s">
        <v>22</v>
      </c>
      <c r="V47" t="s">
        <v>10843</v>
      </c>
      <c r="W47" t="s">
        <v>8692</v>
      </c>
      <c r="X47">
        <v>1</v>
      </c>
      <c r="Y47">
        <v>10</v>
      </c>
      <c r="Z47"/>
      <c r="AB47" s="80">
        <f>ARTICULOS_AGUANORT[[#This Row],[Costo]]*ARTICULOS_AGUANORT[[#This Row],[Pedido]]</f>
        <v>0</v>
      </c>
      <c r="AD47"/>
      <c r="AH47" s="2" t="str">
        <f>IF(AND(ARTICULOS_AGUANORT[[#This Row],[FechaVenc]]=0,ARTICULOS_AGUANORT[[#This Row],[DiasVenc]]=0),"",ARTICULOS_AGUANORT[[#This Row],[FechaVenc]]-ARTICULOS_AGUANORT[[#This Row],[DiasVenc]])</f>
        <v/>
      </c>
      <c r="AK47"/>
      <c r="AM47"/>
      <c r="AO47" t="s">
        <v>8689</v>
      </c>
      <c r="AP47" t="s">
        <v>8690</v>
      </c>
    </row>
    <row r="48" spans="1:42" x14ac:dyDescent="0.25">
      <c r="A48" s="1" t="s">
        <v>11395</v>
      </c>
      <c r="C48" t="str">
        <f t="shared" si="10"/>
        <v>BOD98014156</v>
      </c>
      <c r="D48" t="s">
        <v>8689</v>
      </c>
      <c r="E48" s="1" t="s">
        <v>11396</v>
      </c>
      <c r="F48" s="61">
        <v>28034.38</v>
      </c>
      <c r="G48" s="119">
        <v>0</v>
      </c>
      <c r="H48" s="4" t="s">
        <v>8690</v>
      </c>
      <c r="I48">
        <v>16</v>
      </c>
      <c r="J48">
        <v>16</v>
      </c>
      <c r="L48" s="17">
        <f>((ARTICULOS_AGUANORT[[#This Row],[P. Compra]]*(1+ARTICULOS_AGUANORT[[#This Row],[IVA]]))/ARTICULOS_AGUANORT[[#This Row],[UnidFact]])+ARTICULOS_AGUANORT[[#This Row],[CostoFlete]]</f>
        <v>1752.1487500000001</v>
      </c>
      <c r="M48">
        <v>35</v>
      </c>
      <c r="N48" s="63">
        <f t="shared" si="9"/>
        <v>2700</v>
      </c>
      <c r="O48" s="3">
        <f>MROUND((ARTICULOS_AGUANORT[[#This Row],[Precio]]/0.6),10)</f>
        <v>4500</v>
      </c>
      <c r="P48" t="s">
        <v>8693</v>
      </c>
      <c r="Q48" s="41">
        <v>6</v>
      </c>
      <c r="R48" s="36">
        <f>ARTICULOS_AGUANORT[[#This Row],[Bulto]]*2</f>
        <v>32</v>
      </c>
      <c r="S48" t="s">
        <v>68</v>
      </c>
      <c r="T48" t="s">
        <v>13</v>
      </c>
      <c r="U48" t="s">
        <v>22</v>
      </c>
      <c r="V48" t="s">
        <v>10825</v>
      </c>
      <c r="W48" t="s">
        <v>8692</v>
      </c>
      <c r="X48">
        <v>1</v>
      </c>
      <c r="Y48">
        <v>9</v>
      </c>
      <c r="Z48"/>
      <c r="AB48" s="80">
        <f>ARTICULOS_AGUANORT[[#This Row],[Costo]]*ARTICULOS_AGUANORT[[#This Row],[Pedido]]</f>
        <v>0</v>
      </c>
      <c r="AD48"/>
      <c r="AH48" s="2" t="str">
        <f>IF(AND(ARTICULOS_AGUANORT[[#This Row],[FechaVenc]]=0,ARTICULOS_AGUANORT[[#This Row],[DiasVenc]]=0),"",ARTICULOS_AGUANORT[[#This Row],[FechaVenc]]-ARTICULOS_AGUANORT[[#This Row],[DiasVenc]])</f>
        <v/>
      </c>
      <c r="AK48"/>
      <c r="AM48"/>
      <c r="AO48" t="s">
        <v>8689</v>
      </c>
      <c r="AP48" t="s">
        <v>8690</v>
      </c>
    </row>
    <row r="49" spans="1:42" x14ac:dyDescent="0.25">
      <c r="A49" s="1" t="s">
        <v>11394</v>
      </c>
      <c r="C49" t="str">
        <f t="shared" si="10"/>
        <v>BOD98013357</v>
      </c>
      <c r="D49" t="s">
        <v>8689</v>
      </c>
      <c r="E49" s="1" t="s">
        <v>10865</v>
      </c>
      <c r="F49" s="61">
        <v>25556.29</v>
      </c>
      <c r="G49" s="119">
        <v>0</v>
      </c>
      <c r="H49" s="4" t="s">
        <v>8690</v>
      </c>
      <c r="I49">
        <v>16</v>
      </c>
      <c r="J49">
        <v>16</v>
      </c>
      <c r="L49" s="17">
        <f>((ARTICULOS_AGUANORT[[#This Row],[P. Compra]]*(1+ARTICULOS_AGUANORT[[#This Row],[IVA]]))/ARTICULOS_AGUANORT[[#This Row],[UnidFact]])+ARTICULOS_AGUANORT[[#This Row],[CostoFlete]]</f>
        <v>1597.2681250000001</v>
      </c>
      <c r="M49">
        <v>35</v>
      </c>
      <c r="N49" s="63">
        <f t="shared" si="9"/>
        <v>2500</v>
      </c>
      <c r="O49" s="3">
        <f>MROUND((ARTICULOS_AGUANORT[[#This Row],[Precio]]/0.6),10)</f>
        <v>4170</v>
      </c>
      <c r="P49" t="s">
        <v>8693</v>
      </c>
      <c r="Q49" s="41">
        <v>6</v>
      </c>
      <c r="R49" s="36">
        <f>ARTICULOS_AGUANORT[[#This Row],[Bulto]]*2</f>
        <v>32</v>
      </c>
      <c r="S49" t="s">
        <v>68</v>
      </c>
      <c r="T49" t="s">
        <v>13</v>
      </c>
      <c r="U49" t="s">
        <v>22</v>
      </c>
      <c r="V49" t="s">
        <v>10840</v>
      </c>
      <c r="W49" t="s">
        <v>8692</v>
      </c>
      <c r="X49">
        <v>1</v>
      </c>
      <c r="Y49">
        <v>37</v>
      </c>
      <c r="Z49"/>
      <c r="AB49" s="80">
        <f>ARTICULOS_AGUANORT[[#This Row],[Costo]]*ARTICULOS_AGUANORT[[#This Row],[Pedido]]</f>
        <v>0</v>
      </c>
      <c r="AD49"/>
      <c r="AH49" s="2" t="str">
        <f>IF(AND(ARTICULOS_AGUANORT[[#This Row],[FechaVenc]]=0,ARTICULOS_AGUANORT[[#This Row],[DiasVenc]]=0),"",ARTICULOS_AGUANORT[[#This Row],[FechaVenc]]-ARTICULOS_AGUANORT[[#This Row],[DiasVenc]])</f>
        <v/>
      </c>
      <c r="AK49"/>
      <c r="AM49"/>
      <c r="AO49" t="s">
        <v>8689</v>
      </c>
      <c r="AP49" t="s">
        <v>8690</v>
      </c>
    </row>
    <row r="50" spans="1:42" x14ac:dyDescent="0.25">
      <c r="A50" s="1" t="s">
        <v>12188</v>
      </c>
      <c r="B50" s="1" t="s">
        <v>12190</v>
      </c>
      <c r="C50" t="str">
        <f>CONCATENATE(LEFT(T50,3),RIGHT(A50,8))</f>
        <v>BOD69073778</v>
      </c>
      <c r="D50" t="s">
        <v>8689</v>
      </c>
      <c r="E50" s="1" t="s">
        <v>12189</v>
      </c>
      <c r="F50" s="61">
        <v>39336.089999999997</v>
      </c>
      <c r="G50" s="119">
        <v>0</v>
      </c>
      <c r="H50" s="4" t="s">
        <v>8690</v>
      </c>
      <c r="I50">
        <v>16</v>
      </c>
      <c r="J50">
        <v>16</v>
      </c>
      <c r="L50" s="17">
        <f>((ARTICULOS_AGUANORT[[#This Row],[P. Compra]]*(1+ARTICULOS_AGUANORT[[#This Row],[IVA]]))/ARTICULOS_AGUANORT[[#This Row],[UnidFact]])+ARTICULOS_AGUANORT[[#This Row],[CostoFlete]]</f>
        <v>2458.5056249999998</v>
      </c>
      <c r="M50">
        <v>35</v>
      </c>
      <c r="N50" s="63">
        <f t="shared" si="9"/>
        <v>3800</v>
      </c>
      <c r="O50" s="3">
        <f>MROUND((ARTICULOS_AGUANORT[[#This Row],[Precio]]/0.6),10)</f>
        <v>6330</v>
      </c>
      <c r="P50" t="s">
        <v>8693</v>
      </c>
      <c r="Q50" s="41">
        <v>6</v>
      </c>
      <c r="R50" s="36">
        <f>ARTICULOS_AGUANORT[[#This Row],[Bulto]]*2</f>
        <v>32</v>
      </c>
      <c r="S50" t="s">
        <v>68</v>
      </c>
      <c r="T50" t="s">
        <v>13</v>
      </c>
      <c r="U50" t="s">
        <v>22</v>
      </c>
      <c r="V50" t="s">
        <v>10843</v>
      </c>
      <c r="W50" t="s">
        <v>8692</v>
      </c>
      <c r="X50">
        <v>1</v>
      </c>
      <c r="Y50">
        <v>8</v>
      </c>
      <c r="Z50"/>
      <c r="AB50" s="80">
        <f>ARTICULOS_AGUANORT[[#This Row],[Costo]]*ARTICULOS_AGUANORT[[#This Row],[Pedido]]</f>
        <v>0</v>
      </c>
      <c r="AD50"/>
      <c r="AH50" s="2" t="str">
        <f>IF(AND(ARTICULOS_AGUANORT[[#This Row],[FechaVenc]]=0,ARTICULOS_AGUANORT[[#This Row],[DiasVenc]]=0),"",ARTICULOS_AGUANORT[[#This Row],[FechaVenc]]-ARTICULOS_AGUANORT[[#This Row],[DiasVenc]])</f>
        <v/>
      </c>
      <c r="AK50"/>
      <c r="AM50"/>
      <c r="AO50" t="s">
        <v>8689</v>
      </c>
      <c r="AP50" t="s">
        <v>8690</v>
      </c>
    </row>
    <row r="51" spans="1:42" x14ac:dyDescent="0.25">
      <c r="A51" s="1" t="s">
        <v>10923</v>
      </c>
      <c r="C51" t="str">
        <f t="shared" si="10"/>
        <v>BOD17152026</v>
      </c>
      <c r="D51" t="s">
        <v>8689</v>
      </c>
      <c r="E51" s="1" t="s">
        <v>10924</v>
      </c>
      <c r="F51" s="61">
        <v>17414.96</v>
      </c>
      <c r="G51" s="119">
        <v>0</v>
      </c>
      <c r="H51" s="4" t="s">
        <v>8690</v>
      </c>
      <c r="I51">
        <v>6</v>
      </c>
      <c r="J51">
        <v>6</v>
      </c>
      <c r="L51" s="17">
        <f>((ARTICULOS_AGUANORT[[#This Row],[P. Compra]]*(1+ARTICULOS_AGUANORT[[#This Row],[IVA]]))/ARTICULOS_AGUANORT[[#This Row],[UnidFact]])+ARTICULOS_AGUANORT[[#This Row],[CostoFlete]]</f>
        <v>2902.4933333333333</v>
      </c>
      <c r="M51">
        <v>20</v>
      </c>
      <c r="N51" s="63">
        <f t="shared" si="9"/>
        <v>3600</v>
      </c>
      <c r="O51" s="3">
        <f>MROUND((ARTICULOS_AGUANORT[[#This Row],[Precio]]/0.6),10)</f>
        <v>6000</v>
      </c>
      <c r="P51" t="s">
        <v>8693</v>
      </c>
      <c r="Q51" s="41">
        <v>2</v>
      </c>
      <c r="R51" s="36">
        <f>ARTICULOS_AGUANORT[[#This Row],[Bulto]]*2</f>
        <v>12</v>
      </c>
      <c r="S51" t="s">
        <v>68</v>
      </c>
      <c r="T51" t="s">
        <v>13</v>
      </c>
      <c r="U51" t="s">
        <v>101</v>
      </c>
      <c r="V51" t="s">
        <v>10925</v>
      </c>
      <c r="W51" t="s">
        <v>8692</v>
      </c>
      <c r="X51">
        <v>1</v>
      </c>
      <c r="Y51">
        <v>0</v>
      </c>
      <c r="Z51"/>
      <c r="AB51" s="80">
        <f>ARTICULOS_AGUANORT[[#This Row],[Costo]]*ARTICULOS_AGUANORT[[#This Row],[Pedido]]</f>
        <v>0</v>
      </c>
      <c r="AD51"/>
      <c r="AH51" s="2" t="str">
        <f>IF(AND(ARTICULOS_AGUANORT[[#This Row],[FechaVenc]]=0,ARTICULOS_AGUANORT[[#This Row],[DiasVenc]]=0),"",ARTICULOS_AGUANORT[[#This Row],[FechaVenc]]-ARTICULOS_AGUANORT[[#This Row],[DiasVenc]])</f>
        <v/>
      </c>
      <c r="AK51"/>
      <c r="AM51"/>
      <c r="AO51" t="s">
        <v>8689</v>
      </c>
      <c r="AP51" t="s">
        <v>8690</v>
      </c>
    </row>
    <row r="52" spans="1:42" x14ac:dyDescent="0.25">
      <c r="A52" s="1" t="s">
        <v>10926</v>
      </c>
      <c r="C52" t="str">
        <f t="shared" si="10"/>
        <v>BOD54000027</v>
      </c>
      <c r="D52" t="s">
        <v>8689</v>
      </c>
      <c r="E52" s="24" t="s">
        <v>10927</v>
      </c>
      <c r="F52" s="61">
        <v>11167.07</v>
      </c>
      <c r="G52" s="119">
        <v>0</v>
      </c>
      <c r="H52" s="4" t="s">
        <v>8690</v>
      </c>
      <c r="I52">
        <v>6</v>
      </c>
      <c r="J52">
        <v>6</v>
      </c>
      <c r="L52" s="17">
        <f>((ARTICULOS_AGUANORT[[#This Row],[P. Compra]]*(1+ARTICULOS_AGUANORT[[#This Row],[IVA]]))/ARTICULOS_AGUANORT[[#This Row],[UnidFact]])+ARTICULOS_AGUANORT[[#This Row],[CostoFlete]]</f>
        <v>1861.1783333333333</v>
      </c>
      <c r="M52">
        <v>20</v>
      </c>
      <c r="N52" s="63">
        <f t="shared" si="9"/>
        <v>2300</v>
      </c>
      <c r="O52" s="3">
        <f>MROUND((ARTICULOS_AGUANORT[[#This Row],[Precio]]/0.6),10)</f>
        <v>3830</v>
      </c>
      <c r="P52" t="s">
        <v>8693</v>
      </c>
      <c r="Q52" s="41">
        <v>2</v>
      </c>
      <c r="R52" s="36">
        <f>ARTICULOS_AGUANORT[[#This Row],[Bulto]]*2</f>
        <v>12</v>
      </c>
      <c r="S52" t="s">
        <v>68</v>
      </c>
      <c r="T52" t="s">
        <v>13</v>
      </c>
      <c r="U52" t="s">
        <v>101</v>
      </c>
      <c r="V52" t="s">
        <v>10928</v>
      </c>
      <c r="W52" t="s">
        <v>8692</v>
      </c>
      <c r="X52">
        <v>1</v>
      </c>
      <c r="Y52">
        <v>11</v>
      </c>
      <c r="Z52"/>
      <c r="AB52" s="80">
        <f>ARTICULOS_AGUANORT[[#This Row],[Costo]]*ARTICULOS_AGUANORT[[#This Row],[Pedido]]</f>
        <v>0</v>
      </c>
      <c r="AD52"/>
      <c r="AH52" s="2" t="str">
        <f>IF(AND(ARTICULOS_AGUANORT[[#This Row],[FechaVenc]]=0,ARTICULOS_AGUANORT[[#This Row],[DiasVenc]]=0),"",ARTICULOS_AGUANORT[[#This Row],[FechaVenc]]-ARTICULOS_AGUANORT[[#This Row],[DiasVenc]])</f>
        <v/>
      </c>
      <c r="AK52"/>
      <c r="AM52"/>
      <c r="AO52" t="s">
        <v>8689</v>
      </c>
      <c r="AP52" t="s">
        <v>8690</v>
      </c>
    </row>
    <row r="53" spans="1:42" x14ac:dyDescent="0.25">
      <c r="A53" s="24" t="s">
        <v>10929</v>
      </c>
      <c r="C53" t="str">
        <f t="shared" si="10"/>
        <v>BOD54001338</v>
      </c>
      <c r="D53" t="s">
        <v>8689</v>
      </c>
      <c r="E53" s="24" t="s">
        <v>10930</v>
      </c>
      <c r="F53" s="61">
        <v>12302.78</v>
      </c>
      <c r="G53" s="119">
        <v>0</v>
      </c>
      <c r="H53" s="4" t="s">
        <v>8690</v>
      </c>
      <c r="I53">
        <v>6</v>
      </c>
      <c r="J53">
        <v>6</v>
      </c>
      <c r="L53" s="17">
        <f>((ARTICULOS_AGUANORT[[#This Row],[P. Compra]]*(1+ARTICULOS_AGUANORT[[#This Row],[IVA]]))/ARTICULOS_AGUANORT[[#This Row],[UnidFact]])+ARTICULOS_AGUANORT[[#This Row],[CostoFlete]]</f>
        <v>2050.4633333333336</v>
      </c>
      <c r="M53">
        <v>20</v>
      </c>
      <c r="N53" s="63">
        <f t="shared" si="9"/>
        <v>2600</v>
      </c>
      <c r="O53" s="3">
        <f>MROUND((ARTICULOS_AGUANORT[[#This Row],[Precio]]/0.6),10)</f>
        <v>4330</v>
      </c>
      <c r="P53" t="s">
        <v>8693</v>
      </c>
      <c r="Q53" s="42">
        <v>2</v>
      </c>
      <c r="R53" s="36">
        <f>ARTICULOS_AGUANORT[[#This Row],[Bulto]]*2</f>
        <v>12</v>
      </c>
      <c r="S53" t="s">
        <v>68</v>
      </c>
      <c r="T53" t="s">
        <v>13</v>
      </c>
      <c r="U53" t="s">
        <v>101</v>
      </c>
      <c r="V53" t="s">
        <v>10928</v>
      </c>
      <c r="W53" t="s">
        <v>8692</v>
      </c>
      <c r="X53">
        <v>1</v>
      </c>
      <c r="Y53">
        <v>4</v>
      </c>
      <c r="Z53"/>
      <c r="AB53" s="80">
        <f>ARTICULOS_AGUANORT[[#This Row],[Costo]]*ARTICULOS_AGUANORT[[#This Row],[Pedido]]</f>
        <v>0</v>
      </c>
      <c r="AD53"/>
      <c r="AH53" s="2" t="str">
        <f>IF(AND(ARTICULOS_AGUANORT[[#This Row],[FechaVenc]]=0,ARTICULOS_AGUANORT[[#This Row],[DiasVenc]]=0),"",ARTICULOS_AGUANORT[[#This Row],[FechaVenc]]-ARTICULOS_AGUANORT[[#This Row],[DiasVenc]])</f>
        <v/>
      </c>
      <c r="AK53"/>
      <c r="AM53"/>
      <c r="AO53" t="s">
        <v>8689</v>
      </c>
      <c r="AP53" t="s">
        <v>8690</v>
      </c>
    </row>
    <row r="54" spans="1:42" x14ac:dyDescent="0.25">
      <c r="A54" s="1" t="s">
        <v>10931</v>
      </c>
      <c r="C54" t="str">
        <f t="shared" si="10"/>
        <v>BOD54000652</v>
      </c>
      <c r="D54" t="s">
        <v>8689</v>
      </c>
      <c r="E54" s="24" t="s">
        <v>10932</v>
      </c>
      <c r="F54" s="61">
        <f>F52</f>
        <v>11167.07</v>
      </c>
      <c r="G54" s="119">
        <v>0</v>
      </c>
      <c r="H54" s="4" t="s">
        <v>8690</v>
      </c>
      <c r="I54">
        <v>6</v>
      </c>
      <c r="J54">
        <v>6</v>
      </c>
      <c r="L54" s="17">
        <f>((ARTICULOS_AGUANORT[[#This Row],[P. Compra]]*(1+ARTICULOS_AGUANORT[[#This Row],[IVA]]))/ARTICULOS_AGUANORT[[#This Row],[UnidFact]])+ARTICULOS_AGUANORT[[#This Row],[CostoFlete]]</f>
        <v>1861.1783333333333</v>
      </c>
      <c r="M54">
        <v>20</v>
      </c>
      <c r="N54" s="63">
        <f t="shared" si="9"/>
        <v>2300</v>
      </c>
      <c r="O54" s="3">
        <f>MROUND((ARTICULOS_AGUANORT[[#This Row],[Precio]]/0.6),10)</f>
        <v>3830</v>
      </c>
      <c r="P54" t="s">
        <v>8693</v>
      </c>
      <c r="Q54" s="41">
        <v>2</v>
      </c>
      <c r="R54" s="36">
        <f>ARTICULOS_AGUANORT[[#This Row],[Bulto]]*2</f>
        <v>12</v>
      </c>
      <c r="S54" t="s">
        <v>68</v>
      </c>
      <c r="T54" t="s">
        <v>13</v>
      </c>
      <c r="U54" t="s">
        <v>101</v>
      </c>
      <c r="V54" t="s">
        <v>10928</v>
      </c>
      <c r="W54" t="s">
        <v>8692</v>
      </c>
      <c r="X54">
        <v>1</v>
      </c>
      <c r="Y54">
        <v>5</v>
      </c>
      <c r="Z54"/>
      <c r="AB54" s="80">
        <f>ARTICULOS_AGUANORT[[#This Row],[Costo]]*ARTICULOS_AGUANORT[[#This Row],[Pedido]]</f>
        <v>0</v>
      </c>
      <c r="AD54"/>
      <c r="AH54" s="2" t="str">
        <f>IF(AND(ARTICULOS_AGUANORT[[#This Row],[FechaVenc]]=0,ARTICULOS_AGUANORT[[#This Row],[DiasVenc]]=0),"",ARTICULOS_AGUANORT[[#This Row],[FechaVenc]]-ARTICULOS_AGUANORT[[#This Row],[DiasVenc]])</f>
        <v/>
      </c>
      <c r="AK54"/>
      <c r="AM54"/>
      <c r="AO54" t="s">
        <v>8689</v>
      </c>
      <c r="AP54" t="s">
        <v>8690</v>
      </c>
    </row>
    <row r="55" spans="1:42" x14ac:dyDescent="0.25">
      <c r="A55" s="24" t="s">
        <v>10933</v>
      </c>
      <c r="C55" t="str">
        <f t="shared" si="10"/>
        <v>BOD54000669</v>
      </c>
      <c r="D55" t="s">
        <v>8689</v>
      </c>
      <c r="E55" s="24" t="s">
        <v>10934</v>
      </c>
      <c r="F55" s="61">
        <f>F53</f>
        <v>12302.78</v>
      </c>
      <c r="G55" s="119">
        <v>0</v>
      </c>
      <c r="H55" s="4" t="s">
        <v>8690</v>
      </c>
      <c r="I55">
        <v>6</v>
      </c>
      <c r="J55">
        <v>6</v>
      </c>
      <c r="L55" s="17">
        <f>((ARTICULOS_AGUANORT[[#This Row],[P. Compra]]*(1+ARTICULOS_AGUANORT[[#This Row],[IVA]]))/ARTICULOS_AGUANORT[[#This Row],[UnidFact]])+ARTICULOS_AGUANORT[[#This Row],[CostoFlete]]</f>
        <v>2050.4633333333336</v>
      </c>
      <c r="M55">
        <v>20</v>
      </c>
      <c r="N55" s="63">
        <f t="shared" si="9"/>
        <v>2600</v>
      </c>
      <c r="O55" s="3">
        <f>MROUND((ARTICULOS_AGUANORT[[#This Row],[Precio]]/0.6),10)</f>
        <v>4330</v>
      </c>
      <c r="P55" t="s">
        <v>8693</v>
      </c>
      <c r="Q55" s="42">
        <v>2</v>
      </c>
      <c r="R55" s="36">
        <f>ARTICULOS_AGUANORT[[#This Row],[Bulto]]*2</f>
        <v>12</v>
      </c>
      <c r="S55" t="s">
        <v>68</v>
      </c>
      <c r="T55" t="s">
        <v>13</v>
      </c>
      <c r="U55" t="s">
        <v>101</v>
      </c>
      <c r="V55" t="s">
        <v>10928</v>
      </c>
      <c r="W55" t="s">
        <v>8692</v>
      </c>
      <c r="X55">
        <v>1</v>
      </c>
      <c r="Y55">
        <v>11</v>
      </c>
      <c r="Z55"/>
      <c r="AB55" s="80">
        <f>ARTICULOS_AGUANORT[[#This Row],[Costo]]*ARTICULOS_AGUANORT[[#This Row],[Pedido]]</f>
        <v>0</v>
      </c>
      <c r="AD55"/>
      <c r="AH55" s="2" t="str">
        <f>IF(AND(ARTICULOS_AGUANORT[[#This Row],[FechaVenc]]=0,ARTICULOS_AGUANORT[[#This Row],[DiasVenc]]=0),"",ARTICULOS_AGUANORT[[#This Row],[FechaVenc]]-ARTICULOS_AGUANORT[[#This Row],[DiasVenc]])</f>
        <v/>
      </c>
      <c r="AK55"/>
      <c r="AM55"/>
      <c r="AO55" t="s">
        <v>8689</v>
      </c>
      <c r="AP55" t="s">
        <v>8690</v>
      </c>
    </row>
    <row r="56" spans="1:42" x14ac:dyDescent="0.25">
      <c r="A56" s="24" t="s">
        <v>10935</v>
      </c>
      <c r="C56" t="str">
        <f t="shared" si="10"/>
        <v>BOD54007781</v>
      </c>
      <c r="D56" t="s">
        <v>8689</v>
      </c>
      <c r="E56" s="24" t="s">
        <v>10936</v>
      </c>
      <c r="F56" s="61">
        <f>F55</f>
        <v>12302.78</v>
      </c>
      <c r="G56" s="119">
        <v>0</v>
      </c>
      <c r="H56" s="4" t="s">
        <v>8690</v>
      </c>
      <c r="I56">
        <v>6</v>
      </c>
      <c r="J56">
        <v>6</v>
      </c>
      <c r="L56" s="17">
        <f>((ARTICULOS_AGUANORT[[#This Row],[P. Compra]]*(1+ARTICULOS_AGUANORT[[#This Row],[IVA]]))/ARTICULOS_AGUANORT[[#This Row],[UnidFact]])+ARTICULOS_AGUANORT[[#This Row],[CostoFlete]]</f>
        <v>2050.4633333333336</v>
      </c>
      <c r="M56">
        <v>20</v>
      </c>
      <c r="N56" s="63">
        <f t="shared" si="9"/>
        <v>2600</v>
      </c>
      <c r="O56" s="3">
        <f>MROUND((ARTICULOS_AGUANORT[[#This Row],[Precio]]/0.6),10)</f>
        <v>4330</v>
      </c>
      <c r="P56" t="s">
        <v>8693</v>
      </c>
      <c r="Q56" s="42">
        <v>2</v>
      </c>
      <c r="R56" s="36">
        <f>ARTICULOS_AGUANORT[[#This Row],[Bulto]]*2</f>
        <v>12</v>
      </c>
      <c r="S56" t="s">
        <v>68</v>
      </c>
      <c r="T56" t="s">
        <v>13</v>
      </c>
      <c r="U56" t="s">
        <v>101</v>
      </c>
      <c r="V56" t="s">
        <v>10928</v>
      </c>
      <c r="W56" t="s">
        <v>8692</v>
      </c>
      <c r="X56">
        <v>1</v>
      </c>
      <c r="Y56">
        <v>5</v>
      </c>
      <c r="Z56"/>
      <c r="AB56" s="80">
        <f>ARTICULOS_AGUANORT[[#This Row],[Costo]]*ARTICULOS_AGUANORT[[#This Row],[Pedido]]</f>
        <v>0</v>
      </c>
      <c r="AD56"/>
      <c r="AH56" s="2" t="str">
        <f>IF(AND(ARTICULOS_AGUANORT[[#This Row],[FechaVenc]]=0,ARTICULOS_AGUANORT[[#This Row],[DiasVenc]]=0),"",ARTICULOS_AGUANORT[[#This Row],[FechaVenc]]-ARTICULOS_AGUANORT[[#This Row],[DiasVenc]])</f>
        <v/>
      </c>
      <c r="AK56"/>
      <c r="AM56"/>
      <c r="AO56" t="s">
        <v>8689</v>
      </c>
      <c r="AP56" t="s">
        <v>8690</v>
      </c>
    </row>
    <row r="57" spans="1:42" x14ac:dyDescent="0.25">
      <c r="A57" s="1" t="s">
        <v>10937</v>
      </c>
      <c r="C57" t="str">
        <f t="shared" si="10"/>
        <v>BOD17153092</v>
      </c>
      <c r="D57" t="s">
        <v>8689</v>
      </c>
      <c r="E57" s="1" t="s">
        <v>10938</v>
      </c>
      <c r="F57" s="61">
        <v>16542.09</v>
      </c>
      <c r="G57" s="119">
        <v>0</v>
      </c>
      <c r="H57" s="4" t="s">
        <v>8690</v>
      </c>
      <c r="I57">
        <v>6</v>
      </c>
      <c r="J57">
        <v>6</v>
      </c>
      <c r="L57" s="17">
        <f>((ARTICULOS_AGUANORT[[#This Row],[P. Compra]]*(1+ARTICULOS_AGUANORT[[#This Row],[IVA]]))/ARTICULOS_AGUANORT[[#This Row],[UnidFact]])+ARTICULOS_AGUANORT[[#This Row],[CostoFlete]]</f>
        <v>2757.0149999999999</v>
      </c>
      <c r="M57">
        <v>20</v>
      </c>
      <c r="N57" s="63">
        <f t="shared" si="9"/>
        <v>3400</v>
      </c>
      <c r="O57" s="3">
        <f>MROUND((ARTICULOS_AGUANORT[[#This Row],[Precio]]/0.6),10)</f>
        <v>5670</v>
      </c>
      <c r="P57" t="s">
        <v>8693</v>
      </c>
      <c r="Q57" s="41">
        <v>2</v>
      </c>
      <c r="R57" s="36">
        <f>ARTICULOS_AGUANORT[[#This Row],[Bulto]]*2</f>
        <v>12</v>
      </c>
      <c r="S57" t="s">
        <v>68</v>
      </c>
      <c r="T57" t="s">
        <v>13</v>
      </c>
      <c r="U57" t="s">
        <v>104</v>
      </c>
      <c r="V57" t="s">
        <v>10925</v>
      </c>
      <c r="W57" t="s">
        <v>8692</v>
      </c>
      <c r="X57">
        <v>1</v>
      </c>
      <c r="Y57">
        <v>0</v>
      </c>
      <c r="Z57"/>
      <c r="AB57" s="80">
        <f>ARTICULOS_AGUANORT[[#This Row],[Costo]]*ARTICULOS_AGUANORT[[#This Row],[Pedido]]</f>
        <v>0</v>
      </c>
      <c r="AD57"/>
      <c r="AH57" s="2" t="str">
        <f>IF(AND(ARTICULOS_AGUANORT[[#This Row],[FechaVenc]]=0,ARTICULOS_AGUANORT[[#This Row],[DiasVenc]]=0),"",ARTICULOS_AGUANORT[[#This Row],[FechaVenc]]-ARTICULOS_AGUANORT[[#This Row],[DiasVenc]])</f>
        <v/>
      </c>
      <c r="AK57"/>
      <c r="AM57"/>
      <c r="AO57" t="s">
        <v>8689</v>
      </c>
      <c r="AP57" t="s">
        <v>8690</v>
      </c>
    </row>
    <row r="58" spans="1:42" x14ac:dyDescent="0.25">
      <c r="A58" s="24" t="s">
        <v>10939</v>
      </c>
      <c r="C58" t="str">
        <f t="shared" si="10"/>
        <v>BOD32000524</v>
      </c>
      <c r="D58" t="s">
        <v>8689</v>
      </c>
      <c r="E58" s="24" t="s">
        <v>10940</v>
      </c>
      <c r="F58" s="61">
        <v>15273.35</v>
      </c>
      <c r="G58" s="119">
        <v>0</v>
      </c>
      <c r="H58" s="4" t="s">
        <v>8690</v>
      </c>
      <c r="I58">
        <v>6</v>
      </c>
      <c r="J58">
        <v>6</v>
      </c>
      <c r="L58" s="17">
        <f>((ARTICULOS_AGUANORT[[#This Row],[P. Compra]]*(1+ARTICULOS_AGUANORT[[#This Row],[IVA]]))/ARTICULOS_AGUANORT[[#This Row],[UnidFact]])+ARTICULOS_AGUANORT[[#This Row],[CostoFlete]]</f>
        <v>2545.5583333333334</v>
      </c>
      <c r="M58">
        <v>20</v>
      </c>
      <c r="N58" s="63">
        <f t="shared" si="9"/>
        <v>3200</v>
      </c>
      <c r="O58" s="3">
        <f>MROUND((ARTICULOS_AGUANORT[[#This Row],[Precio]]/0.6),10)</f>
        <v>5330</v>
      </c>
      <c r="P58" t="s">
        <v>8693</v>
      </c>
      <c r="Q58" s="42">
        <v>2</v>
      </c>
      <c r="R58" s="36">
        <f>ARTICULOS_AGUANORT[[#This Row],[Bulto]]*2</f>
        <v>12</v>
      </c>
      <c r="S58" t="s">
        <v>68</v>
      </c>
      <c r="T58" t="s">
        <v>13</v>
      </c>
      <c r="U58" t="s">
        <v>104</v>
      </c>
      <c r="V58" s="30" t="s">
        <v>10941</v>
      </c>
      <c r="W58" t="s">
        <v>8692</v>
      </c>
      <c r="X58">
        <v>1</v>
      </c>
      <c r="Y58">
        <v>6</v>
      </c>
      <c r="Z58"/>
      <c r="AA58" s="3"/>
      <c r="AB58" s="80">
        <f>ARTICULOS_AGUANORT[[#This Row],[Costo]]*ARTICULOS_AGUANORT[[#This Row],[Pedido]]</f>
        <v>0</v>
      </c>
      <c r="AD58"/>
      <c r="AE58" s="3"/>
      <c r="AH58" s="84" t="str">
        <f>IF(AND(ARTICULOS_AGUANORT[[#This Row],[FechaVenc]]=0,ARTICULOS_AGUANORT[[#This Row],[DiasVenc]]=0),"",ARTICULOS_AGUANORT[[#This Row],[FechaVenc]]-ARTICULOS_AGUANORT[[#This Row],[DiasVenc]])</f>
        <v/>
      </c>
      <c r="AJ58" s="2"/>
      <c r="AK58"/>
      <c r="AM58"/>
      <c r="AO58" t="s">
        <v>8689</v>
      </c>
      <c r="AP58" t="s">
        <v>8690</v>
      </c>
    </row>
    <row r="59" spans="1:42" x14ac:dyDescent="0.25">
      <c r="A59" s="1" t="s">
        <v>11872</v>
      </c>
      <c r="C59" t="str">
        <f>CONCATENATE(LEFT(T59,3),RIGHT(A59,8))</f>
        <v>ALM04000911</v>
      </c>
      <c r="D59" t="s">
        <v>8689</v>
      </c>
      <c r="E59" s="1" t="s">
        <v>11873</v>
      </c>
      <c r="F59" s="61">
        <v>18037.23</v>
      </c>
      <c r="G59" s="119">
        <v>0</v>
      </c>
      <c r="H59" s="4" t="s">
        <v>8690</v>
      </c>
      <c r="I59">
        <v>10</v>
      </c>
      <c r="J59">
        <v>10</v>
      </c>
      <c r="L59" s="17">
        <f>((ARTICULOS_AGUANORT[[#This Row],[P. Compra]]*(1+ARTICULOS_AGUANORT[[#This Row],[IVA]]))/ARTICULOS_AGUANORT[[#This Row],[UnidFact]])+ARTICULOS_AGUANORT[[#This Row],[CostoFlete]]</f>
        <v>1803.723</v>
      </c>
      <c r="M59">
        <v>30</v>
      </c>
      <c r="N59" s="63">
        <f t="shared" si="9"/>
        <v>2600</v>
      </c>
      <c r="O59" s="3">
        <f>MROUND((ARTICULOS_AGUANORT[[#This Row],[Precio]]/0.6),10)</f>
        <v>4330</v>
      </c>
      <c r="P59" t="s">
        <v>8693</v>
      </c>
      <c r="Q59" s="42">
        <v>2</v>
      </c>
      <c r="R59" s="36">
        <f>ARTICULOS_AGUANORT[[#This Row],[Bulto]]+ARTICULOS_AGUANORT[[#This Row],[Minimo]]</f>
        <v>12</v>
      </c>
      <c r="S59" t="s">
        <v>68</v>
      </c>
      <c r="T59" t="s">
        <v>4</v>
      </c>
      <c r="U59" s="100" t="s">
        <v>75</v>
      </c>
      <c r="V59" s="43" t="s">
        <v>12191</v>
      </c>
      <c r="W59" t="s">
        <v>8692</v>
      </c>
      <c r="X59">
        <v>1</v>
      </c>
      <c r="Y59">
        <v>6</v>
      </c>
      <c r="Z59"/>
      <c r="AA59" s="3"/>
      <c r="AB59" s="80">
        <f>ARTICULOS_AGUANORT[[#This Row],[Costo]]*ARTICULOS_AGUANORT[[#This Row],[Pedido]]</f>
        <v>0</v>
      </c>
      <c r="AD59"/>
      <c r="AE59" s="3"/>
      <c r="AH59" s="84" t="str">
        <f>IF(AND(ARTICULOS_AGUANORT[[#This Row],[FechaVenc]]=0,ARTICULOS_AGUANORT[[#This Row],[DiasVenc]]=0),"",ARTICULOS_AGUANORT[[#This Row],[FechaVenc]]-ARTICULOS_AGUANORT[[#This Row],[DiasVenc]])</f>
        <v/>
      </c>
      <c r="AJ59" s="2"/>
      <c r="AK59"/>
      <c r="AM59"/>
      <c r="AO59" t="s">
        <v>8689</v>
      </c>
      <c r="AP59" t="s">
        <v>8690</v>
      </c>
    </row>
    <row r="60" spans="1:42" x14ac:dyDescent="0.25">
      <c r="A60" s="1" t="s">
        <v>12192</v>
      </c>
      <c r="C60" t="str">
        <f>CONCATENATE(LEFT(T60,3),RIGHT(A60,8))</f>
        <v>ALM04000744</v>
      </c>
      <c r="D60" t="s">
        <v>8689</v>
      </c>
      <c r="E60" s="1" t="s">
        <v>12193</v>
      </c>
      <c r="F60" s="61">
        <v>7000</v>
      </c>
      <c r="G60" s="119">
        <v>0</v>
      </c>
      <c r="H60" s="4" t="s">
        <v>8690</v>
      </c>
      <c r="I60">
        <v>10</v>
      </c>
      <c r="J60">
        <v>10</v>
      </c>
      <c r="L60" s="17">
        <f>((ARTICULOS_AGUANORT[[#This Row],[P. Compra]]*(1+ARTICULOS_AGUANORT[[#This Row],[IVA]]))/ARTICULOS_AGUANORT[[#This Row],[UnidFact]])+ARTICULOS_AGUANORT[[#This Row],[CostoFlete]]</f>
        <v>700</v>
      </c>
      <c r="M60">
        <v>30</v>
      </c>
      <c r="N60" s="63">
        <f t="shared" si="9"/>
        <v>1000</v>
      </c>
      <c r="O60" s="3">
        <f>MROUND((ARTICULOS_AGUANORT[[#This Row],[Precio]]/0.6),10)</f>
        <v>1670</v>
      </c>
      <c r="P60" t="s">
        <v>8693</v>
      </c>
      <c r="Q60" s="42">
        <v>2</v>
      </c>
      <c r="R60" s="36">
        <f>ARTICULOS_AGUANORT[[#This Row],[Bulto]]+ARTICULOS_AGUANORT[[#This Row],[Minimo]]</f>
        <v>12</v>
      </c>
      <c r="S60" t="s">
        <v>68</v>
      </c>
      <c r="T60" t="s">
        <v>4</v>
      </c>
      <c r="U60" s="100" t="s">
        <v>75</v>
      </c>
      <c r="V60" s="43" t="s">
        <v>12191</v>
      </c>
      <c r="W60" t="s">
        <v>8692</v>
      </c>
      <c r="X60">
        <v>1</v>
      </c>
      <c r="Y60">
        <v>9</v>
      </c>
      <c r="Z60"/>
      <c r="AA60" s="3"/>
      <c r="AB60" s="80">
        <f>ARTICULOS_AGUANORT[[#This Row],[Costo]]*ARTICULOS_AGUANORT[[#This Row],[Pedido]]</f>
        <v>0</v>
      </c>
      <c r="AD60"/>
      <c r="AE60" s="3"/>
      <c r="AH60" s="84" t="str">
        <f>IF(AND(ARTICULOS_AGUANORT[[#This Row],[FechaVenc]]=0,ARTICULOS_AGUANORT[[#This Row],[DiasVenc]]=0),"",ARTICULOS_AGUANORT[[#This Row],[FechaVenc]]-ARTICULOS_AGUANORT[[#This Row],[DiasVenc]])</f>
        <v/>
      </c>
      <c r="AJ60" s="2"/>
      <c r="AK60"/>
      <c r="AM60"/>
      <c r="AO60" t="s">
        <v>8689</v>
      </c>
      <c r="AP60" t="s">
        <v>8690</v>
      </c>
    </row>
  </sheetData>
  <conditionalFormatting sqref="A1">
    <cfRule type="duplicateValues" dxfId="209" priority="15"/>
  </conditionalFormatting>
  <conditionalFormatting sqref="A31:A35 A37:A47">
    <cfRule type="duplicateValues" dxfId="208" priority="1040"/>
  </conditionalFormatting>
  <conditionalFormatting sqref="A31:A35 C31:C35 C37:C47 A37:A47">
    <cfRule type="duplicateValues" dxfId="207" priority="1043"/>
    <cfRule type="duplicateValues" dxfId="206" priority="1042"/>
  </conditionalFormatting>
  <conditionalFormatting sqref="A31:A35">
    <cfRule type="duplicateValues" dxfId="205" priority="43"/>
  </conditionalFormatting>
  <conditionalFormatting sqref="A34:A35 A31:B33 A37:A47">
    <cfRule type="duplicateValues" dxfId="204" priority="1037"/>
  </conditionalFormatting>
  <conditionalFormatting sqref="A36 C36">
    <cfRule type="duplicateValues" dxfId="203" priority="31"/>
    <cfRule type="duplicateValues" dxfId="202" priority="30"/>
  </conditionalFormatting>
  <conditionalFormatting sqref="A50">
    <cfRule type="duplicateValues" dxfId="201" priority="3"/>
    <cfRule type="duplicateValues" dxfId="200" priority="4"/>
  </conditionalFormatting>
  <conditionalFormatting sqref="A31:B47">
    <cfRule type="duplicateValues" dxfId="199" priority="1036"/>
  </conditionalFormatting>
  <conditionalFormatting sqref="A50:B50">
    <cfRule type="duplicateValues" dxfId="198" priority="2"/>
    <cfRule type="duplicateValues" dxfId="197" priority="1"/>
  </conditionalFormatting>
  <conditionalFormatting sqref="A2:C1048576">
    <cfRule type="duplicateValues" dxfId="196" priority="51"/>
    <cfRule type="duplicateValues" dxfId="195" priority="52"/>
  </conditionalFormatting>
  <conditionalFormatting sqref="B31:B33">
    <cfRule type="duplicateValues" dxfId="194" priority="33"/>
    <cfRule type="duplicateValues" dxfId="193" priority="34"/>
  </conditionalFormatting>
  <conditionalFormatting sqref="B34:B47">
    <cfRule type="duplicateValues" dxfId="192" priority="1050"/>
    <cfRule type="duplicateValues" dxfId="191" priority="1051"/>
  </conditionalFormatting>
  <conditionalFormatting sqref="B36:B37 A37 A31:B35 A38:B47">
    <cfRule type="duplicateValues" dxfId="190" priority="1032"/>
  </conditionalFormatting>
  <conditionalFormatting sqref="B50">
    <cfRule type="duplicateValues" dxfId="189" priority="7"/>
    <cfRule type="duplicateValues" dxfId="188" priority="8"/>
  </conditionalFormatting>
  <conditionalFormatting sqref="C1">
    <cfRule type="duplicateValues" dxfId="187" priority="14"/>
  </conditionalFormatting>
  <conditionalFormatting sqref="C31:C35 C37:C47">
    <cfRule type="duplicateValues" dxfId="186" priority="1052"/>
    <cfRule type="duplicateValues" dxfId="185" priority="1053"/>
    <cfRule type="duplicateValues" dxfId="184" priority="1054"/>
    <cfRule type="duplicateValues" dxfId="183" priority="1055"/>
  </conditionalFormatting>
  <conditionalFormatting sqref="C50 A50">
    <cfRule type="duplicateValues" dxfId="182" priority="5"/>
    <cfRule type="duplicateValues" dxfId="181" priority="6"/>
  </conditionalFormatting>
  <conditionalFormatting sqref="C50">
    <cfRule type="duplicateValues" dxfId="180" priority="9"/>
    <cfRule type="duplicateValues" dxfId="179" priority="12"/>
    <cfRule type="duplicateValues" dxfId="178" priority="11"/>
    <cfRule type="duplicateValues" dxfId="177" priority="10"/>
  </conditionalFormatting>
  <conditionalFormatting sqref="F61:F1048576">
    <cfRule type="cellIs" dxfId="176" priority="26" operator="greaterThan">
      <formula>0</formula>
    </cfRule>
  </conditionalFormatting>
  <conditionalFormatting sqref="L1:L60">
    <cfRule type="cellIs" dxfId="175" priority="13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2C27D7E-18C3-4FBD-A825-F1F07DB66396}">
          <x14:formula1>
            <xm:f>LISTAS!$E:$E</xm:f>
          </x14:formula1>
          <xm:sqref>AB61:AB1048576 U1:U60</xm:sqref>
        </x14:dataValidation>
        <x14:dataValidation type="list" allowBlank="1" showInputMessage="1" showErrorMessage="1" xr:uid="{B7860503-A3C7-418E-8769-45EEBD4079ED}">
          <x14:formula1>
            <xm:f>LISTAS!$C:$C</xm:f>
          </x14:formula1>
          <xm:sqref>T2:T60</xm:sqref>
        </x14:dataValidation>
        <x14:dataValidation type="list" allowBlank="1" showInputMessage="1" showErrorMessage="1" xr:uid="{E0C6A860-E00A-4325-8C08-DB5249C1CACE}">
          <x14:formula1>
            <xm:f>LISTAS!$A:$A</xm:f>
          </x14:formula1>
          <xm:sqref>S1:S60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BC6D-611F-405D-BB10-762E69AC7F84}">
  <dimension ref="A1:AQ31"/>
  <sheetViews>
    <sheetView zoomScaleNormal="100" workbookViewId="0">
      <pane xSplit="5" topLeftCell="M1" activePane="topRight" state="frozen"/>
      <selection activeCell="AD34" sqref="AD34"/>
      <selection pane="topRight" activeCell="O3" sqref="O3"/>
    </sheetView>
  </sheetViews>
  <sheetFormatPr baseColWidth="10" defaultColWidth="11.42578125" defaultRowHeight="15" x14ac:dyDescent="0.2"/>
  <cols>
    <col min="1" max="1" width="14.28515625" style="1" customWidth="1"/>
    <col min="2" max="2" width="7.5703125" style="1" customWidth="1"/>
    <col min="3" max="3" width="14.28515625" style="1" customWidth="1"/>
    <col min="4" max="4" width="7.42578125" customWidth="1"/>
    <col min="5" max="5" width="52.28515625" style="1" customWidth="1"/>
    <col min="6" max="6" width="11.42578125" style="15"/>
    <col min="7" max="7" width="7" style="130" bestFit="1" customWidth="1"/>
    <col min="8" max="8" width="4" customWidth="1"/>
    <col min="9" max="9" width="4.85546875" customWidth="1"/>
    <col min="10" max="10" width="11.42578125" style="58"/>
    <col min="13" max="13" width="12.42578125" customWidth="1"/>
    <col min="14" max="14" width="10.28515625" bestFit="1" customWidth="1"/>
    <col min="15" max="15" width="10.7109375" bestFit="1" customWidth="1"/>
    <col min="16" max="16" width="9.42578125" style="5" bestFit="1" customWidth="1"/>
    <col min="17" max="17" width="9.7109375" style="3" bestFit="1" customWidth="1"/>
    <col min="18" max="18" width="9.28515625" style="4" bestFit="1" customWidth="1"/>
    <col min="19" max="19" width="10.28515625" style="3" bestFit="1" customWidth="1"/>
    <col min="20" max="20" width="10.7109375" style="3" bestFit="1" customWidth="1"/>
    <col min="21" max="21" width="12.5703125" bestFit="1" customWidth="1"/>
    <col min="22" max="22" width="8.85546875" bestFit="1" customWidth="1"/>
    <col min="23" max="23" width="12" bestFit="1" customWidth="1"/>
    <col min="24" max="24" width="11.28515625" style="3" bestFit="1" customWidth="1"/>
    <col min="27" max="27" width="13.7109375" customWidth="1"/>
    <col min="28" max="28" width="8.140625" customWidth="1"/>
    <col min="29" max="29" width="10" bestFit="1" customWidth="1"/>
    <col min="30" max="30" width="11.5703125" style="3" customWidth="1"/>
    <col min="31" max="31" width="20" customWidth="1"/>
    <col min="32" max="32" width="13.42578125" style="2" bestFit="1" customWidth="1"/>
    <col min="33" max="33" width="11.5703125" customWidth="1"/>
    <col min="34" max="34" width="16.7109375" customWidth="1"/>
    <col min="35" max="35" width="8.85546875" bestFit="1" customWidth="1"/>
    <col min="36" max="36" width="14.28515625" customWidth="1"/>
    <col min="37" max="38" width="13.7109375" customWidth="1"/>
    <col min="41" max="41" width="12.42578125" customWidth="1"/>
    <col min="42" max="42" width="19.42578125" bestFit="1" customWidth="1"/>
    <col min="43" max="43" width="21.42578125" bestFit="1" customWidth="1"/>
    <col min="44" max="44" width="10.7109375" customWidth="1"/>
    <col min="45" max="45" width="12.85546875" customWidth="1"/>
    <col min="46" max="46" width="15.42578125" bestFit="1" customWidth="1"/>
    <col min="240" max="240" width="15" bestFit="1" customWidth="1"/>
    <col min="241" max="241" width="68.28515625" bestFit="1" customWidth="1"/>
    <col min="242" max="242" width="9.140625" bestFit="1" customWidth="1"/>
    <col min="243" max="243" width="21.42578125" bestFit="1" customWidth="1"/>
    <col min="244" max="246" width="15.42578125" bestFit="1" customWidth="1"/>
    <col min="247" max="247" width="8.85546875" bestFit="1" customWidth="1"/>
    <col min="248" max="248" width="10" bestFit="1" customWidth="1"/>
    <col min="249" max="249" width="12.7109375" bestFit="1" customWidth="1"/>
    <col min="250" max="250" width="8.85546875" bestFit="1" customWidth="1"/>
    <col min="251" max="251" width="17.7109375" bestFit="1" customWidth="1"/>
    <col min="252" max="252" width="13" bestFit="1" customWidth="1"/>
    <col min="253" max="253" width="13.42578125" bestFit="1" customWidth="1"/>
    <col min="254" max="254" width="10.85546875" bestFit="1" customWidth="1"/>
    <col min="255" max="255" width="26.85546875" bestFit="1" customWidth="1"/>
    <col min="256" max="256" width="20.85546875" bestFit="1" customWidth="1"/>
    <col min="257" max="257" width="30.42578125" bestFit="1" customWidth="1"/>
    <col min="258" max="258" width="19.42578125" bestFit="1" customWidth="1"/>
    <col min="259" max="259" width="20.28515625" bestFit="1" customWidth="1"/>
    <col min="260" max="261" width="12" bestFit="1" customWidth="1"/>
    <col min="262" max="263" width="12.5703125" bestFit="1" customWidth="1"/>
    <col min="264" max="264" width="11.7109375" bestFit="1" customWidth="1"/>
    <col min="265" max="265" width="19" bestFit="1" customWidth="1"/>
    <col min="266" max="266" width="12.140625" bestFit="1" customWidth="1"/>
    <col min="496" max="496" width="15" bestFit="1" customWidth="1"/>
    <col min="497" max="497" width="68.28515625" bestFit="1" customWidth="1"/>
    <col min="498" max="498" width="9.140625" bestFit="1" customWidth="1"/>
    <col min="499" max="499" width="21.42578125" bestFit="1" customWidth="1"/>
    <col min="500" max="502" width="15.42578125" bestFit="1" customWidth="1"/>
    <col min="503" max="503" width="8.85546875" bestFit="1" customWidth="1"/>
    <col min="504" max="504" width="10" bestFit="1" customWidth="1"/>
    <col min="505" max="505" width="12.7109375" bestFit="1" customWidth="1"/>
    <col min="506" max="506" width="8.85546875" bestFit="1" customWidth="1"/>
    <col min="507" max="507" width="17.7109375" bestFit="1" customWidth="1"/>
    <col min="508" max="508" width="13" bestFit="1" customWidth="1"/>
    <col min="509" max="509" width="13.42578125" bestFit="1" customWidth="1"/>
    <col min="510" max="510" width="10.85546875" bestFit="1" customWidth="1"/>
    <col min="511" max="511" width="26.85546875" bestFit="1" customWidth="1"/>
    <col min="512" max="512" width="20.85546875" bestFit="1" customWidth="1"/>
    <col min="513" max="513" width="30.42578125" bestFit="1" customWidth="1"/>
    <col min="514" max="514" width="19.42578125" bestFit="1" customWidth="1"/>
    <col min="515" max="515" width="20.28515625" bestFit="1" customWidth="1"/>
    <col min="516" max="517" width="12" bestFit="1" customWidth="1"/>
    <col min="518" max="519" width="12.5703125" bestFit="1" customWidth="1"/>
    <col min="520" max="520" width="11.7109375" bestFit="1" customWidth="1"/>
    <col min="521" max="521" width="19" bestFit="1" customWidth="1"/>
    <col min="522" max="522" width="12.140625" bestFit="1" customWidth="1"/>
    <col min="752" max="752" width="15" bestFit="1" customWidth="1"/>
    <col min="753" max="753" width="68.28515625" bestFit="1" customWidth="1"/>
    <col min="754" max="754" width="9.140625" bestFit="1" customWidth="1"/>
    <col min="755" max="755" width="21.42578125" bestFit="1" customWidth="1"/>
    <col min="756" max="758" width="15.42578125" bestFit="1" customWidth="1"/>
    <col min="759" max="759" width="8.85546875" bestFit="1" customWidth="1"/>
    <col min="760" max="760" width="10" bestFit="1" customWidth="1"/>
    <col min="761" max="761" width="12.7109375" bestFit="1" customWidth="1"/>
    <col min="762" max="762" width="8.85546875" bestFit="1" customWidth="1"/>
    <col min="763" max="763" width="17.7109375" bestFit="1" customWidth="1"/>
    <col min="764" max="764" width="13" bestFit="1" customWidth="1"/>
    <col min="765" max="765" width="13.42578125" bestFit="1" customWidth="1"/>
    <col min="766" max="766" width="10.85546875" bestFit="1" customWidth="1"/>
    <col min="767" max="767" width="26.85546875" bestFit="1" customWidth="1"/>
    <col min="768" max="768" width="20.85546875" bestFit="1" customWidth="1"/>
    <col min="769" max="769" width="30.42578125" bestFit="1" customWidth="1"/>
    <col min="770" max="770" width="19.42578125" bestFit="1" customWidth="1"/>
    <col min="771" max="771" width="20.28515625" bestFit="1" customWidth="1"/>
    <col min="772" max="773" width="12" bestFit="1" customWidth="1"/>
    <col min="774" max="775" width="12.5703125" bestFit="1" customWidth="1"/>
    <col min="776" max="776" width="11.7109375" bestFit="1" customWidth="1"/>
    <col min="777" max="777" width="19" bestFit="1" customWidth="1"/>
    <col min="778" max="778" width="12.140625" bestFit="1" customWidth="1"/>
    <col min="1008" max="1008" width="15" bestFit="1" customWidth="1"/>
    <col min="1009" max="1009" width="68.28515625" bestFit="1" customWidth="1"/>
    <col min="1010" max="1010" width="9.140625" bestFit="1" customWidth="1"/>
    <col min="1011" max="1011" width="21.42578125" bestFit="1" customWidth="1"/>
    <col min="1012" max="1014" width="15.42578125" bestFit="1" customWidth="1"/>
    <col min="1015" max="1015" width="8.85546875" bestFit="1" customWidth="1"/>
    <col min="1016" max="1016" width="10" bestFit="1" customWidth="1"/>
    <col min="1017" max="1017" width="12.7109375" bestFit="1" customWidth="1"/>
    <col min="1018" max="1018" width="8.85546875" bestFit="1" customWidth="1"/>
    <col min="1019" max="1019" width="17.7109375" bestFit="1" customWidth="1"/>
    <col min="1020" max="1020" width="13" bestFit="1" customWidth="1"/>
    <col min="1021" max="1021" width="13.42578125" bestFit="1" customWidth="1"/>
    <col min="1022" max="1022" width="10.85546875" bestFit="1" customWidth="1"/>
    <col min="1023" max="1023" width="26.85546875" bestFit="1" customWidth="1"/>
    <col min="1024" max="1024" width="20.85546875" bestFit="1" customWidth="1"/>
    <col min="1025" max="1025" width="30.42578125" bestFit="1" customWidth="1"/>
    <col min="1026" max="1026" width="19.42578125" bestFit="1" customWidth="1"/>
    <col min="1027" max="1027" width="20.28515625" bestFit="1" customWidth="1"/>
    <col min="1028" max="1029" width="12" bestFit="1" customWidth="1"/>
    <col min="1030" max="1031" width="12.5703125" bestFit="1" customWidth="1"/>
    <col min="1032" max="1032" width="11.7109375" bestFit="1" customWidth="1"/>
    <col min="1033" max="1033" width="19" bestFit="1" customWidth="1"/>
    <col min="1034" max="1034" width="12.140625" bestFit="1" customWidth="1"/>
    <col min="1264" max="1264" width="15" bestFit="1" customWidth="1"/>
    <col min="1265" max="1265" width="68.28515625" bestFit="1" customWidth="1"/>
    <col min="1266" max="1266" width="9.140625" bestFit="1" customWidth="1"/>
    <col min="1267" max="1267" width="21.42578125" bestFit="1" customWidth="1"/>
    <col min="1268" max="1270" width="15.42578125" bestFit="1" customWidth="1"/>
    <col min="1271" max="1271" width="8.85546875" bestFit="1" customWidth="1"/>
    <col min="1272" max="1272" width="10" bestFit="1" customWidth="1"/>
    <col min="1273" max="1273" width="12.7109375" bestFit="1" customWidth="1"/>
    <col min="1274" max="1274" width="8.85546875" bestFit="1" customWidth="1"/>
    <col min="1275" max="1275" width="17.7109375" bestFit="1" customWidth="1"/>
    <col min="1276" max="1276" width="13" bestFit="1" customWidth="1"/>
    <col min="1277" max="1277" width="13.42578125" bestFit="1" customWidth="1"/>
    <col min="1278" max="1278" width="10.85546875" bestFit="1" customWidth="1"/>
    <col min="1279" max="1279" width="26.85546875" bestFit="1" customWidth="1"/>
    <col min="1280" max="1280" width="20.85546875" bestFit="1" customWidth="1"/>
    <col min="1281" max="1281" width="30.42578125" bestFit="1" customWidth="1"/>
    <col min="1282" max="1282" width="19.42578125" bestFit="1" customWidth="1"/>
    <col min="1283" max="1283" width="20.28515625" bestFit="1" customWidth="1"/>
    <col min="1284" max="1285" width="12" bestFit="1" customWidth="1"/>
    <col min="1286" max="1287" width="12.5703125" bestFit="1" customWidth="1"/>
    <col min="1288" max="1288" width="11.7109375" bestFit="1" customWidth="1"/>
    <col min="1289" max="1289" width="19" bestFit="1" customWidth="1"/>
    <col min="1290" max="1290" width="12.140625" bestFit="1" customWidth="1"/>
    <col min="1520" max="1520" width="15" bestFit="1" customWidth="1"/>
    <col min="1521" max="1521" width="68.28515625" bestFit="1" customWidth="1"/>
    <col min="1522" max="1522" width="9.140625" bestFit="1" customWidth="1"/>
    <col min="1523" max="1523" width="21.42578125" bestFit="1" customWidth="1"/>
    <col min="1524" max="1526" width="15.42578125" bestFit="1" customWidth="1"/>
    <col min="1527" max="1527" width="8.85546875" bestFit="1" customWidth="1"/>
    <col min="1528" max="1528" width="10" bestFit="1" customWidth="1"/>
    <col min="1529" max="1529" width="12.7109375" bestFit="1" customWidth="1"/>
    <col min="1530" max="1530" width="8.85546875" bestFit="1" customWidth="1"/>
    <col min="1531" max="1531" width="17.7109375" bestFit="1" customWidth="1"/>
    <col min="1532" max="1532" width="13" bestFit="1" customWidth="1"/>
    <col min="1533" max="1533" width="13.42578125" bestFit="1" customWidth="1"/>
    <col min="1534" max="1534" width="10.85546875" bestFit="1" customWidth="1"/>
    <col min="1535" max="1535" width="26.85546875" bestFit="1" customWidth="1"/>
    <col min="1536" max="1536" width="20.85546875" bestFit="1" customWidth="1"/>
    <col min="1537" max="1537" width="30.42578125" bestFit="1" customWidth="1"/>
    <col min="1538" max="1538" width="19.42578125" bestFit="1" customWidth="1"/>
    <col min="1539" max="1539" width="20.28515625" bestFit="1" customWidth="1"/>
    <col min="1540" max="1541" width="12" bestFit="1" customWidth="1"/>
    <col min="1542" max="1543" width="12.5703125" bestFit="1" customWidth="1"/>
    <col min="1544" max="1544" width="11.7109375" bestFit="1" customWidth="1"/>
    <col min="1545" max="1545" width="19" bestFit="1" customWidth="1"/>
    <col min="1546" max="1546" width="12.140625" bestFit="1" customWidth="1"/>
    <col min="1776" max="1776" width="15" bestFit="1" customWidth="1"/>
    <col min="1777" max="1777" width="68.28515625" bestFit="1" customWidth="1"/>
    <col min="1778" max="1778" width="9.140625" bestFit="1" customWidth="1"/>
    <col min="1779" max="1779" width="21.42578125" bestFit="1" customWidth="1"/>
    <col min="1780" max="1782" width="15.42578125" bestFit="1" customWidth="1"/>
    <col min="1783" max="1783" width="8.85546875" bestFit="1" customWidth="1"/>
    <col min="1784" max="1784" width="10" bestFit="1" customWidth="1"/>
    <col min="1785" max="1785" width="12.7109375" bestFit="1" customWidth="1"/>
    <col min="1786" max="1786" width="8.85546875" bestFit="1" customWidth="1"/>
    <col min="1787" max="1787" width="17.7109375" bestFit="1" customWidth="1"/>
    <col min="1788" max="1788" width="13" bestFit="1" customWidth="1"/>
    <col min="1789" max="1789" width="13.42578125" bestFit="1" customWidth="1"/>
    <col min="1790" max="1790" width="10.85546875" bestFit="1" customWidth="1"/>
    <col min="1791" max="1791" width="26.85546875" bestFit="1" customWidth="1"/>
    <col min="1792" max="1792" width="20.85546875" bestFit="1" customWidth="1"/>
    <col min="1793" max="1793" width="30.42578125" bestFit="1" customWidth="1"/>
    <col min="1794" max="1794" width="19.42578125" bestFit="1" customWidth="1"/>
    <col min="1795" max="1795" width="20.28515625" bestFit="1" customWidth="1"/>
    <col min="1796" max="1797" width="12" bestFit="1" customWidth="1"/>
    <col min="1798" max="1799" width="12.5703125" bestFit="1" customWidth="1"/>
    <col min="1800" max="1800" width="11.7109375" bestFit="1" customWidth="1"/>
    <col min="1801" max="1801" width="19" bestFit="1" customWidth="1"/>
    <col min="1802" max="1802" width="12.140625" bestFit="1" customWidth="1"/>
    <col min="2032" max="2032" width="15" bestFit="1" customWidth="1"/>
    <col min="2033" max="2033" width="68.28515625" bestFit="1" customWidth="1"/>
    <col min="2034" max="2034" width="9.140625" bestFit="1" customWidth="1"/>
    <col min="2035" max="2035" width="21.42578125" bestFit="1" customWidth="1"/>
    <col min="2036" max="2038" width="15.42578125" bestFit="1" customWidth="1"/>
    <col min="2039" max="2039" width="8.85546875" bestFit="1" customWidth="1"/>
    <col min="2040" max="2040" width="10" bestFit="1" customWidth="1"/>
    <col min="2041" max="2041" width="12.7109375" bestFit="1" customWidth="1"/>
    <col min="2042" max="2042" width="8.85546875" bestFit="1" customWidth="1"/>
    <col min="2043" max="2043" width="17.7109375" bestFit="1" customWidth="1"/>
    <col min="2044" max="2044" width="13" bestFit="1" customWidth="1"/>
    <col min="2045" max="2045" width="13.42578125" bestFit="1" customWidth="1"/>
    <col min="2046" max="2046" width="10.85546875" bestFit="1" customWidth="1"/>
    <col min="2047" max="2047" width="26.85546875" bestFit="1" customWidth="1"/>
    <col min="2048" max="2048" width="20.85546875" bestFit="1" customWidth="1"/>
    <col min="2049" max="2049" width="30.42578125" bestFit="1" customWidth="1"/>
    <col min="2050" max="2050" width="19.42578125" bestFit="1" customWidth="1"/>
    <col min="2051" max="2051" width="20.28515625" bestFit="1" customWidth="1"/>
    <col min="2052" max="2053" width="12" bestFit="1" customWidth="1"/>
    <col min="2054" max="2055" width="12.5703125" bestFit="1" customWidth="1"/>
    <col min="2056" max="2056" width="11.7109375" bestFit="1" customWidth="1"/>
    <col min="2057" max="2057" width="19" bestFit="1" customWidth="1"/>
    <col min="2058" max="2058" width="12.140625" bestFit="1" customWidth="1"/>
    <col min="2288" max="2288" width="15" bestFit="1" customWidth="1"/>
    <col min="2289" max="2289" width="68.28515625" bestFit="1" customWidth="1"/>
    <col min="2290" max="2290" width="9.140625" bestFit="1" customWidth="1"/>
    <col min="2291" max="2291" width="21.42578125" bestFit="1" customWidth="1"/>
    <col min="2292" max="2294" width="15.42578125" bestFit="1" customWidth="1"/>
    <col min="2295" max="2295" width="8.85546875" bestFit="1" customWidth="1"/>
    <col min="2296" max="2296" width="10" bestFit="1" customWidth="1"/>
    <col min="2297" max="2297" width="12.7109375" bestFit="1" customWidth="1"/>
    <col min="2298" max="2298" width="8.85546875" bestFit="1" customWidth="1"/>
    <col min="2299" max="2299" width="17.7109375" bestFit="1" customWidth="1"/>
    <col min="2300" max="2300" width="13" bestFit="1" customWidth="1"/>
    <col min="2301" max="2301" width="13.42578125" bestFit="1" customWidth="1"/>
    <col min="2302" max="2302" width="10.85546875" bestFit="1" customWidth="1"/>
    <col min="2303" max="2303" width="26.85546875" bestFit="1" customWidth="1"/>
    <col min="2304" max="2304" width="20.85546875" bestFit="1" customWidth="1"/>
    <col min="2305" max="2305" width="30.42578125" bestFit="1" customWidth="1"/>
    <col min="2306" max="2306" width="19.42578125" bestFit="1" customWidth="1"/>
    <col min="2307" max="2307" width="20.28515625" bestFit="1" customWidth="1"/>
    <col min="2308" max="2309" width="12" bestFit="1" customWidth="1"/>
    <col min="2310" max="2311" width="12.5703125" bestFit="1" customWidth="1"/>
    <col min="2312" max="2312" width="11.7109375" bestFit="1" customWidth="1"/>
    <col min="2313" max="2313" width="19" bestFit="1" customWidth="1"/>
    <col min="2314" max="2314" width="12.140625" bestFit="1" customWidth="1"/>
    <col min="2544" max="2544" width="15" bestFit="1" customWidth="1"/>
    <col min="2545" max="2545" width="68.28515625" bestFit="1" customWidth="1"/>
    <col min="2546" max="2546" width="9.140625" bestFit="1" customWidth="1"/>
    <col min="2547" max="2547" width="21.42578125" bestFit="1" customWidth="1"/>
    <col min="2548" max="2550" width="15.42578125" bestFit="1" customWidth="1"/>
    <col min="2551" max="2551" width="8.85546875" bestFit="1" customWidth="1"/>
    <col min="2552" max="2552" width="10" bestFit="1" customWidth="1"/>
    <col min="2553" max="2553" width="12.7109375" bestFit="1" customWidth="1"/>
    <col min="2554" max="2554" width="8.85546875" bestFit="1" customWidth="1"/>
    <col min="2555" max="2555" width="17.7109375" bestFit="1" customWidth="1"/>
    <col min="2556" max="2556" width="13" bestFit="1" customWidth="1"/>
    <col min="2557" max="2557" width="13.42578125" bestFit="1" customWidth="1"/>
    <col min="2558" max="2558" width="10.85546875" bestFit="1" customWidth="1"/>
    <col min="2559" max="2559" width="26.85546875" bestFit="1" customWidth="1"/>
    <col min="2560" max="2560" width="20.85546875" bestFit="1" customWidth="1"/>
    <col min="2561" max="2561" width="30.42578125" bestFit="1" customWidth="1"/>
    <col min="2562" max="2562" width="19.42578125" bestFit="1" customWidth="1"/>
    <col min="2563" max="2563" width="20.28515625" bestFit="1" customWidth="1"/>
    <col min="2564" max="2565" width="12" bestFit="1" customWidth="1"/>
    <col min="2566" max="2567" width="12.5703125" bestFit="1" customWidth="1"/>
    <col min="2568" max="2568" width="11.7109375" bestFit="1" customWidth="1"/>
    <col min="2569" max="2569" width="19" bestFit="1" customWidth="1"/>
    <col min="2570" max="2570" width="12.140625" bestFit="1" customWidth="1"/>
    <col min="2800" max="2800" width="15" bestFit="1" customWidth="1"/>
    <col min="2801" max="2801" width="68.28515625" bestFit="1" customWidth="1"/>
    <col min="2802" max="2802" width="9.140625" bestFit="1" customWidth="1"/>
    <col min="2803" max="2803" width="21.42578125" bestFit="1" customWidth="1"/>
    <col min="2804" max="2806" width="15.42578125" bestFit="1" customWidth="1"/>
    <col min="2807" max="2807" width="8.85546875" bestFit="1" customWidth="1"/>
    <col min="2808" max="2808" width="10" bestFit="1" customWidth="1"/>
    <col min="2809" max="2809" width="12.7109375" bestFit="1" customWidth="1"/>
    <col min="2810" max="2810" width="8.85546875" bestFit="1" customWidth="1"/>
    <col min="2811" max="2811" width="17.7109375" bestFit="1" customWidth="1"/>
    <col min="2812" max="2812" width="13" bestFit="1" customWidth="1"/>
    <col min="2813" max="2813" width="13.42578125" bestFit="1" customWidth="1"/>
    <col min="2814" max="2814" width="10.85546875" bestFit="1" customWidth="1"/>
    <col min="2815" max="2815" width="26.85546875" bestFit="1" customWidth="1"/>
    <col min="2816" max="2816" width="20.85546875" bestFit="1" customWidth="1"/>
    <col min="2817" max="2817" width="30.42578125" bestFit="1" customWidth="1"/>
    <col min="2818" max="2818" width="19.42578125" bestFit="1" customWidth="1"/>
    <col min="2819" max="2819" width="20.28515625" bestFit="1" customWidth="1"/>
    <col min="2820" max="2821" width="12" bestFit="1" customWidth="1"/>
    <col min="2822" max="2823" width="12.5703125" bestFit="1" customWidth="1"/>
    <col min="2824" max="2824" width="11.7109375" bestFit="1" customWidth="1"/>
    <col min="2825" max="2825" width="19" bestFit="1" customWidth="1"/>
    <col min="2826" max="2826" width="12.140625" bestFit="1" customWidth="1"/>
    <col min="3056" max="3056" width="15" bestFit="1" customWidth="1"/>
    <col min="3057" max="3057" width="68.28515625" bestFit="1" customWidth="1"/>
    <col min="3058" max="3058" width="9.140625" bestFit="1" customWidth="1"/>
    <col min="3059" max="3059" width="21.42578125" bestFit="1" customWidth="1"/>
    <col min="3060" max="3062" width="15.42578125" bestFit="1" customWidth="1"/>
    <col min="3063" max="3063" width="8.85546875" bestFit="1" customWidth="1"/>
    <col min="3064" max="3064" width="10" bestFit="1" customWidth="1"/>
    <col min="3065" max="3065" width="12.7109375" bestFit="1" customWidth="1"/>
    <col min="3066" max="3066" width="8.85546875" bestFit="1" customWidth="1"/>
    <col min="3067" max="3067" width="17.7109375" bestFit="1" customWidth="1"/>
    <col min="3068" max="3068" width="13" bestFit="1" customWidth="1"/>
    <col min="3069" max="3069" width="13.42578125" bestFit="1" customWidth="1"/>
    <col min="3070" max="3070" width="10.85546875" bestFit="1" customWidth="1"/>
    <col min="3071" max="3071" width="26.85546875" bestFit="1" customWidth="1"/>
    <col min="3072" max="3072" width="20.85546875" bestFit="1" customWidth="1"/>
    <col min="3073" max="3073" width="30.42578125" bestFit="1" customWidth="1"/>
    <col min="3074" max="3074" width="19.42578125" bestFit="1" customWidth="1"/>
    <col min="3075" max="3075" width="20.28515625" bestFit="1" customWidth="1"/>
    <col min="3076" max="3077" width="12" bestFit="1" customWidth="1"/>
    <col min="3078" max="3079" width="12.5703125" bestFit="1" customWidth="1"/>
    <col min="3080" max="3080" width="11.7109375" bestFit="1" customWidth="1"/>
    <col min="3081" max="3081" width="19" bestFit="1" customWidth="1"/>
    <col min="3082" max="3082" width="12.140625" bestFit="1" customWidth="1"/>
    <col min="3312" max="3312" width="15" bestFit="1" customWidth="1"/>
    <col min="3313" max="3313" width="68.28515625" bestFit="1" customWidth="1"/>
    <col min="3314" max="3314" width="9.140625" bestFit="1" customWidth="1"/>
    <col min="3315" max="3315" width="21.42578125" bestFit="1" customWidth="1"/>
    <col min="3316" max="3318" width="15.42578125" bestFit="1" customWidth="1"/>
    <col min="3319" max="3319" width="8.85546875" bestFit="1" customWidth="1"/>
    <col min="3320" max="3320" width="10" bestFit="1" customWidth="1"/>
    <col min="3321" max="3321" width="12.7109375" bestFit="1" customWidth="1"/>
    <col min="3322" max="3322" width="8.85546875" bestFit="1" customWidth="1"/>
    <col min="3323" max="3323" width="17.7109375" bestFit="1" customWidth="1"/>
    <col min="3324" max="3324" width="13" bestFit="1" customWidth="1"/>
    <col min="3325" max="3325" width="13.42578125" bestFit="1" customWidth="1"/>
    <col min="3326" max="3326" width="10.85546875" bestFit="1" customWidth="1"/>
    <col min="3327" max="3327" width="26.85546875" bestFit="1" customWidth="1"/>
    <col min="3328" max="3328" width="20.85546875" bestFit="1" customWidth="1"/>
    <col min="3329" max="3329" width="30.42578125" bestFit="1" customWidth="1"/>
    <col min="3330" max="3330" width="19.42578125" bestFit="1" customWidth="1"/>
    <col min="3331" max="3331" width="20.28515625" bestFit="1" customWidth="1"/>
    <col min="3332" max="3333" width="12" bestFit="1" customWidth="1"/>
    <col min="3334" max="3335" width="12.5703125" bestFit="1" customWidth="1"/>
    <col min="3336" max="3336" width="11.7109375" bestFit="1" customWidth="1"/>
    <col min="3337" max="3337" width="19" bestFit="1" customWidth="1"/>
    <col min="3338" max="3338" width="12.140625" bestFit="1" customWidth="1"/>
    <col min="3568" max="3568" width="15" bestFit="1" customWidth="1"/>
    <col min="3569" max="3569" width="68.28515625" bestFit="1" customWidth="1"/>
    <col min="3570" max="3570" width="9.140625" bestFit="1" customWidth="1"/>
    <col min="3571" max="3571" width="21.42578125" bestFit="1" customWidth="1"/>
    <col min="3572" max="3574" width="15.42578125" bestFit="1" customWidth="1"/>
    <col min="3575" max="3575" width="8.85546875" bestFit="1" customWidth="1"/>
    <col min="3576" max="3576" width="10" bestFit="1" customWidth="1"/>
    <col min="3577" max="3577" width="12.7109375" bestFit="1" customWidth="1"/>
    <col min="3578" max="3578" width="8.85546875" bestFit="1" customWidth="1"/>
    <col min="3579" max="3579" width="17.7109375" bestFit="1" customWidth="1"/>
    <col min="3580" max="3580" width="13" bestFit="1" customWidth="1"/>
    <col min="3581" max="3581" width="13.42578125" bestFit="1" customWidth="1"/>
    <col min="3582" max="3582" width="10.85546875" bestFit="1" customWidth="1"/>
    <col min="3583" max="3583" width="26.85546875" bestFit="1" customWidth="1"/>
    <col min="3584" max="3584" width="20.85546875" bestFit="1" customWidth="1"/>
    <col min="3585" max="3585" width="30.42578125" bestFit="1" customWidth="1"/>
    <col min="3586" max="3586" width="19.42578125" bestFit="1" customWidth="1"/>
    <col min="3587" max="3587" width="20.28515625" bestFit="1" customWidth="1"/>
    <col min="3588" max="3589" width="12" bestFit="1" customWidth="1"/>
    <col min="3590" max="3591" width="12.5703125" bestFit="1" customWidth="1"/>
    <col min="3592" max="3592" width="11.7109375" bestFit="1" customWidth="1"/>
    <col min="3593" max="3593" width="19" bestFit="1" customWidth="1"/>
    <col min="3594" max="3594" width="12.140625" bestFit="1" customWidth="1"/>
    <col min="3824" max="3824" width="15" bestFit="1" customWidth="1"/>
    <col min="3825" max="3825" width="68.28515625" bestFit="1" customWidth="1"/>
    <col min="3826" max="3826" width="9.140625" bestFit="1" customWidth="1"/>
    <col min="3827" max="3827" width="21.42578125" bestFit="1" customWidth="1"/>
    <col min="3828" max="3830" width="15.42578125" bestFit="1" customWidth="1"/>
    <col min="3831" max="3831" width="8.85546875" bestFit="1" customWidth="1"/>
    <col min="3832" max="3832" width="10" bestFit="1" customWidth="1"/>
    <col min="3833" max="3833" width="12.7109375" bestFit="1" customWidth="1"/>
    <col min="3834" max="3834" width="8.85546875" bestFit="1" customWidth="1"/>
    <col min="3835" max="3835" width="17.7109375" bestFit="1" customWidth="1"/>
    <col min="3836" max="3836" width="13" bestFit="1" customWidth="1"/>
    <col min="3837" max="3837" width="13.42578125" bestFit="1" customWidth="1"/>
    <col min="3838" max="3838" width="10.85546875" bestFit="1" customWidth="1"/>
    <col min="3839" max="3839" width="26.85546875" bestFit="1" customWidth="1"/>
    <col min="3840" max="3840" width="20.85546875" bestFit="1" customWidth="1"/>
    <col min="3841" max="3841" width="30.42578125" bestFit="1" customWidth="1"/>
    <col min="3842" max="3842" width="19.42578125" bestFit="1" customWidth="1"/>
    <col min="3843" max="3843" width="20.28515625" bestFit="1" customWidth="1"/>
    <col min="3844" max="3845" width="12" bestFit="1" customWidth="1"/>
    <col min="3846" max="3847" width="12.5703125" bestFit="1" customWidth="1"/>
    <col min="3848" max="3848" width="11.7109375" bestFit="1" customWidth="1"/>
    <col min="3849" max="3849" width="19" bestFit="1" customWidth="1"/>
    <col min="3850" max="3850" width="12.140625" bestFit="1" customWidth="1"/>
    <col min="4080" max="4080" width="15" bestFit="1" customWidth="1"/>
    <col min="4081" max="4081" width="68.28515625" bestFit="1" customWidth="1"/>
    <col min="4082" max="4082" width="9.140625" bestFit="1" customWidth="1"/>
    <col min="4083" max="4083" width="21.42578125" bestFit="1" customWidth="1"/>
    <col min="4084" max="4086" width="15.42578125" bestFit="1" customWidth="1"/>
    <col min="4087" max="4087" width="8.85546875" bestFit="1" customWidth="1"/>
    <col min="4088" max="4088" width="10" bestFit="1" customWidth="1"/>
    <col min="4089" max="4089" width="12.7109375" bestFit="1" customWidth="1"/>
    <col min="4090" max="4090" width="8.85546875" bestFit="1" customWidth="1"/>
    <col min="4091" max="4091" width="17.7109375" bestFit="1" customWidth="1"/>
    <col min="4092" max="4092" width="13" bestFit="1" customWidth="1"/>
    <col min="4093" max="4093" width="13.42578125" bestFit="1" customWidth="1"/>
    <col min="4094" max="4094" width="10.85546875" bestFit="1" customWidth="1"/>
    <col min="4095" max="4095" width="26.85546875" bestFit="1" customWidth="1"/>
    <col min="4096" max="4096" width="20.85546875" bestFit="1" customWidth="1"/>
    <col min="4097" max="4097" width="30.42578125" bestFit="1" customWidth="1"/>
    <col min="4098" max="4098" width="19.42578125" bestFit="1" customWidth="1"/>
    <col min="4099" max="4099" width="20.28515625" bestFit="1" customWidth="1"/>
    <col min="4100" max="4101" width="12" bestFit="1" customWidth="1"/>
    <col min="4102" max="4103" width="12.5703125" bestFit="1" customWidth="1"/>
    <col min="4104" max="4104" width="11.7109375" bestFit="1" customWidth="1"/>
    <col min="4105" max="4105" width="19" bestFit="1" customWidth="1"/>
    <col min="4106" max="4106" width="12.140625" bestFit="1" customWidth="1"/>
    <col min="4336" max="4336" width="15" bestFit="1" customWidth="1"/>
    <col min="4337" max="4337" width="68.28515625" bestFit="1" customWidth="1"/>
    <col min="4338" max="4338" width="9.140625" bestFit="1" customWidth="1"/>
    <col min="4339" max="4339" width="21.42578125" bestFit="1" customWidth="1"/>
    <col min="4340" max="4342" width="15.42578125" bestFit="1" customWidth="1"/>
    <col min="4343" max="4343" width="8.85546875" bestFit="1" customWidth="1"/>
    <col min="4344" max="4344" width="10" bestFit="1" customWidth="1"/>
    <col min="4345" max="4345" width="12.7109375" bestFit="1" customWidth="1"/>
    <col min="4346" max="4346" width="8.85546875" bestFit="1" customWidth="1"/>
    <col min="4347" max="4347" width="17.7109375" bestFit="1" customWidth="1"/>
    <col min="4348" max="4348" width="13" bestFit="1" customWidth="1"/>
    <col min="4349" max="4349" width="13.42578125" bestFit="1" customWidth="1"/>
    <col min="4350" max="4350" width="10.85546875" bestFit="1" customWidth="1"/>
    <col min="4351" max="4351" width="26.85546875" bestFit="1" customWidth="1"/>
    <col min="4352" max="4352" width="20.85546875" bestFit="1" customWidth="1"/>
    <col min="4353" max="4353" width="30.42578125" bestFit="1" customWidth="1"/>
    <col min="4354" max="4354" width="19.42578125" bestFit="1" customWidth="1"/>
    <col min="4355" max="4355" width="20.28515625" bestFit="1" customWidth="1"/>
    <col min="4356" max="4357" width="12" bestFit="1" customWidth="1"/>
    <col min="4358" max="4359" width="12.5703125" bestFit="1" customWidth="1"/>
    <col min="4360" max="4360" width="11.7109375" bestFit="1" customWidth="1"/>
    <col min="4361" max="4361" width="19" bestFit="1" customWidth="1"/>
    <col min="4362" max="4362" width="12.140625" bestFit="1" customWidth="1"/>
    <col min="4592" max="4592" width="15" bestFit="1" customWidth="1"/>
    <col min="4593" max="4593" width="68.28515625" bestFit="1" customWidth="1"/>
    <col min="4594" max="4594" width="9.140625" bestFit="1" customWidth="1"/>
    <col min="4595" max="4595" width="21.42578125" bestFit="1" customWidth="1"/>
    <col min="4596" max="4598" width="15.42578125" bestFit="1" customWidth="1"/>
    <col min="4599" max="4599" width="8.85546875" bestFit="1" customWidth="1"/>
    <col min="4600" max="4600" width="10" bestFit="1" customWidth="1"/>
    <col min="4601" max="4601" width="12.7109375" bestFit="1" customWidth="1"/>
    <col min="4602" max="4602" width="8.85546875" bestFit="1" customWidth="1"/>
    <col min="4603" max="4603" width="17.7109375" bestFit="1" customWidth="1"/>
    <col min="4604" max="4604" width="13" bestFit="1" customWidth="1"/>
    <col min="4605" max="4605" width="13.42578125" bestFit="1" customWidth="1"/>
    <col min="4606" max="4606" width="10.85546875" bestFit="1" customWidth="1"/>
    <col min="4607" max="4607" width="26.85546875" bestFit="1" customWidth="1"/>
    <col min="4608" max="4608" width="20.85546875" bestFit="1" customWidth="1"/>
    <col min="4609" max="4609" width="30.42578125" bestFit="1" customWidth="1"/>
    <col min="4610" max="4610" width="19.42578125" bestFit="1" customWidth="1"/>
    <col min="4611" max="4611" width="20.28515625" bestFit="1" customWidth="1"/>
    <col min="4612" max="4613" width="12" bestFit="1" customWidth="1"/>
    <col min="4614" max="4615" width="12.5703125" bestFit="1" customWidth="1"/>
    <col min="4616" max="4616" width="11.7109375" bestFit="1" customWidth="1"/>
    <col min="4617" max="4617" width="19" bestFit="1" customWidth="1"/>
    <col min="4618" max="4618" width="12.140625" bestFit="1" customWidth="1"/>
    <col min="4848" max="4848" width="15" bestFit="1" customWidth="1"/>
    <col min="4849" max="4849" width="68.28515625" bestFit="1" customWidth="1"/>
    <col min="4850" max="4850" width="9.140625" bestFit="1" customWidth="1"/>
    <col min="4851" max="4851" width="21.42578125" bestFit="1" customWidth="1"/>
    <col min="4852" max="4854" width="15.42578125" bestFit="1" customWidth="1"/>
    <col min="4855" max="4855" width="8.85546875" bestFit="1" customWidth="1"/>
    <col min="4856" max="4856" width="10" bestFit="1" customWidth="1"/>
    <col min="4857" max="4857" width="12.7109375" bestFit="1" customWidth="1"/>
    <col min="4858" max="4858" width="8.85546875" bestFit="1" customWidth="1"/>
    <col min="4859" max="4859" width="17.7109375" bestFit="1" customWidth="1"/>
    <col min="4860" max="4860" width="13" bestFit="1" customWidth="1"/>
    <col min="4861" max="4861" width="13.42578125" bestFit="1" customWidth="1"/>
    <col min="4862" max="4862" width="10.85546875" bestFit="1" customWidth="1"/>
    <col min="4863" max="4863" width="26.85546875" bestFit="1" customWidth="1"/>
    <col min="4864" max="4864" width="20.85546875" bestFit="1" customWidth="1"/>
    <col min="4865" max="4865" width="30.42578125" bestFit="1" customWidth="1"/>
    <col min="4866" max="4866" width="19.42578125" bestFit="1" customWidth="1"/>
    <col min="4867" max="4867" width="20.28515625" bestFit="1" customWidth="1"/>
    <col min="4868" max="4869" width="12" bestFit="1" customWidth="1"/>
    <col min="4870" max="4871" width="12.5703125" bestFit="1" customWidth="1"/>
    <col min="4872" max="4872" width="11.7109375" bestFit="1" customWidth="1"/>
    <col min="4873" max="4873" width="19" bestFit="1" customWidth="1"/>
    <col min="4874" max="4874" width="12.140625" bestFit="1" customWidth="1"/>
    <col min="5104" max="5104" width="15" bestFit="1" customWidth="1"/>
    <col min="5105" max="5105" width="68.28515625" bestFit="1" customWidth="1"/>
    <col min="5106" max="5106" width="9.140625" bestFit="1" customWidth="1"/>
    <col min="5107" max="5107" width="21.42578125" bestFit="1" customWidth="1"/>
    <col min="5108" max="5110" width="15.42578125" bestFit="1" customWidth="1"/>
    <col min="5111" max="5111" width="8.85546875" bestFit="1" customWidth="1"/>
    <col min="5112" max="5112" width="10" bestFit="1" customWidth="1"/>
    <col min="5113" max="5113" width="12.7109375" bestFit="1" customWidth="1"/>
    <col min="5114" max="5114" width="8.85546875" bestFit="1" customWidth="1"/>
    <col min="5115" max="5115" width="17.7109375" bestFit="1" customWidth="1"/>
    <col min="5116" max="5116" width="13" bestFit="1" customWidth="1"/>
    <col min="5117" max="5117" width="13.42578125" bestFit="1" customWidth="1"/>
    <col min="5118" max="5118" width="10.85546875" bestFit="1" customWidth="1"/>
    <col min="5119" max="5119" width="26.85546875" bestFit="1" customWidth="1"/>
    <col min="5120" max="5120" width="20.85546875" bestFit="1" customWidth="1"/>
    <col min="5121" max="5121" width="30.42578125" bestFit="1" customWidth="1"/>
    <col min="5122" max="5122" width="19.42578125" bestFit="1" customWidth="1"/>
    <col min="5123" max="5123" width="20.28515625" bestFit="1" customWidth="1"/>
    <col min="5124" max="5125" width="12" bestFit="1" customWidth="1"/>
    <col min="5126" max="5127" width="12.5703125" bestFit="1" customWidth="1"/>
    <col min="5128" max="5128" width="11.7109375" bestFit="1" customWidth="1"/>
    <col min="5129" max="5129" width="19" bestFit="1" customWidth="1"/>
    <col min="5130" max="5130" width="12.140625" bestFit="1" customWidth="1"/>
    <col min="5360" max="5360" width="15" bestFit="1" customWidth="1"/>
    <col min="5361" max="5361" width="68.28515625" bestFit="1" customWidth="1"/>
    <col min="5362" max="5362" width="9.140625" bestFit="1" customWidth="1"/>
    <col min="5363" max="5363" width="21.42578125" bestFit="1" customWidth="1"/>
    <col min="5364" max="5366" width="15.42578125" bestFit="1" customWidth="1"/>
    <col min="5367" max="5367" width="8.85546875" bestFit="1" customWidth="1"/>
    <col min="5368" max="5368" width="10" bestFit="1" customWidth="1"/>
    <col min="5369" max="5369" width="12.7109375" bestFit="1" customWidth="1"/>
    <col min="5370" max="5370" width="8.85546875" bestFit="1" customWidth="1"/>
    <col min="5371" max="5371" width="17.7109375" bestFit="1" customWidth="1"/>
    <col min="5372" max="5372" width="13" bestFit="1" customWidth="1"/>
    <col min="5373" max="5373" width="13.42578125" bestFit="1" customWidth="1"/>
    <col min="5374" max="5374" width="10.85546875" bestFit="1" customWidth="1"/>
    <col min="5375" max="5375" width="26.85546875" bestFit="1" customWidth="1"/>
    <col min="5376" max="5376" width="20.85546875" bestFit="1" customWidth="1"/>
    <col min="5377" max="5377" width="30.42578125" bestFit="1" customWidth="1"/>
    <col min="5378" max="5378" width="19.42578125" bestFit="1" customWidth="1"/>
    <col min="5379" max="5379" width="20.28515625" bestFit="1" customWidth="1"/>
    <col min="5380" max="5381" width="12" bestFit="1" customWidth="1"/>
    <col min="5382" max="5383" width="12.5703125" bestFit="1" customWidth="1"/>
    <col min="5384" max="5384" width="11.7109375" bestFit="1" customWidth="1"/>
    <col min="5385" max="5385" width="19" bestFit="1" customWidth="1"/>
    <col min="5386" max="5386" width="12.140625" bestFit="1" customWidth="1"/>
    <col min="5616" max="5616" width="15" bestFit="1" customWidth="1"/>
    <col min="5617" max="5617" width="68.28515625" bestFit="1" customWidth="1"/>
    <col min="5618" max="5618" width="9.140625" bestFit="1" customWidth="1"/>
    <col min="5619" max="5619" width="21.42578125" bestFit="1" customWidth="1"/>
    <col min="5620" max="5622" width="15.42578125" bestFit="1" customWidth="1"/>
    <col min="5623" max="5623" width="8.85546875" bestFit="1" customWidth="1"/>
    <col min="5624" max="5624" width="10" bestFit="1" customWidth="1"/>
    <col min="5625" max="5625" width="12.7109375" bestFit="1" customWidth="1"/>
    <col min="5626" max="5626" width="8.85546875" bestFit="1" customWidth="1"/>
    <col min="5627" max="5627" width="17.7109375" bestFit="1" customWidth="1"/>
    <col min="5628" max="5628" width="13" bestFit="1" customWidth="1"/>
    <col min="5629" max="5629" width="13.42578125" bestFit="1" customWidth="1"/>
    <col min="5630" max="5630" width="10.85546875" bestFit="1" customWidth="1"/>
    <col min="5631" max="5631" width="26.85546875" bestFit="1" customWidth="1"/>
    <col min="5632" max="5632" width="20.85546875" bestFit="1" customWidth="1"/>
    <col min="5633" max="5633" width="30.42578125" bestFit="1" customWidth="1"/>
    <col min="5634" max="5634" width="19.42578125" bestFit="1" customWidth="1"/>
    <col min="5635" max="5635" width="20.28515625" bestFit="1" customWidth="1"/>
    <col min="5636" max="5637" width="12" bestFit="1" customWidth="1"/>
    <col min="5638" max="5639" width="12.5703125" bestFit="1" customWidth="1"/>
    <col min="5640" max="5640" width="11.7109375" bestFit="1" customWidth="1"/>
    <col min="5641" max="5641" width="19" bestFit="1" customWidth="1"/>
    <col min="5642" max="5642" width="12.140625" bestFit="1" customWidth="1"/>
    <col min="5872" max="5872" width="15" bestFit="1" customWidth="1"/>
    <col min="5873" max="5873" width="68.28515625" bestFit="1" customWidth="1"/>
    <col min="5874" max="5874" width="9.140625" bestFit="1" customWidth="1"/>
    <col min="5875" max="5875" width="21.42578125" bestFit="1" customWidth="1"/>
    <col min="5876" max="5878" width="15.42578125" bestFit="1" customWidth="1"/>
    <col min="5879" max="5879" width="8.85546875" bestFit="1" customWidth="1"/>
    <col min="5880" max="5880" width="10" bestFit="1" customWidth="1"/>
    <col min="5881" max="5881" width="12.7109375" bestFit="1" customWidth="1"/>
    <col min="5882" max="5882" width="8.85546875" bestFit="1" customWidth="1"/>
    <col min="5883" max="5883" width="17.7109375" bestFit="1" customWidth="1"/>
    <col min="5884" max="5884" width="13" bestFit="1" customWidth="1"/>
    <col min="5885" max="5885" width="13.42578125" bestFit="1" customWidth="1"/>
    <col min="5886" max="5886" width="10.85546875" bestFit="1" customWidth="1"/>
    <col min="5887" max="5887" width="26.85546875" bestFit="1" customWidth="1"/>
    <col min="5888" max="5888" width="20.85546875" bestFit="1" customWidth="1"/>
    <col min="5889" max="5889" width="30.42578125" bestFit="1" customWidth="1"/>
    <col min="5890" max="5890" width="19.42578125" bestFit="1" customWidth="1"/>
    <col min="5891" max="5891" width="20.28515625" bestFit="1" customWidth="1"/>
    <col min="5892" max="5893" width="12" bestFit="1" customWidth="1"/>
    <col min="5894" max="5895" width="12.5703125" bestFit="1" customWidth="1"/>
    <col min="5896" max="5896" width="11.7109375" bestFit="1" customWidth="1"/>
    <col min="5897" max="5897" width="19" bestFit="1" customWidth="1"/>
    <col min="5898" max="5898" width="12.140625" bestFit="1" customWidth="1"/>
    <col min="6128" max="6128" width="15" bestFit="1" customWidth="1"/>
    <col min="6129" max="6129" width="68.28515625" bestFit="1" customWidth="1"/>
    <col min="6130" max="6130" width="9.140625" bestFit="1" customWidth="1"/>
    <col min="6131" max="6131" width="21.42578125" bestFit="1" customWidth="1"/>
    <col min="6132" max="6134" width="15.42578125" bestFit="1" customWidth="1"/>
    <col min="6135" max="6135" width="8.85546875" bestFit="1" customWidth="1"/>
    <col min="6136" max="6136" width="10" bestFit="1" customWidth="1"/>
    <col min="6137" max="6137" width="12.7109375" bestFit="1" customWidth="1"/>
    <col min="6138" max="6138" width="8.85546875" bestFit="1" customWidth="1"/>
    <col min="6139" max="6139" width="17.7109375" bestFit="1" customWidth="1"/>
    <col min="6140" max="6140" width="13" bestFit="1" customWidth="1"/>
    <col min="6141" max="6141" width="13.42578125" bestFit="1" customWidth="1"/>
    <col min="6142" max="6142" width="10.85546875" bestFit="1" customWidth="1"/>
    <col min="6143" max="6143" width="26.85546875" bestFit="1" customWidth="1"/>
    <col min="6144" max="6144" width="20.85546875" bestFit="1" customWidth="1"/>
    <col min="6145" max="6145" width="30.42578125" bestFit="1" customWidth="1"/>
    <col min="6146" max="6146" width="19.42578125" bestFit="1" customWidth="1"/>
    <col min="6147" max="6147" width="20.28515625" bestFit="1" customWidth="1"/>
    <col min="6148" max="6149" width="12" bestFit="1" customWidth="1"/>
    <col min="6150" max="6151" width="12.5703125" bestFit="1" customWidth="1"/>
    <col min="6152" max="6152" width="11.7109375" bestFit="1" customWidth="1"/>
    <col min="6153" max="6153" width="19" bestFit="1" customWidth="1"/>
    <col min="6154" max="6154" width="12.140625" bestFit="1" customWidth="1"/>
    <col min="6384" max="6384" width="15" bestFit="1" customWidth="1"/>
    <col min="6385" max="6385" width="68.28515625" bestFit="1" customWidth="1"/>
    <col min="6386" max="6386" width="9.140625" bestFit="1" customWidth="1"/>
    <col min="6387" max="6387" width="21.42578125" bestFit="1" customWidth="1"/>
    <col min="6388" max="6390" width="15.42578125" bestFit="1" customWidth="1"/>
    <col min="6391" max="6391" width="8.85546875" bestFit="1" customWidth="1"/>
    <col min="6392" max="6392" width="10" bestFit="1" customWidth="1"/>
    <col min="6393" max="6393" width="12.7109375" bestFit="1" customWidth="1"/>
    <col min="6394" max="6394" width="8.85546875" bestFit="1" customWidth="1"/>
    <col min="6395" max="6395" width="17.7109375" bestFit="1" customWidth="1"/>
    <col min="6396" max="6396" width="13" bestFit="1" customWidth="1"/>
    <col min="6397" max="6397" width="13.42578125" bestFit="1" customWidth="1"/>
    <col min="6398" max="6398" width="10.85546875" bestFit="1" customWidth="1"/>
    <col min="6399" max="6399" width="26.85546875" bestFit="1" customWidth="1"/>
    <col min="6400" max="6400" width="20.85546875" bestFit="1" customWidth="1"/>
    <col min="6401" max="6401" width="30.42578125" bestFit="1" customWidth="1"/>
    <col min="6402" max="6402" width="19.42578125" bestFit="1" customWidth="1"/>
    <col min="6403" max="6403" width="20.28515625" bestFit="1" customWidth="1"/>
    <col min="6404" max="6405" width="12" bestFit="1" customWidth="1"/>
    <col min="6406" max="6407" width="12.5703125" bestFit="1" customWidth="1"/>
    <col min="6408" max="6408" width="11.7109375" bestFit="1" customWidth="1"/>
    <col min="6409" max="6409" width="19" bestFit="1" customWidth="1"/>
    <col min="6410" max="6410" width="12.140625" bestFit="1" customWidth="1"/>
    <col min="6640" max="6640" width="15" bestFit="1" customWidth="1"/>
    <col min="6641" max="6641" width="68.28515625" bestFit="1" customWidth="1"/>
    <col min="6642" max="6642" width="9.140625" bestFit="1" customWidth="1"/>
    <col min="6643" max="6643" width="21.42578125" bestFit="1" customWidth="1"/>
    <col min="6644" max="6646" width="15.42578125" bestFit="1" customWidth="1"/>
    <col min="6647" max="6647" width="8.85546875" bestFit="1" customWidth="1"/>
    <col min="6648" max="6648" width="10" bestFit="1" customWidth="1"/>
    <col min="6649" max="6649" width="12.7109375" bestFit="1" customWidth="1"/>
    <col min="6650" max="6650" width="8.85546875" bestFit="1" customWidth="1"/>
    <col min="6651" max="6651" width="17.7109375" bestFit="1" customWidth="1"/>
    <col min="6652" max="6652" width="13" bestFit="1" customWidth="1"/>
    <col min="6653" max="6653" width="13.42578125" bestFit="1" customWidth="1"/>
    <col min="6654" max="6654" width="10.85546875" bestFit="1" customWidth="1"/>
    <col min="6655" max="6655" width="26.85546875" bestFit="1" customWidth="1"/>
    <col min="6656" max="6656" width="20.85546875" bestFit="1" customWidth="1"/>
    <col min="6657" max="6657" width="30.42578125" bestFit="1" customWidth="1"/>
    <col min="6658" max="6658" width="19.42578125" bestFit="1" customWidth="1"/>
    <col min="6659" max="6659" width="20.28515625" bestFit="1" customWidth="1"/>
    <col min="6660" max="6661" width="12" bestFit="1" customWidth="1"/>
    <col min="6662" max="6663" width="12.5703125" bestFit="1" customWidth="1"/>
    <col min="6664" max="6664" width="11.7109375" bestFit="1" customWidth="1"/>
    <col min="6665" max="6665" width="19" bestFit="1" customWidth="1"/>
    <col min="6666" max="6666" width="12.140625" bestFit="1" customWidth="1"/>
    <col min="6896" max="6896" width="15" bestFit="1" customWidth="1"/>
    <col min="6897" max="6897" width="68.28515625" bestFit="1" customWidth="1"/>
    <col min="6898" max="6898" width="9.140625" bestFit="1" customWidth="1"/>
    <col min="6899" max="6899" width="21.42578125" bestFit="1" customWidth="1"/>
    <col min="6900" max="6902" width="15.42578125" bestFit="1" customWidth="1"/>
    <col min="6903" max="6903" width="8.85546875" bestFit="1" customWidth="1"/>
    <col min="6904" max="6904" width="10" bestFit="1" customWidth="1"/>
    <col min="6905" max="6905" width="12.7109375" bestFit="1" customWidth="1"/>
    <col min="6906" max="6906" width="8.85546875" bestFit="1" customWidth="1"/>
    <col min="6907" max="6907" width="17.7109375" bestFit="1" customWidth="1"/>
    <col min="6908" max="6908" width="13" bestFit="1" customWidth="1"/>
    <col min="6909" max="6909" width="13.42578125" bestFit="1" customWidth="1"/>
    <col min="6910" max="6910" width="10.85546875" bestFit="1" customWidth="1"/>
    <col min="6911" max="6911" width="26.85546875" bestFit="1" customWidth="1"/>
    <col min="6912" max="6912" width="20.85546875" bestFit="1" customWidth="1"/>
    <col min="6913" max="6913" width="30.42578125" bestFit="1" customWidth="1"/>
    <col min="6914" max="6914" width="19.42578125" bestFit="1" customWidth="1"/>
    <col min="6915" max="6915" width="20.28515625" bestFit="1" customWidth="1"/>
    <col min="6916" max="6917" width="12" bestFit="1" customWidth="1"/>
    <col min="6918" max="6919" width="12.5703125" bestFit="1" customWidth="1"/>
    <col min="6920" max="6920" width="11.7109375" bestFit="1" customWidth="1"/>
    <col min="6921" max="6921" width="19" bestFit="1" customWidth="1"/>
    <col min="6922" max="6922" width="12.140625" bestFit="1" customWidth="1"/>
    <col min="7152" max="7152" width="15" bestFit="1" customWidth="1"/>
    <col min="7153" max="7153" width="68.28515625" bestFit="1" customWidth="1"/>
    <col min="7154" max="7154" width="9.140625" bestFit="1" customWidth="1"/>
    <col min="7155" max="7155" width="21.42578125" bestFit="1" customWidth="1"/>
    <col min="7156" max="7158" width="15.42578125" bestFit="1" customWidth="1"/>
    <col min="7159" max="7159" width="8.85546875" bestFit="1" customWidth="1"/>
    <col min="7160" max="7160" width="10" bestFit="1" customWidth="1"/>
    <col min="7161" max="7161" width="12.7109375" bestFit="1" customWidth="1"/>
    <col min="7162" max="7162" width="8.85546875" bestFit="1" customWidth="1"/>
    <col min="7163" max="7163" width="17.7109375" bestFit="1" customWidth="1"/>
    <col min="7164" max="7164" width="13" bestFit="1" customWidth="1"/>
    <col min="7165" max="7165" width="13.42578125" bestFit="1" customWidth="1"/>
    <col min="7166" max="7166" width="10.85546875" bestFit="1" customWidth="1"/>
    <col min="7167" max="7167" width="26.85546875" bestFit="1" customWidth="1"/>
    <col min="7168" max="7168" width="20.85546875" bestFit="1" customWidth="1"/>
    <col min="7169" max="7169" width="30.42578125" bestFit="1" customWidth="1"/>
    <col min="7170" max="7170" width="19.42578125" bestFit="1" customWidth="1"/>
    <col min="7171" max="7171" width="20.28515625" bestFit="1" customWidth="1"/>
    <col min="7172" max="7173" width="12" bestFit="1" customWidth="1"/>
    <col min="7174" max="7175" width="12.5703125" bestFit="1" customWidth="1"/>
    <col min="7176" max="7176" width="11.7109375" bestFit="1" customWidth="1"/>
    <col min="7177" max="7177" width="19" bestFit="1" customWidth="1"/>
    <col min="7178" max="7178" width="12.140625" bestFit="1" customWidth="1"/>
    <col min="7408" max="7408" width="15" bestFit="1" customWidth="1"/>
    <col min="7409" max="7409" width="68.28515625" bestFit="1" customWidth="1"/>
    <col min="7410" max="7410" width="9.140625" bestFit="1" customWidth="1"/>
    <col min="7411" max="7411" width="21.42578125" bestFit="1" customWidth="1"/>
    <col min="7412" max="7414" width="15.42578125" bestFit="1" customWidth="1"/>
    <col min="7415" max="7415" width="8.85546875" bestFit="1" customWidth="1"/>
    <col min="7416" max="7416" width="10" bestFit="1" customWidth="1"/>
    <col min="7417" max="7417" width="12.7109375" bestFit="1" customWidth="1"/>
    <col min="7418" max="7418" width="8.85546875" bestFit="1" customWidth="1"/>
    <col min="7419" max="7419" width="17.7109375" bestFit="1" customWidth="1"/>
    <col min="7420" max="7420" width="13" bestFit="1" customWidth="1"/>
    <col min="7421" max="7421" width="13.42578125" bestFit="1" customWidth="1"/>
    <col min="7422" max="7422" width="10.85546875" bestFit="1" customWidth="1"/>
    <col min="7423" max="7423" width="26.85546875" bestFit="1" customWidth="1"/>
    <col min="7424" max="7424" width="20.85546875" bestFit="1" customWidth="1"/>
    <col min="7425" max="7425" width="30.42578125" bestFit="1" customWidth="1"/>
    <col min="7426" max="7426" width="19.42578125" bestFit="1" customWidth="1"/>
    <col min="7427" max="7427" width="20.28515625" bestFit="1" customWidth="1"/>
    <col min="7428" max="7429" width="12" bestFit="1" customWidth="1"/>
    <col min="7430" max="7431" width="12.5703125" bestFit="1" customWidth="1"/>
    <col min="7432" max="7432" width="11.7109375" bestFit="1" customWidth="1"/>
    <col min="7433" max="7433" width="19" bestFit="1" customWidth="1"/>
    <col min="7434" max="7434" width="12.140625" bestFit="1" customWidth="1"/>
    <col min="7664" max="7664" width="15" bestFit="1" customWidth="1"/>
    <col min="7665" max="7665" width="68.28515625" bestFit="1" customWidth="1"/>
    <col min="7666" max="7666" width="9.140625" bestFit="1" customWidth="1"/>
    <col min="7667" max="7667" width="21.42578125" bestFit="1" customWidth="1"/>
    <col min="7668" max="7670" width="15.42578125" bestFit="1" customWidth="1"/>
    <col min="7671" max="7671" width="8.85546875" bestFit="1" customWidth="1"/>
    <col min="7672" max="7672" width="10" bestFit="1" customWidth="1"/>
    <col min="7673" max="7673" width="12.7109375" bestFit="1" customWidth="1"/>
    <col min="7674" max="7674" width="8.85546875" bestFit="1" customWidth="1"/>
    <col min="7675" max="7675" width="17.7109375" bestFit="1" customWidth="1"/>
    <col min="7676" max="7676" width="13" bestFit="1" customWidth="1"/>
    <col min="7677" max="7677" width="13.42578125" bestFit="1" customWidth="1"/>
    <col min="7678" max="7678" width="10.85546875" bestFit="1" customWidth="1"/>
    <col min="7679" max="7679" width="26.85546875" bestFit="1" customWidth="1"/>
    <col min="7680" max="7680" width="20.85546875" bestFit="1" customWidth="1"/>
    <col min="7681" max="7681" width="30.42578125" bestFit="1" customWidth="1"/>
    <col min="7682" max="7682" width="19.42578125" bestFit="1" customWidth="1"/>
    <col min="7683" max="7683" width="20.28515625" bestFit="1" customWidth="1"/>
    <col min="7684" max="7685" width="12" bestFit="1" customWidth="1"/>
    <col min="7686" max="7687" width="12.5703125" bestFit="1" customWidth="1"/>
    <col min="7688" max="7688" width="11.7109375" bestFit="1" customWidth="1"/>
    <col min="7689" max="7689" width="19" bestFit="1" customWidth="1"/>
    <col min="7690" max="7690" width="12.140625" bestFit="1" customWidth="1"/>
    <col min="7920" max="7920" width="15" bestFit="1" customWidth="1"/>
    <col min="7921" max="7921" width="68.28515625" bestFit="1" customWidth="1"/>
    <col min="7922" max="7922" width="9.140625" bestFit="1" customWidth="1"/>
    <col min="7923" max="7923" width="21.42578125" bestFit="1" customWidth="1"/>
    <col min="7924" max="7926" width="15.42578125" bestFit="1" customWidth="1"/>
    <col min="7927" max="7927" width="8.85546875" bestFit="1" customWidth="1"/>
    <col min="7928" max="7928" width="10" bestFit="1" customWidth="1"/>
    <col min="7929" max="7929" width="12.7109375" bestFit="1" customWidth="1"/>
    <col min="7930" max="7930" width="8.85546875" bestFit="1" customWidth="1"/>
    <col min="7931" max="7931" width="17.7109375" bestFit="1" customWidth="1"/>
    <col min="7932" max="7932" width="13" bestFit="1" customWidth="1"/>
    <col min="7933" max="7933" width="13.42578125" bestFit="1" customWidth="1"/>
    <col min="7934" max="7934" width="10.85546875" bestFit="1" customWidth="1"/>
    <col min="7935" max="7935" width="26.85546875" bestFit="1" customWidth="1"/>
    <col min="7936" max="7936" width="20.85546875" bestFit="1" customWidth="1"/>
    <col min="7937" max="7937" width="30.42578125" bestFit="1" customWidth="1"/>
    <col min="7938" max="7938" width="19.42578125" bestFit="1" customWidth="1"/>
    <col min="7939" max="7939" width="20.28515625" bestFit="1" customWidth="1"/>
    <col min="7940" max="7941" width="12" bestFit="1" customWidth="1"/>
    <col min="7942" max="7943" width="12.5703125" bestFit="1" customWidth="1"/>
    <col min="7944" max="7944" width="11.7109375" bestFit="1" customWidth="1"/>
    <col min="7945" max="7945" width="19" bestFit="1" customWidth="1"/>
    <col min="7946" max="7946" width="12.140625" bestFit="1" customWidth="1"/>
    <col min="8176" max="8176" width="15" bestFit="1" customWidth="1"/>
    <col min="8177" max="8177" width="68.28515625" bestFit="1" customWidth="1"/>
    <col min="8178" max="8178" width="9.140625" bestFit="1" customWidth="1"/>
    <col min="8179" max="8179" width="21.42578125" bestFit="1" customWidth="1"/>
    <col min="8180" max="8182" width="15.42578125" bestFit="1" customWidth="1"/>
    <col min="8183" max="8183" width="8.85546875" bestFit="1" customWidth="1"/>
    <col min="8184" max="8184" width="10" bestFit="1" customWidth="1"/>
    <col min="8185" max="8185" width="12.7109375" bestFit="1" customWidth="1"/>
    <col min="8186" max="8186" width="8.85546875" bestFit="1" customWidth="1"/>
    <col min="8187" max="8187" width="17.7109375" bestFit="1" customWidth="1"/>
    <col min="8188" max="8188" width="13" bestFit="1" customWidth="1"/>
    <col min="8189" max="8189" width="13.42578125" bestFit="1" customWidth="1"/>
    <col min="8190" max="8190" width="10.85546875" bestFit="1" customWidth="1"/>
    <col min="8191" max="8191" width="26.85546875" bestFit="1" customWidth="1"/>
    <col min="8192" max="8192" width="20.85546875" bestFit="1" customWidth="1"/>
    <col min="8193" max="8193" width="30.42578125" bestFit="1" customWidth="1"/>
    <col min="8194" max="8194" width="19.42578125" bestFit="1" customWidth="1"/>
    <col min="8195" max="8195" width="20.28515625" bestFit="1" customWidth="1"/>
    <col min="8196" max="8197" width="12" bestFit="1" customWidth="1"/>
    <col min="8198" max="8199" width="12.5703125" bestFit="1" customWidth="1"/>
    <col min="8200" max="8200" width="11.7109375" bestFit="1" customWidth="1"/>
    <col min="8201" max="8201" width="19" bestFit="1" customWidth="1"/>
    <col min="8202" max="8202" width="12.140625" bestFit="1" customWidth="1"/>
    <col min="8432" max="8432" width="15" bestFit="1" customWidth="1"/>
    <col min="8433" max="8433" width="68.28515625" bestFit="1" customWidth="1"/>
    <col min="8434" max="8434" width="9.140625" bestFit="1" customWidth="1"/>
    <col min="8435" max="8435" width="21.42578125" bestFit="1" customWidth="1"/>
    <col min="8436" max="8438" width="15.42578125" bestFit="1" customWidth="1"/>
    <col min="8439" max="8439" width="8.85546875" bestFit="1" customWidth="1"/>
    <col min="8440" max="8440" width="10" bestFit="1" customWidth="1"/>
    <col min="8441" max="8441" width="12.7109375" bestFit="1" customWidth="1"/>
    <col min="8442" max="8442" width="8.85546875" bestFit="1" customWidth="1"/>
    <col min="8443" max="8443" width="17.7109375" bestFit="1" customWidth="1"/>
    <col min="8444" max="8444" width="13" bestFit="1" customWidth="1"/>
    <col min="8445" max="8445" width="13.42578125" bestFit="1" customWidth="1"/>
    <col min="8446" max="8446" width="10.85546875" bestFit="1" customWidth="1"/>
    <col min="8447" max="8447" width="26.85546875" bestFit="1" customWidth="1"/>
    <col min="8448" max="8448" width="20.85546875" bestFit="1" customWidth="1"/>
    <col min="8449" max="8449" width="30.42578125" bestFit="1" customWidth="1"/>
    <col min="8450" max="8450" width="19.42578125" bestFit="1" customWidth="1"/>
    <col min="8451" max="8451" width="20.28515625" bestFit="1" customWidth="1"/>
    <col min="8452" max="8453" width="12" bestFit="1" customWidth="1"/>
    <col min="8454" max="8455" width="12.5703125" bestFit="1" customWidth="1"/>
    <col min="8456" max="8456" width="11.7109375" bestFit="1" customWidth="1"/>
    <col min="8457" max="8457" width="19" bestFit="1" customWidth="1"/>
    <col min="8458" max="8458" width="12.140625" bestFit="1" customWidth="1"/>
    <col min="8688" max="8688" width="15" bestFit="1" customWidth="1"/>
    <col min="8689" max="8689" width="68.28515625" bestFit="1" customWidth="1"/>
    <col min="8690" max="8690" width="9.140625" bestFit="1" customWidth="1"/>
    <col min="8691" max="8691" width="21.42578125" bestFit="1" customWidth="1"/>
    <col min="8692" max="8694" width="15.42578125" bestFit="1" customWidth="1"/>
    <col min="8695" max="8695" width="8.85546875" bestFit="1" customWidth="1"/>
    <col min="8696" max="8696" width="10" bestFit="1" customWidth="1"/>
    <col min="8697" max="8697" width="12.7109375" bestFit="1" customWidth="1"/>
    <col min="8698" max="8698" width="8.85546875" bestFit="1" customWidth="1"/>
    <col min="8699" max="8699" width="17.7109375" bestFit="1" customWidth="1"/>
    <col min="8700" max="8700" width="13" bestFit="1" customWidth="1"/>
    <col min="8701" max="8701" width="13.42578125" bestFit="1" customWidth="1"/>
    <col min="8702" max="8702" width="10.85546875" bestFit="1" customWidth="1"/>
    <col min="8703" max="8703" width="26.85546875" bestFit="1" customWidth="1"/>
    <col min="8704" max="8704" width="20.85546875" bestFit="1" customWidth="1"/>
    <col min="8705" max="8705" width="30.42578125" bestFit="1" customWidth="1"/>
    <col min="8706" max="8706" width="19.42578125" bestFit="1" customWidth="1"/>
    <col min="8707" max="8707" width="20.28515625" bestFit="1" customWidth="1"/>
    <col min="8708" max="8709" width="12" bestFit="1" customWidth="1"/>
    <col min="8710" max="8711" width="12.5703125" bestFit="1" customWidth="1"/>
    <col min="8712" max="8712" width="11.7109375" bestFit="1" customWidth="1"/>
    <col min="8713" max="8713" width="19" bestFit="1" customWidth="1"/>
    <col min="8714" max="8714" width="12.140625" bestFit="1" customWidth="1"/>
    <col min="8944" max="8944" width="15" bestFit="1" customWidth="1"/>
    <col min="8945" max="8945" width="68.28515625" bestFit="1" customWidth="1"/>
    <col min="8946" max="8946" width="9.140625" bestFit="1" customWidth="1"/>
    <col min="8947" max="8947" width="21.42578125" bestFit="1" customWidth="1"/>
    <col min="8948" max="8950" width="15.42578125" bestFit="1" customWidth="1"/>
    <col min="8951" max="8951" width="8.85546875" bestFit="1" customWidth="1"/>
    <col min="8952" max="8952" width="10" bestFit="1" customWidth="1"/>
    <col min="8953" max="8953" width="12.7109375" bestFit="1" customWidth="1"/>
    <col min="8954" max="8954" width="8.85546875" bestFit="1" customWidth="1"/>
    <col min="8955" max="8955" width="17.7109375" bestFit="1" customWidth="1"/>
    <col min="8956" max="8956" width="13" bestFit="1" customWidth="1"/>
    <col min="8957" max="8957" width="13.42578125" bestFit="1" customWidth="1"/>
    <col min="8958" max="8958" width="10.85546875" bestFit="1" customWidth="1"/>
    <col min="8959" max="8959" width="26.85546875" bestFit="1" customWidth="1"/>
    <col min="8960" max="8960" width="20.85546875" bestFit="1" customWidth="1"/>
    <col min="8961" max="8961" width="30.42578125" bestFit="1" customWidth="1"/>
    <col min="8962" max="8962" width="19.42578125" bestFit="1" customWidth="1"/>
    <col min="8963" max="8963" width="20.28515625" bestFit="1" customWidth="1"/>
    <col min="8964" max="8965" width="12" bestFit="1" customWidth="1"/>
    <col min="8966" max="8967" width="12.5703125" bestFit="1" customWidth="1"/>
    <col min="8968" max="8968" width="11.7109375" bestFit="1" customWidth="1"/>
    <col min="8969" max="8969" width="19" bestFit="1" customWidth="1"/>
    <col min="8970" max="8970" width="12.140625" bestFit="1" customWidth="1"/>
    <col min="9200" max="9200" width="15" bestFit="1" customWidth="1"/>
    <col min="9201" max="9201" width="68.28515625" bestFit="1" customWidth="1"/>
    <col min="9202" max="9202" width="9.140625" bestFit="1" customWidth="1"/>
    <col min="9203" max="9203" width="21.42578125" bestFit="1" customWidth="1"/>
    <col min="9204" max="9206" width="15.42578125" bestFit="1" customWidth="1"/>
    <col min="9207" max="9207" width="8.85546875" bestFit="1" customWidth="1"/>
    <col min="9208" max="9208" width="10" bestFit="1" customWidth="1"/>
    <col min="9209" max="9209" width="12.7109375" bestFit="1" customWidth="1"/>
    <col min="9210" max="9210" width="8.85546875" bestFit="1" customWidth="1"/>
    <col min="9211" max="9211" width="17.7109375" bestFit="1" customWidth="1"/>
    <col min="9212" max="9212" width="13" bestFit="1" customWidth="1"/>
    <col min="9213" max="9213" width="13.42578125" bestFit="1" customWidth="1"/>
    <col min="9214" max="9214" width="10.85546875" bestFit="1" customWidth="1"/>
    <col min="9215" max="9215" width="26.85546875" bestFit="1" customWidth="1"/>
    <col min="9216" max="9216" width="20.85546875" bestFit="1" customWidth="1"/>
    <col min="9217" max="9217" width="30.42578125" bestFit="1" customWidth="1"/>
    <col min="9218" max="9218" width="19.42578125" bestFit="1" customWidth="1"/>
    <col min="9219" max="9219" width="20.28515625" bestFit="1" customWidth="1"/>
    <col min="9220" max="9221" width="12" bestFit="1" customWidth="1"/>
    <col min="9222" max="9223" width="12.5703125" bestFit="1" customWidth="1"/>
    <col min="9224" max="9224" width="11.7109375" bestFit="1" customWidth="1"/>
    <col min="9225" max="9225" width="19" bestFit="1" customWidth="1"/>
    <col min="9226" max="9226" width="12.140625" bestFit="1" customWidth="1"/>
    <col min="9456" max="9456" width="15" bestFit="1" customWidth="1"/>
    <col min="9457" max="9457" width="68.28515625" bestFit="1" customWidth="1"/>
    <col min="9458" max="9458" width="9.140625" bestFit="1" customWidth="1"/>
    <col min="9459" max="9459" width="21.42578125" bestFit="1" customWidth="1"/>
    <col min="9460" max="9462" width="15.42578125" bestFit="1" customWidth="1"/>
    <col min="9463" max="9463" width="8.85546875" bestFit="1" customWidth="1"/>
    <col min="9464" max="9464" width="10" bestFit="1" customWidth="1"/>
    <col min="9465" max="9465" width="12.7109375" bestFit="1" customWidth="1"/>
    <col min="9466" max="9466" width="8.85546875" bestFit="1" customWidth="1"/>
    <col min="9467" max="9467" width="17.7109375" bestFit="1" customWidth="1"/>
    <col min="9468" max="9468" width="13" bestFit="1" customWidth="1"/>
    <col min="9469" max="9469" width="13.42578125" bestFit="1" customWidth="1"/>
    <col min="9470" max="9470" width="10.85546875" bestFit="1" customWidth="1"/>
    <col min="9471" max="9471" width="26.85546875" bestFit="1" customWidth="1"/>
    <col min="9472" max="9472" width="20.85546875" bestFit="1" customWidth="1"/>
    <col min="9473" max="9473" width="30.42578125" bestFit="1" customWidth="1"/>
    <col min="9474" max="9474" width="19.42578125" bestFit="1" customWidth="1"/>
    <col min="9475" max="9475" width="20.28515625" bestFit="1" customWidth="1"/>
    <col min="9476" max="9477" width="12" bestFit="1" customWidth="1"/>
    <col min="9478" max="9479" width="12.5703125" bestFit="1" customWidth="1"/>
    <col min="9480" max="9480" width="11.7109375" bestFit="1" customWidth="1"/>
    <col min="9481" max="9481" width="19" bestFit="1" customWidth="1"/>
    <col min="9482" max="9482" width="12.140625" bestFit="1" customWidth="1"/>
    <col min="9712" max="9712" width="15" bestFit="1" customWidth="1"/>
    <col min="9713" max="9713" width="68.28515625" bestFit="1" customWidth="1"/>
    <col min="9714" max="9714" width="9.140625" bestFit="1" customWidth="1"/>
    <col min="9715" max="9715" width="21.42578125" bestFit="1" customWidth="1"/>
    <col min="9716" max="9718" width="15.42578125" bestFit="1" customWidth="1"/>
    <col min="9719" max="9719" width="8.85546875" bestFit="1" customWidth="1"/>
    <col min="9720" max="9720" width="10" bestFit="1" customWidth="1"/>
    <col min="9721" max="9721" width="12.7109375" bestFit="1" customWidth="1"/>
    <col min="9722" max="9722" width="8.85546875" bestFit="1" customWidth="1"/>
    <col min="9723" max="9723" width="17.7109375" bestFit="1" customWidth="1"/>
    <col min="9724" max="9724" width="13" bestFit="1" customWidth="1"/>
    <col min="9725" max="9725" width="13.42578125" bestFit="1" customWidth="1"/>
    <col min="9726" max="9726" width="10.85546875" bestFit="1" customWidth="1"/>
    <col min="9727" max="9727" width="26.85546875" bestFit="1" customWidth="1"/>
    <col min="9728" max="9728" width="20.85546875" bestFit="1" customWidth="1"/>
    <col min="9729" max="9729" width="30.42578125" bestFit="1" customWidth="1"/>
    <col min="9730" max="9730" width="19.42578125" bestFit="1" customWidth="1"/>
    <col min="9731" max="9731" width="20.28515625" bestFit="1" customWidth="1"/>
    <col min="9732" max="9733" width="12" bestFit="1" customWidth="1"/>
    <col min="9734" max="9735" width="12.5703125" bestFit="1" customWidth="1"/>
    <col min="9736" max="9736" width="11.7109375" bestFit="1" customWidth="1"/>
    <col min="9737" max="9737" width="19" bestFit="1" customWidth="1"/>
    <col min="9738" max="9738" width="12.140625" bestFit="1" customWidth="1"/>
    <col min="9968" max="9968" width="15" bestFit="1" customWidth="1"/>
    <col min="9969" max="9969" width="68.28515625" bestFit="1" customWidth="1"/>
    <col min="9970" max="9970" width="9.140625" bestFit="1" customWidth="1"/>
    <col min="9971" max="9971" width="21.42578125" bestFit="1" customWidth="1"/>
    <col min="9972" max="9974" width="15.42578125" bestFit="1" customWidth="1"/>
    <col min="9975" max="9975" width="8.85546875" bestFit="1" customWidth="1"/>
    <col min="9976" max="9976" width="10" bestFit="1" customWidth="1"/>
    <col min="9977" max="9977" width="12.7109375" bestFit="1" customWidth="1"/>
    <col min="9978" max="9978" width="8.85546875" bestFit="1" customWidth="1"/>
    <col min="9979" max="9979" width="17.7109375" bestFit="1" customWidth="1"/>
    <col min="9980" max="9980" width="13" bestFit="1" customWidth="1"/>
    <col min="9981" max="9981" width="13.42578125" bestFit="1" customWidth="1"/>
    <col min="9982" max="9982" width="10.85546875" bestFit="1" customWidth="1"/>
    <col min="9983" max="9983" width="26.85546875" bestFit="1" customWidth="1"/>
    <col min="9984" max="9984" width="20.85546875" bestFit="1" customWidth="1"/>
    <col min="9985" max="9985" width="30.42578125" bestFit="1" customWidth="1"/>
    <col min="9986" max="9986" width="19.42578125" bestFit="1" customWidth="1"/>
    <col min="9987" max="9987" width="20.28515625" bestFit="1" customWidth="1"/>
    <col min="9988" max="9989" width="12" bestFit="1" customWidth="1"/>
    <col min="9990" max="9991" width="12.5703125" bestFit="1" customWidth="1"/>
    <col min="9992" max="9992" width="11.7109375" bestFit="1" customWidth="1"/>
    <col min="9993" max="9993" width="19" bestFit="1" customWidth="1"/>
    <col min="9994" max="9994" width="12.140625" bestFit="1" customWidth="1"/>
    <col min="10224" max="10224" width="15" bestFit="1" customWidth="1"/>
    <col min="10225" max="10225" width="68.28515625" bestFit="1" customWidth="1"/>
    <col min="10226" max="10226" width="9.140625" bestFit="1" customWidth="1"/>
    <col min="10227" max="10227" width="21.42578125" bestFit="1" customWidth="1"/>
    <col min="10228" max="10230" width="15.42578125" bestFit="1" customWidth="1"/>
    <col min="10231" max="10231" width="8.85546875" bestFit="1" customWidth="1"/>
    <col min="10232" max="10232" width="10" bestFit="1" customWidth="1"/>
    <col min="10233" max="10233" width="12.7109375" bestFit="1" customWidth="1"/>
    <col min="10234" max="10234" width="8.85546875" bestFit="1" customWidth="1"/>
    <col min="10235" max="10235" width="17.7109375" bestFit="1" customWidth="1"/>
    <col min="10236" max="10236" width="13" bestFit="1" customWidth="1"/>
    <col min="10237" max="10237" width="13.42578125" bestFit="1" customWidth="1"/>
    <col min="10238" max="10238" width="10.85546875" bestFit="1" customWidth="1"/>
    <col min="10239" max="10239" width="26.85546875" bestFit="1" customWidth="1"/>
    <col min="10240" max="10240" width="20.85546875" bestFit="1" customWidth="1"/>
    <col min="10241" max="10241" width="30.42578125" bestFit="1" customWidth="1"/>
    <col min="10242" max="10242" width="19.42578125" bestFit="1" customWidth="1"/>
    <col min="10243" max="10243" width="20.28515625" bestFit="1" customWidth="1"/>
    <col min="10244" max="10245" width="12" bestFit="1" customWidth="1"/>
    <col min="10246" max="10247" width="12.5703125" bestFit="1" customWidth="1"/>
    <col min="10248" max="10248" width="11.7109375" bestFit="1" customWidth="1"/>
    <col min="10249" max="10249" width="19" bestFit="1" customWidth="1"/>
    <col min="10250" max="10250" width="12.140625" bestFit="1" customWidth="1"/>
    <col min="10480" max="10480" width="15" bestFit="1" customWidth="1"/>
    <col min="10481" max="10481" width="68.28515625" bestFit="1" customWidth="1"/>
    <col min="10482" max="10482" width="9.140625" bestFit="1" customWidth="1"/>
    <col min="10483" max="10483" width="21.42578125" bestFit="1" customWidth="1"/>
    <col min="10484" max="10486" width="15.42578125" bestFit="1" customWidth="1"/>
    <col min="10487" max="10487" width="8.85546875" bestFit="1" customWidth="1"/>
    <col min="10488" max="10488" width="10" bestFit="1" customWidth="1"/>
    <col min="10489" max="10489" width="12.7109375" bestFit="1" customWidth="1"/>
    <col min="10490" max="10490" width="8.85546875" bestFit="1" customWidth="1"/>
    <col min="10491" max="10491" width="17.7109375" bestFit="1" customWidth="1"/>
    <col min="10492" max="10492" width="13" bestFit="1" customWidth="1"/>
    <col min="10493" max="10493" width="13.42578125" bestFit="1" customWidth="1"/>
    <col min="10494" max="10494" width="10.85546875" bestFit="1" customWidth="1"/>
    <col min="10495" max="10495" width="26.85546875" bestFit="1" customWidth="1"/>
    <col min="10496" max="10496" width="20.85546875" bestFit="1" customWidth="1"/>
    <col min="10497" max="10497" width="30.42578125" bestFit="1" customWidth="1"/>
    <col min="10498" max="10498" width="19.42578125" bestFit="1" customWidth="1"/>
    <col min="10499" max="10499" width="20.28515625" bestFit="1" customWidth="1"/>
    <col min="10500" max="10501" width="12" bestFit="1" customWidth="1"/>
    <col min="10502" max="10503" width="12.5703125" bestFit="1" customWidth="1"/>
    <col min="10504" max="10504" width="11.7109375" bestFit="1" customWidth="1"/>
    <col min="10505" max="10505" width="19" bestFit="1" customWidth="1"/>
    <col min="10506" max="10506" width="12.140625" bestFit="1" customWidth="1"/>
    <col min="10736" max="10736" width="15" bestFit="1" customWidth="1"/>
    <col min="10737" max="10737" width="68.28515625" bestFit="1" customWidth="1"/>
    <col min="10738" max="10738" width="9.140625" bestFit="1" customWidth="1"/>
    <col min="10739" max="10739" width="21.42578125" bestFit="1" customWidth="1"/>
    <col min="10740" max="10742" width="15.42578125" bestFit="1" customWidth="1"/>
    <col min="10743" max="10743" width="8.85546875" bestFit="1" customWidth="1"/>
    <col min="10744" max="10744" width="10" bestFit="1" customWidth="1"/>
    <col min="10745" max="10745" width="12.7109375" bestFit="1" customWidth="1"/>
    <col min="10746" max="10746" width="8.85546875" bestFit="1" customWidth="1"/>
    <col min="10747" max="10747" width="17.7109375" bestFit="1" customWidth="1"/>
    <col min="10748" max="10748" width="13" bestFit="1" customWidth="1"/>
    <col min="10749" max="10749" width="13.42578125" bestFit="1" customWidth="1"/>
    <col min="10750" max="10750" width="10.85546875" bestFit="1" customWidth="1"/>
    <col min="10751" max="10751" width="26.85546875" bestFit="1" customWidth="1"/>
    <col min="10752" max="10752" width="20.85546875" bestFit="1" customWidth="1"/>
    <col min="10753" max="10753" width="30.42578125" bestFit="1" customWidth="1"/>
    <col min="10754" max="10754" width="19.42578125" bestFit="1" customWidth="1"/>
    <col min="10755" max="10755" width="20.28515625" bestFit="1" customWidth="1"/>
    <col min="10756" max="10757" width="12" bestFit="1" customWidth="1"/>
    <col min="10758" max="10759" width="12.5703125" bestFit="1" customWidth="1"/>
    <col min="10760" max="10760" width="11.7109375" bestFit="1" customWidth="1"/>
    <col min="10761" max="10761" width="19" bestFit="1" customWidth="1"/>
    <col min="10762" max="10762" width="12.140625" bestFit="1" customWidth="1"/>
    <col min="10992" max="10992" width="15" bestFit="1" customWidth="1"/>
    <col min="10993" max="10993" width="68.28515625" bestFit="1" customWidth="1"/>
    <col min="10994" max="10994" width="9.140625" bestFit="1" customWidth="1"/>
    <col min="10995" max="10995" width="21.42578125" bestFit="1" customWidth="1"/>
    <col min="10996" max="10998" width="15.42578125" bestFit="1" customWidth="1"/>
    <col min="10999" max="10999" width="8.85546875" bestFit="1" customWidth="1"/>
    <col min="11000" max="11000" width="10" bestFit="1" customWidth="1"/>
    <col min="11001" max="11001" width="12.7109375" bestFit="1" customWidth="1"/>
    <col min="11002" max="11002" width="8.85546875" bestFit="1" customWidth="1"/>
    <col min="11003" max="11003" width="17.7109375" bestFit="1" customWidth="1"/>
    <col min="11004" max="11004" width="13" bestFit="1" customWidth="1"/>
    <col min="11005" max="11005" width="13.42578125" bestFit="1" customWidth="1"/>
    <col min="11006" max="11006" width="10.85546875" bestFit="1" customWidth="1"/>
    <col min="11007" max="11007" width="26.85546875" bestFit="1" customWidth="1"/>
    <col min="11008" max="11008" width="20.85546875" bestFit="1" customWidth="1"/>
    <col min="11009" max="11009" width="30.42578125" bestFit="1" customWidth="1"/>
    <col min="11010" max="11010" width="19.42578125" bestFit="1" customWidth="1"/>
    <col min="11011" max="11011" width="20.28515625" bestFit="1" customWidth="1"/>
    <col min="11012" max="11013" width="12" bestFit="1" customWidth="1"/>
    <col min="11014" max="11015" width="12.5703125" bestFit="1" customWidth="1"/>
    <col min="11016" max="11016" width="11.7109375" bestFit="1" customWidth="1"/>
    <col min="11017" max="11017" width="19" bestFit="1" customWidth="1"/>
    <col min="11018" max="11018" width="12.140625" bestFit="1" customWidth="1"/>
    <col min="11248" max="11248" width="15" bestFit="1" customWidth="1"/>
    <col min="11249" max="11249" width="68.28515625" bestFit="1" customWidth="1"/>
    <col min="11250" max="11250" width="9.140625" bestFit="1" customWidth="1"/>
    <col min="11251" max="11251" width="21.42578125" bestFit="1" customWidth="1"/>
    <col min="11252" max="11254" width="15.42578125" bestFit="1" customWidth="1"/>
    <col min="11255" max="11255" width="8.85546875" bestFit="1" customWidth="1"/>
    <col min="11256" max="11256" width="10" bestFit="1" customWidth="1"/>
    <col min="11257" max="11257" width="12.7109375" bestFit="1" customWidth="1"/>
    <col min="11258" max="11258" width="8.85546875" bestFit="1" customWidth="1"/>
    <col min="11259" max="11259" width="17.7109375" bestFit="1" customWidth="1"/>
    <col min="11260" max="11260" width="13" bestFit="1" customWidth="1"/>
    <col min="11261" max="11261" width="13.42578125" bestFit="1" customWidth="1"/>
    <col min="11262" max="11262" width="10.85546875" bestFit="1" customWidth="1"/>
    <col min="11263" max="11263" width="26.85546875" bestFit="1" customWidth="1"/>
    <col min="11264" max="11264" width="20.85546875" bestFit="1" customWidth="1"/>
    <col min="11265" max="11265" width="30.42578125" bestFit="1" customWidth="1"/>
    <col min="11266" max="11266" width="19.42578125" bestFit="1" customWidth="1"/>
    <col min="11267" max="11267" width="20.28515625" bestFit="1" customWidth="1"/>
    <col min="11268" max="11269" width="12" bestFit="1" customWidth="1"/>
    <col min="11270" max="11271" width="12.5703125" bestFit="1" customWidth="1"/>
    <col min="11272" max="11272" width="11.7109375" bestFit="1" customWidth="1"/>
    <col min="11273" max="11273" width="19" bestFit="1" customWidth="1"/>
    <col min="11274" max="11274" width="12.140625" bestFit="1" customWidth="1"/>
    <col min="11504" max="11504" width="15" bestFit="1" customWidth="1"/>
    <col min="11505" max="11505" width="68.28515625" bestFit="1" customWidth="1"/>
    <col min="11506" max="11506" width="9.140625" bestFit="1" customWidth="1"/>
    <col min="11507" max="11507" width="21.42578125" bestFit="1" customWidth="1"/>
    <col min="11508" max="11510" width="15.42578125" bestFit="1" customWidth="1"/>
    <col min="11511" max="11511" width="8.85546875" bestFit="1" customWidth="1"/>
    <col min="11512" max="11512" width="10" bestFit="1" customWidth="1"/>
    <col min="11513" max="11513" width="12.7109375" bestFit="1" customWidth="1"/>
    <col min="11514" max="11514" width="8.85546875" bestFit="1" customWidth="1"/>
    <col min="11515" max="11515" width="17.7109375" bestFit="1" customWidth="1"/>
    <col min="11516" max="11516" width="13" bestFit="1" customWidth="1"/>
    <col min="11517" max="11517" width="13.42578125" bestFit="1" customWidth="1"/>
    <col min="11518" max="11518" width="10.85546875" bestFit="1" customWidth="1"/>
    <col min="11519" max="11519" width="26.85546875" bestFit="1" customWidth="1"/>
    <col min="11520" max="11520" width="20.85546875" bestFit="1" customWidth="1"/>
    <col min="11521" max="11521" width="30.42578125" bestFit="1" customWidth="1"/>
    <col min="11522" max="11522" width="19.42578125" bestFit="1" customWidth="1"/>
    <col min="11523" max="11523" width="20.28515625" bestFit="1" customWidth="1"/>
    <col min="11524" max="11525" width="12" bestFit="1" customWidth="1"/>
    <col min="11526" max="11527" width="12.5703125" bestFit="1" customWidth="1"/>
    <col min="11528" max="11528" width="11.7109375" bestFit="1" customWidth="1"/>
    <col min="11529" max="11529" width="19" bestFit="1" customWidth="1"/>
    <col min="11530" max="11530" width="12.140625" bestFit="1" customWidth="1"/>
    <col min="11760" max="11760" width="15" bestFit="1" customWidth="1"/>
    <col min="11761" max="11761" width="68.28515625" bestFit="1" customWidth="1"/>
    <col min="11762" max="11762" width="9.140625" bestFit="1" customWidth="1"/>
    <col min="11763" max="11763" width="21.42578125" bestFit="1" customWidth="1"/>
    <col min="11764" max="11766" width="15.42578125" bestFit="1" customWidth="1"/>
    <col min="11767" max="11767" width="8.85546875" bestFit="1" customWidth="1"/>
    <col min="11768" max="11768" width="10" bestFit="1" customWidth="1"/>
    <col min="11769" max="11769" width="12.7109375" bestFit="1" customWidth="1"/>
    <col min="11770" max="11770" width="8.85546875" bestFit="1" customWidth="1"/>
    <col min="11771" max="11771" width="17.7109375" bestFit="1" customWidth="1"/>
    <col min="11772" max="11772" width="13" bestFit="1" customWidth="1"/>
    <col min="11773" max="11773" width="13.42578125" bestFit="1" customWidth="1"/>
    <col min="11774" max="11774" width="10.85546875" bestFit="1" customWidth="1"/>
    <col min="11775" max="11775" width="26.85546875" bestFit="1" customWidth="1"/>
    <col min="11776" max="11776" width="20.85546875" bestFit="1" customWidth="1"/>
    <col min="11777" max="11777" width="30.42578125" bestFit="1" customWidth="1"/>
    <col min="11778" max="11778" width="19.42578125" bestFit="1" customWidth="1"/>
    <col min="11779" max="11779" width="20.28515625" bestFit="1" customWidth="1"/>
    <col min="11780" max="11781" width="12" bestFit="1" customWidth="1"/>
    <col min="11782" max="11783" width="12.5703125" bestFit="1" customWidth="1"/>
    <col min="11784" max="11784" width="11.7109375" bestFit="1" customWidth="1"/>
    <col min="11785" max="11785" width="19" bestFit="1" customWidth="1"/>
    <col min="11786" max="11786" width="12.140625" bestFit="1" customWidth="1"/>
    <col min="12016" max="12016" width="15" bestFit="1" customWidth="1"/>
    <col min="12017" max="12017" width="68.28515625" bestFit="1" customWidth="1"/>
    <col min="12018" max="12018" width="9.140625" bestFit="1" customWidth="1"/>
    <col min="12019" max="12019" width="21.42578125" bestFit="1" customWidth="1"/>
    <col min="12020" max="12022" width="15.42578125" bestFit="1" customWidth="1"/>
    <col min="12023" max="12023" width="8.85546875" bestFit="1" customWidth="1"/>
    <col min="12024" max="12024" width="10" bestFit="1" customWidth="1"/>
    <col min="12025" max="12025" width="12.7109375" bestFit="1" customWidth="1"/>
    <col min="12026" max="12026" width="8.85546875" bestFit="1" customWidth="1"/>
    <col min="12027" max="12027" width="17.7109375" bestFit="1" customWidth="1"/>
    <col min="12028" max="12028" width="13" bestFit="1" customWidth="1"/>
    <col min="12029" max="12029" width="13.42578125" bestFit="1" customWidth="1"/>
    <col min="12030" max="12030" width="10.85546875" bestFit="1" customWidth="1"/>
    <col min="12031" max="12031" width="26.85546875" bestFit="1" customWidth="1"/>
    <col min="12032" max="12032" width="20.85546875" bestFit="1" customWidth="1"/>
    <col min="12033" max="12033" width="30.42578125" bestFit="1" customWidth="1"/>
    <col min="12034" max="12034" width="19.42578125" bestFit="1" customWidth="1"/>
    <col min="12035" max="12035" width="20.28515625" bestFit="1" customWidth="1"/>
    <col min="12036" max="12037" width="12" bestFit="1" customWidth="1"/>
    <col min="12038" max="12039" width="12.5703125" bestFit="1" customWidth="1"/>
    <col min="12040" max="12040" width="11.7109375" bestFit="1" customWidth="1"/>
    <col min="12041" max="12041" width="19" bestFit="1" customWidth="1"/>
    <col min="12042" max="12042" width="12.140625" bestFit="1" customWidth="1"/>
    <col min="12272" max="12272" width="15" bestFit="1" customWidth="1"/>
    <col min="12273" max="12273" width="68.28515625" bestFit="1" customWidth="1"/>
    <col min="12274" max="12274" width="9.140625" bestFit="1" customWidth="1"/>
    <col min="12275" max="12275" width="21.42578125" bestFit="1" customWidth="1"/>
    <col min="12276" max="12278" width="15.42578125" bestFit="1" customWidth="1"/>
    <col min="12279" max="12279" width="8.85546875" bestFit="1" customWidth="1"/>
    <col min="12280" max="12280" width="10" bestFit="1" customWidth="1"/>
    <col min="12281" max="12281" width="12.7109375" bestFit="1" customWidth="1"/>
    <col min="12282" max="12282" width="8.85546875" bestFit="1" customWidth="1"/>
    <col min="12283" max="12283" width="17.7109375" bestFit="1" customWidth="1"/>
    <col min="12284" max="12284" width="13" bestFit="1" customWidth="1"/>
    <col min="12285" max="12285" width="13.42578125" bestFit="1" customWidth="1"/>
    <col min="12286" max="12286" width="10.85546875" bestFit="1" customWidth="1"/>
    <col min="12287" max="12287" width="26.85546875" bestFit="1" customWidth="1"/>
    <col min="12288" max="12288" width="20.85546875" bestFit="1" customWidth="1"/>
    <col min="12289" max="12289" width="30.42578125" bestFit="1" customWidth="1"/>
    <col min="12290" max="12290" width="19.42578125" bestFit="1" customWidth="1"/>
    <col min="12291" max="12291" width="20.28515625" bestFit="1" customWidth="1"/>
    <col min="12292" max="12293" width="12" bestFit="1" customWidth="1"/>
    <col min="12294" max="12295" width="12.5703125" bestFit="1" customWidth="1"/>
    <col min="12296" max="12296" width="11.7109375" bestFit="1" customWidth="1"/>
    <col min="12297" max="12297" width="19" bestFit="1" customWidth="1"/>
    <col min="12298" max="12298" width="12.140625" bestFit="1" customWidth="1"/>
    <col min="12528" max="12528" width="15" bestFit="1" customWidth="1"/>
    <col min="12529" max="12529" width="68.28515625" bestFit="1" customWidth="1"/>
    <col min="12530" max="12530" width="9.140625" bestFit="1" customWidth="1"/>
    <col min="12531" max="12531" width="21.42578125" bestFit="1" customWidth="1"/>
    <col min="12532" max="12534" width="15.42578125" bestFit="1" customWidth="1"/>
    <col min="12535" max="12535" width="8.85546875" bestFit="1" customWidth="1"/>
    <col min="12536" max="12536" width="10" bestFit="1" customWidth="1"/>
    <col min="12537" max="12537" width="12.7109375" bestFit="1" customWidth="1"/>
    <col min="12538" max="12538" width="8.85546875" bestFit="1" customWidth="1"/>
    <col min="12539" max="12539" width="17.7109375" bestFit="1" customWidth="1"/>
    <col min="12540" max="12540" width="13" bestFit="1" customWidth="1"/>
    <col min="12541" max="12541" width="13.42578125" bestFit="1" customWidth="1"/>
    <col min="12542" max="12542" width="10.85546875" bestFit="1" customWidth="1"/>
    <col min="12543" max="12543" width="26.85546875" bestFit="1" customWidth="1"/>
    <col min="12544" max="12544" width="20.85546875" bestFit="1" customWidth="1"/>
    <col min="12545" max="12545" width="30.42578125" bestFit="1" customWidth="1"/>
    <col min="12546" max="12546" width="19.42578125" bestFit="1" customWidth="1"/>
    <col min="12547" max="12547" width="20.28515625" bestFit="1" customWidth="1"/>
    <col min="12548" max="12549" width="12" bestFit="1" customWidth="1"/>
    <col min="12550" max="12551" width="12.5703125" bestFit="1" customWidth="1"/>
    <col min="12552" max="12552" width="11.7109375" bestFit="1" customWidth="1"/>
    <col min="12553" max="12553" width="19" bestFit="1" customWidth="1"/>
    <col min="12554" max="12554" width="12.140625" bestFit="1" customWidth="1"/>
    <col min="12784" max="12784" width="15" bestFit="1" customWidth="1"/>
    <col min="12785" max="12785" width="68.28515625" bestFit="1" customWidth="1"/>
    <col min="12786" max="12786" width="9.140625" bestFit="1" customWidth="1"/>
    <col min="12787" max="12787" width="21.42578125" bestFit="1" customWidth="1"/>
    <col min="12788" max="12790" width="15.42578125" bestFit="1" customWidth="1"/>
    <col min="12791" max="12791" width="8.85546875" bestFit="1" customWidth="1"/>
    <col min="12792" max="12792" width="10" bestFit="1" customWidth="1"/>
    <col min="12793" max="12793" width="12.7109375" bestFit="1" customWidth="1"/>
    <col min="12794" max="12794" width="8.85546875" bestFit="1" customWidth="1"/>
    <col min="12795" max="12795" width="17.7109375" bestFit="1" customWidth="1"/>
    <col min="12796" max="12796" width="13" bestFit="1" customWidth="1"/>
    <col min="12797" max="12797" width="13.42578125" bestFit="1" customWidth="1"/>
    <col min="12798" max="12798" width="10.85546875" bestFit="1" customWidth="1"/>
    <col min="12799" max="12799" width="26.85546875" bestFit="1" customWidth="1"/>
    <col min="12800" max="12800" width="20.85546875" bestFit="1" customWidth="1"/>
    <col min="12801" max="12801" width="30.42578125" bestFit="1" customWidth="1"/>
    <col min="12802" max="12802" width="19.42578125" bestFit="1" customWidth="1"/>
    <col min="12803" max="12803" width="20.28515625" bestFit="1" customWidth="1"/>
    <col min="12804" max="12805" width="12" bestFit="1" customWidth="1"/>
    <col min="12806" max="12807" width="12.5703125" bestFit="1" customWidth="1"/>
    <col min="12808" max="12808" width="11.7109375" bestFit="1" customWidth="1"/>
    <col min="12809" max="12809" width="19" bestFit="1" customWidth="1"/>
    <col min="12810" max="12810" width="12.140625" bestFit="1" customWidth="1"/>
    <col min="13040" max="13040" width="15" bestFit="1" customWidth="1"/>
    <col min="13041" max="13041" width="68.28515625" bestFit="1" customWidth="1"/>
    <col min="13042" max="13042" width="9.140625" bestFit="1" customWidth="1"/>
    <col min="13043" max="13043" width="21.42578125" bestFit="1" customWidth="1"/>
    <col min="13044" max="13046" width="15.42578125" bestFit="1" customWidth="1"/>
    <col min="13047" max="13047" width="8.85546875" bestFit="1" customWidth="1"/>
    <col min="13048" max="13048" width="10" bestFit="1" customWidth="1"/>
    <col min="13049" max="13049" width="12.7109375" bestFit="1" customWidth="1"/>
    <col min="13050" max="13050" width="8.85546875" bestFit="1" customWidth="1"/>
    <col min="13051" max="13051" width="17.7109375" bestFit="1" customWidth="1"/>
    <col min="13052" max="13052" width="13" bestFit="1" customWidth="1"/>
    <col min="13053" max="13053" width="13.42578125" bestFit="1" customWidth="1"/>
    <col min="13054" max="13054" width="10.85546875" bestFit="1" customWidth="1"/>
    <col min="13055" max="13055" width="26.85546875" bestFit="1" customWidth="1"/>
    <col min="13056" max="13056" width="20.85546875" bestFit="1" customWidth="1"/>
    <col min="13057" max="13057" width="30.42578125" bestFit="1" customWidth="1"/>
    <col min="13058" max="13058" width="19.42578125" bestFit="1" customWidth="1"/>
    <col min="13059" max="13059" width="20.28515625" bestFit="1" customWidth="1"/>
    <col min="13060" max="13061" width="12" bestFit="1" customWidth="1"/>
    <col min="13062" max="13063" width="12.5703125" bestFit="1" customWidth="1"/>
    <col min="13064" max="13064" width="11.7109375" bestFit="1" customWidth="1"/>
    <col min="13065" max="13065" width="19" bestFit="1" customWidth="1"/>
    <col min="13066" max="13066" width="12.140625" bestFit="1" customWidth="1"/>
    <col min="13296" max="13296" width="15" bestFit="1" customWidth="1"/>
    <col min="13297" max="13297" width="68.28515625" bestFit="1" customWidth="1"/>
    <col min="13298" max="13298" width="9.140625" bestFit="1" customWidth="1"/>
    <col min="13299" max="13299" width="21.42578125" bestFit="1" customWidth="1"/>
    <col min="13300" max="13302" width="15.42578125" bestFit="1" customWidth="1"/>
    <col min="13303" max="13303" width="8.85546875" bestFit="1" customWidth="1"/>
    <col min="13304" max="13304" width="10" bestFit="1" customWidth="1"/>
    <col min="13305" max="13305" width="12.7109375" bestFit="1" customWidth="1"/>
    <col min="13306" max="13306" width="8.85546875" bestFit="1" customWidth="1"/>
    <col min="13307" max="13307" width="17.7109375" bestFit="1" customWidth="1"/>
    <col min="13308" max="13308" width="13" bestFit="1" customWidth="1"/>
    <col min="13309" max="13309" width="13.42578125" bestFit="1" customWidth="1"/>
    <col min="13310" max="13310" width="10.85546875" bestFit="1" customWidth="1"/>
    <col min="13311" max="13311" width="26.85546875" bestFit="1" customWidth="1"/>
    <col min="13312" max="13312" width="20.85546875" bestFit="1" customWidth="1"/>
    <col min="13313" max="13313" width="30.42578125" bestFit="1" customWidth="1"/>
    <col min="13314" max="13314" width="19.42578125" bestFit="1" customWidth="1"/>
    <col min="13315" max="13315" width="20.28515625" bestFit="1" customWidth="1"/>
    <col min="13316" max="13317" width="12" bestFit="1" customWidth="1"/>
    <col min="13318" max="13319" width="12.5703125" bestFit="1" customWidth="1"/>
    <col min="13320" max="13320" width="11.7109375" bestFit="1" customWidth="1"/>
    <col min="13321" max="13321" width="19" bestFit="1" customWidth="1"/>
    <col min="13322" max="13322" width="12.140625" bestFit="1" customWidth="1"/>
    <col min="13552" max="13552" width="15" bestFit="1" customWidth="1"/>
    <col min="13553" max="13553" width="68.28515625" bestFit="1" customWidth="1"/>
    <col min="13554" max="13554" width="9.140625" bestFit="1" customWidth="1"/>
    <col min="13555" max="13555" width="21.42578125" bestFit="1" customWidth="1"/>
    <col min="13556" max="13558" width="15.42578125" bestFit="1" customWidth="1"/>
    <col min="13559" max="13559" width="8.85546875" bestFit="1" customWidth="1"/>
    <col min="13560" max="13560" width="10" bestFit="1" customWidth="1"/>
    <col min="13561" max="13561" width="12.7109375" bestFit="1" customWidth="1"/>
    <col min="13562" max="13562" width="8.85546875" bestFit="1" customWidth="1"/>
    <col min="13563" max="13563" width="17.7109375" bestFit="1" customWidth="1"/>
    <col min="13564" max="13564" width="13" bestFit="1" customWidth="1"/>
    <col min="13565" max="13565" width="13.42578125" bestFit="1" customWidth="1"/>
    <col min="13566" max="13566" width="10.85546875" bestFit="1" customWidth="1"/>
    <col min="13567" max="13567" width="26.85546875" bestFit="1" customWidth="1"/>
    <col min="13568" max="13568" width="20.85546875" bestFit="1" customWidth="1"/>
    <col min="13569" max="13569" width="30.42578125" bestFit="1" customWidth="1"/>
    <col min="13570" max="13570" width="19.42578125" bestFit="1" customWidth="1"/>
    <col min="13571" max="13571" width="20.28515625" bestFit="1" customWidth="1"/>
    <col min="13572" max="13573" width="12" bestFit="1" customWidth="1"/>
    <col min="13574" max="13575" width="12.5703125" bestFit="1" customWidth="1"/>
    <col min="13576" max="13576" width="11.7109375" bestFit="1" customWidth="1"/>
    <col min="13577" max="13577" width="19" bestFit="1" customWidth="1"/>
    <col min="13578" max="13578" width="12.140625" bestFit="1" customWidth="1"/>
    <col min="13808" max="13808" width="15" bestFit="1" customWidth="1"/>
    <col min="13809" max="13809" width="68.28515625" bestFit="1" customWidth="1"/>
    <col min="13810" max="13810" width="9.140625" bestFit="1" customWidth="1"/>
    <col min="13811" max="13811" width="21.42578125" bestFit="1" customWidth="1"/>
    <col min="13812" max="13814" width="15.42578125" bestFit="1" customWidth="1"/>
    <col min="13815" max="13815" width="8.85546875" bestFit="1" customWidth="1"/>
    <col min="13816" max="13816" width="10" bestFit="1" customWidth="1"/>
    <col min="13817" max="13817" width="12.7109375" bestFit="1" customWidth="1"/>
    <col min="13818" max="13818" width="8.85546875" bestFit="1" customWidth="1"/>
    <col min="13819" max="13819" width="17.7109375" bestFit="1" customWidth="1"/>
    <col min="13820" max="13820" width="13" bestFit="1" customWidth="1"/>
    <col min="13821" max="13821" width="13.42578125" bestFit="1" customWidth="1"/>
    <col min="13822" max="13822" width="10.85546875" bestFit="1" customWidth="1"/>
    <col min="13823" max="13823" width="26.85546875" bestFit="1" customWidth="1"/>
    <col min="13824" max="13824" width="20.85546875" bestFit="1" customWidth="1"/>
    <col min="13825" max="13825" width="30.42578125" bestFit="1" customWidth="1"/>
    <col min="13826" max="13826" width="19.42578125" bestFit="1" customWidth="1"/>
    <col min="13827" max="13827" width="20.28515625" bestFit="1" customWidth="1"/>
    <col min="13828" max="13829" width="12" bestFit="1" customWidth="1"/>
    <col min="13830" max="13831" width="12.5703125" bestFit="1" customWidth="1"/>
    <col min="13832" max="13832" width="11.7109375" bestFit="1" customWidth="1"/>
    <col min="13833" max="13833" width="19" bestFit="1" customWidth="1"/>
    <col min="13834" max="13834" width="12.140625" bestFit="1" customWidth="1"/>
    <col min="14064" max="14064" width="15" bestFit="1" customWidth="1"/>
    <col min="14065" max="14065" width="68.28515625" bestFit="1" customWidth="1"/>
    <col min="14066" max="14066" width="9.140625" bestFit="1" customWidth="1"/>
    <col min="14067" max="14067" width="21.42578125" bestFit="1" customWidth="1"/>
    <col min="14068" max="14070" width="15.42578125" bestFit="1" customWidth="1"/>
    <col min="14071" max="14071" width="8.85546875" bestFit="1" customWidth="1"/>
    <col min="14072" max="14072" width="10" bestFit="1" customWidth="1"/>
    <col min="14073" max="14073" width="12.7109375" bestFit="1" customWidth="1"/>
    <col min="14074" max="14074" width="8.85546875" bestFit="1" customWidth="1"/>
    <col min="14075" max="14075" width="17.7109375" bestFit="1" customWidth="1"/>
    <col min="14076" max="14076" width="13" bestFit="1" customWidth="1"/>
    <col min="14077" max="14077" width="13.42578125" bestFit="1" customWidth="1"/>
    <col min="14078" max="14078" width="10.85546875" bestFit="1" customWidth="1"/>
    <col min="14079" max="14079" width="26.85546875" bestFit="1" customWidth="1"/>
    <col min="14080" max="14080" width="20.85546875" bestFit="1" customWidth="1"/>
    <col min="14081" max="14081" width="30.42578125" bestFit="1" customWidth="1"/>
    <col min="14082" max="14082" width="19.42578125" bestFit="1" customWidth="1"/>
    <col min="14083" max="14083" width="20.28515625" bestFit="1" customWidth="1"/>
    <col min="14084" max="14085" width="12" bestFit="1" customWidth="1"/>
    <col min="14086" max="14087" width="12.5703125" bestFit="1" customWidth="1"/>
    <col min="14088" max="14088" width="11.7109375" bestFit="1" customWidth="1"/>
    <col min="14089" max="14089" width="19" bestFit="1" customWidth="1"/>
    <col min="14090" max="14090" width="12.140625" bestFit="1" customWidth="1"/>
    <col min="14320" max="14320" width="15" bestFit="1" customWidth="1"/>
    <col min="14321" max="14321" width="68.28515625" bestFit="1" customWidth="1"/>
    <col min="14322" max="14322" width="9.140625" bestFit="1" customWidth="1"/>
    <col min="14323" max="14323" width="21.42578125" bestFit="1" customWidth="1"/>
    <col min="14324" max="14326" width="15.42578125" bestFit="1" customWidth="1"/>
    <col min="14327" max="14327" width="8.85546875" bestFit="1" customWidth="1"/>
    <col min="14328" max="14328" width="10" bestFit="1" customWidth="1"/>
    <col min="14329" max="14329" width="12.7109375" bestFit="1" customWidth="1"/>
    <col min="14330" max="14330" width="8.85546875" bestFit="1" customWidth="1"/>
    <col min="14331" max="14331" width="17.7109375" bestFit="1" customWidth="1"/>
    <col min="14332" max="14332" width="13" bestFit="1" customWidth="1"/>
    <col min="14333" max="14333" width="13.42578125" bestFit="1" customWidth="1"/>
    <col min="14334" max="14334" width="10.85546875" bestFit="1" customWidth="1"/>
    <col min="14335" max="14335" width="26.85546875" bestFit="1" customWidth="1"/>
    <col min="14336" max="14336" width="20.85546875" bestFit="1" customWidth="1"/>
    <col min="14337" max="14337" width="30.42578125" bestFit="1" customWidth="1"/>
    <col min="14338" max="14338" width="19.42578125" bestFit="1" customWidth="1"/>
    <col min="14339" max="14339" width="20.28515625" bestFit="1" customWidth="1"/>
    <col min="14340" max="14341" width="12" bestFit="1" customWidth="1"/>
    <col min="14342" max="14343" width="12.5703125" bestFit="1" customWidth="1"/>
    <col min="14344" max="14344" width="11.7109375" bestFit="1" customWidth="1"/>
    <col min="14345" max="14345" width="19" bestFit="1" customWidth="1"/>
    <col min="14346" max="14346" width="12.140625" bestFit="1" customWidth="1"/>
    <col min="14576" max="14576" width="15" bestFit="1" customWidth="1"/>
    <col min="14577" max="14577" width="68.28515625" bestFit="1" customWidth="1"/>
    <col min="14578" max="14578" width="9.140625" bestFit="1" customWidth="1"/>
    <col min="14579" max="14579" width="21.42578125" bestFit="1" customWidth="1"/>
    <col min="14580" max="14582" width="15.42578125" bestFit="1" customWidth="1"/>
    <col min="14583" max="14583" width="8.85546875" bestFit="1" customWidth="1"/>
    <col min="14584" max="14584" width="10" bestFit="1" customWidth="1"/>
    <col min="14585" max="14585" width="12.7109375" bestFit="1" customWidth="1"/>
    <col min="14586" max="14586" width="8.85546875" bestFit="1" customWidth="1"/>
    <col min="14587" max="14587" width="17.7109375" bestFit="1" customWidth="1"/>
    <col min="14588" max="14588" width="13" bestFit="1" customWidth="1"/>
    <col min="14589" max="14589" width="13.42578125" bestFit="1" customWidth="1"/>
    <col min="14590" max="14590" width="10.85546875" bestFit="1" customWidth="1"/>
    <col min="14591" max="14591" width="26.85546875" bestFit="1" customWidth="1"/>
    <col min="14592" max="14592" width="20.85546875" bestFit="1" customWidth="1"/>
    <col min="14593" max="14593" width="30.42578125" bestFit="1" customWidth="1"/>
    <col min="14594" max="14594" width="19.42578125" bestFit="1" customWidth="1"/>
    <col min="14595" max="14595" width="20.28515625" bestFit="1" customWidth="1"/>
    <col min="14596" max="14597" width="12" bestFit="1" customWidth="1"/>
    <col min="14598" max="14599" width="12.5703125" bestFit="1" customWidth="1"/>
    <col min="14600" max="14600" width="11.7109375" bestFit="1" customWidth="1"/>
    <col min="14601" max="14601" width="19" bestFit="1" customWidth="1"/>
    <col min="14602" max="14602" width="12.140625" bestFit="1" customWidth="1"/>
    <col min="14832" max="14832" width="15" bestFit="1" customWidth="1"/>
    <col min="14833" max="14833" width="68.28515625" bestFit="1" customWidth="1"/>
    <col min="14834" max="14834" width="9.140625" bestFit="1" customWidth="1"/>
    <col min="14835" max="14835" width="21.42578125" bestFit="1" customWidth="1"/>
    <col min="14836" max="14838" width="15.42578125" bestFit="1" customWidth="1"/>
    <col min="14839" max="14839" width="8.85546875" bestFit="1" customWidth="1"/>
    <col min="14840" max="14840" width="10" bestFit="1" customWidth="1"/>
    <col min="14841" max="14841" width="12.7109375" bestFit="1" customWidth="1"/>
    <col min="14842" max="14842" width="8.85546875" bestFit="1" customWidth="1"/>
    <col min="14843" max="14843" width="17.7109375" bestFit="1" customWidth="1"/>
    <col min="14844" max="14844" width="13" bestFit="1" customWidth="1"/>
    <col min="14845" max="14845" width="13.42578125" bestFit="1" customWidth="1"/>
    <col min="14846" max="14846" width="10.85546875" bestFit="1" customWidth="1"/>
    <col min="14847" max="14847" width="26.85546875" bestFit="1" customWidth="1"/>
    <col min="14848" max="14848" width="20.85546875" bestFit="1" customWidth="1"/>
    <col min="14849" max="14849" width="30.42578125" bestFit="1" customWidth="1"/>
    <col min="14850" max="14850" width="19.42578125" bestFit="1" customWidth="1"/>
    <col min="14851" max="14851" width="20.28515625" bestFit="1" customWidth="1"/>
    <col min="14852" max="14853" width="12" bestFit="1" customWidth="1"/>
    <col min="14854" max="14855" width="12.5703125" bestFit="1" customWidth="1"/>
    <col min="14856" max="14856" width="11.7109375" bestFit="1" customWidth="1"/>
    <col min="14857" max="14857" width="19" bestFit="1" customWidth="1"/>
    <col min="14858" max="14858" width="12.140625" bestFit="1" customWidth="1"/>
    <col min="15088" max="15088" width="15" bestFit="1" customWidth="1"/>
    <col min="15089" max="15089" width="68.28515625" bestFit="1" customWidth="1"/>
    <col min="15090" max="15090" width="9.140625" bestFit="1" customWidth="1"/>
    <col min="15091" max="15091" width="21.42578125" bestFit="1" customWidth="1"/>
    <col min="15092" max="15094" width="15.42578125" bestFit="1" customWidth="1"/>
    <col min="15095" max="15095" width="8.85546875" bestFit="1" customWidth="1"/>
    <col min="15096" max="15096" width="10" bestFit="1" customWidth="1"/>
    <col min="15097" max="15097" width="12.7109375" bestFit="1" customWidth="1"/>
    <col min="15098" max="15098" width="8.85546875" bestFit="1" customWidth="1"/>
    <col min="15099" max="15099" width="17.7109375" bestFit="1" customWidth="1"/>
    <col min="15100" max="15100" width="13" bestFit="1" customWidth="1"/>
    <col min="15101" max="15101" width="13.42578125" bestFit="1" customWidth="1"/>
    <col min="15102" max="15102" width="10.85546875" bestFit="1" customWidth="1"/>
    <col min="15103" max="15103" width="26.85546875" bestFit="1" customWidth="1"/>
    <col min="15104" max="15104" width="20.85546875" bestFit="1" customWidth="1"/>
    <col min="15105" max="15105" width="30.42578125" bestFit="1" customWidth="1"/>
    <col min="15106" max="15106" width="19.42578125" bestFit="1" customWidth="1"/>
    <col min="15107" max="15107" width="20.28515625" bestFit="1" customWidth="1"/>
    <col min="15108" max="15109" width="12" bestFit="1" customWidth="1"/>
    <col min="15110" max="15111" width="12.5703125" bestFit="1" customWidth="1"/>
    <col min="15112" max="15112" width="11.7109375" bestFit="1" customWidth="1"/>
    <col min="15113" max="15113" width="19" bestFit="1" customWidth="1"/>
    <col min="15114" max="15114" width="12.140625" bestFit="1" customWidth="1"/>
    <col min="15344" max="15344" width="15" bestFit="1" customWidth="1"/>
    <col min="15345" max="15345" width="68.28515625" bestFit="1" customWidth="1"/>
    <col min="15346" max="15346" width="9.140625" bestFit="1" customWidth="1"/>
    <col min="15347" max="15347" width="21.42578125" bestFit="1" customWidth="1"/>
    <col min="15348" max="15350" width="15.42578125" bestFit="1" customWidth="1"/>
    <col min="15351" max="15351" width="8.85546875" bestFit="1" customWidth="1"/>
    <col min="15352" max="15352" width="10" bestFit="1" customWidth="1"/>
    <col min="15353" max="15353" width="12.7109375" bestFit="1" customWidth="1"/>
    <col min="15354" max="15354" width="8.85546875" bestFit="1" customWidth="1"/>
    <col min="15355" max="15355" width="17.7109375" bestFit="1" customWidth="1"/>
    <col min="15356" max="15356" width="13" bestFit="1" customWidth="1"/>
    <col min="15357" max="15357" width="13.42578125" bestFit="1" customWidth="1"/>
    <col min="15358" max="15358" width="10.85546875" bestFit="1" customWidth="1"/>
    <col min="15359" max="15359" width="26.85546875" bestFit="1" customWidth="1"/>
    <col min="15360" max="15360" width="20.85546875" bestFit="1" customWidth="1"/>
    <col min="15361" max="15361" width="30.42578125" bestFit="1" customWidth="1"/>
    <col min="15362" max="15362" width="19.42578125" bestFit="1" customWidth="1"/>
    <col min="15363" max="15363" width="20.28515625" bestFit="1" customWidth="1"/>
    <col min="15364" max="15365" width="12" bestFit="1" customWidth="1"/>
    <col min="15366" max="15367" width="12.5703125" bestFit="1" customWidth="1"/>
    <col min="15368" max="15368" width="11.7109375" bestFit="1" customWidth="1"/>
    <col min="15369" max="15369" width="19" bestFit="1" customWidth="1"/>
    <col min="15370" max="15370" width="12.140625" bestFit="1" customWidth="1"/>
    <col min="15600" max="15600" width="15" bestFit="1" customWidth="1"/>
    <col min="15601" max="15601" width="68.28515625" bestFit="1" customWidth="1"/>
    <col min="15602" max="15602" width="9.140625" bestFit="1" customWidth="1"/>
    <col min="15603" max="15603" width="21.42578125" bestFit="1" customWidth="1"/>
    <col min="15604" max="15606" width="15.42578125" bestFit="1" customWidth="1"/>
    <col min="15607" max="15607" width="8.85546875" bestFit="1" customWidth="1"/>
    <col min="15608" max="15608" width="10" bestFit="1" customWidth="1"/>
    <col min="15609" max="15609" width="12.7109375" bestFit="1" customWidth="1"/>
    <col min="15610" max="15610" width="8.85546875" bestFit="1" customWidth="1"/>
    <col min="15611" max="15611" width="17.7109375" bestFit="1" customWidth="1"/>
    <col min="15612" max="15612" width="13" bestFit="1" customWidth="1"/>
    <col min="15613" max="15613" width="13.42578125" bestFit="1" customWidth="1"/>
    <col min="15614" max="15614" width="10.85546875" bestFit="1" customWidth="1"/>
    <col min="15615" max="15615" width="26.85546875" bestFit="1" customWidth="1"/>
    <col min="15616" max="15616" width="20.85546875" bestFit="1" customWidth="1"/>
    <col min="15617" max="15617" width="30.42578125" bestFit="1" customWidth="1"/>
    <col min="15618" max="15618" width="19.42578125" bestFit="1" customWidth="1"/>
    <col min="15619" max="15619" width="20.28515625" bestFit="1" customWidth="1"/>
    <col min="15620" max="15621" width="12" bestFit="1" customWidth="1"/>
    <col min="15622" max="15623" width="12.5703125" bestFit="1" customWidth="1"/>
    <col min="15624" max="15624" width="11.7109375" bestFit="1" customWidth="1"/>
    <col min="15625" max="15625" width="19" bestFit="1" customWidth="1"/>
    <col min="15626" max="15626" width="12.140625" bestFit="1" customWidth="1"/>
    <col min="15856" max="15856" width="15" bestFit="1" customWidth="1"/>
    <col min="15857" max="15857" width="68.28515625" bestFit="1" customWidth="1"/>
    <col min="15858" max="15858" width="9.140625" bestFit="1" customWidth="1"/>
    <col min="15859" max="15859" width="21.42578125" bestFit="1" customWidth="1"/>
    <col min="15860" max="15862" width="15.42578125" bestFit="1" customWidth="1"/>
    <col min="15863" max="15863" width="8.85546875" bestFit="1" customWidth="1"/>
    <col min="15864" max="15864" width="10" bestFit="1" customWidth="1"/>
    <col min="15865" max="15865" width="12.7109375" bestFit="1" customWidth="1"/>
    <col min="15866" max="15866" width="8.85546875" bestFit="1" customWidth="1"/>
    <col min="15867" max="15867" width="17.7109375" bestFit="1" customWidth="1"/>
    <col min="15868" max="15868" width="13" bestFit="1" customWidth="1"/>
    <col min="15869" max="15869" width="13.42578125" bestFit="1" customWidth="1"/>
    <col min="15870" max="15870" width="10.85546875" bestFit="1" customWidth="1"/>
    <col min="15871" max="15871" width="26.85546875" bestFit="1" customWidth="1"/>
    <col min="15872" max="15872" width="20.85546875" bestFit="1" customWidth="1"/>
    <col min="15873" max="15873" width="30.42578125" bestFit="1" customWidth="1"/>
    <col min="15874" max="15874" width="19.42578125" bestFit="1" customWidth="1"/>
    <col min="15875" max="15875" width="20.28515625" bestFit="1" customWidth="1"/>
    <col min="15876" max="15877" width="12" bestFit="1" customWidth="1"/>
    <col min="15878" max="15879" width="12.5703125" bestFit="1" customWidth="1"/>
    <col min="15880" max="15880" width="11.7109375" bestFit="1" customWidth="1"/>
    <col min="15881" max="15881" width="19" bestFit="1" customWidth="1"/>
    <col min="15882" max="15882" width="12.140625" bestFit="1" customWidth="1"/>
    <col min="16112" max="16112" width="15" bestFit="1" customWidth="1"/>
    <col min="16113" max="16113" width="68.28515625" bestFit="1" customWidth="1"/>
    <col min="16114" max="16114" width="9.140625" bestFit="1" customWidth="1"/>
    <col min="16115" max="16115" width="21.42578125" bestFit="1" customWidth="1"/>
    <col min="16116" max="16118" width="15.42578125" bestFit="1" customWidth="1"/>
    <col min="16119" max="16119" width="8.85546875" bestFit="1" customWidth="1"/>
    <col min="16120" max="16120" width="10" bestFit="1" customWidth="1"/>
    <col min="16121" max="16121" width="12.7109375" bestFit="1" customWidth="1"/>
    <col min="16122" max="16122" width="8.85546875" bestFit="1" customWidth="1"/>
    <col min="16123" max="16123" width="17.7109375" bestFit="1" customWidth="1"/>
    <col min="16124" max="16124" width="13" bestFit="1" customWidth="1"/>
    <col min="16125" max="16125" width="13.42578125" bestFit="1" customWidth="1"/>
    <col min="16126" max="16126" width="10.85546875" bestFit="1" customWidth="1"/>
    <col min="16127" max="16127" width="26.85546875" bestFit="1" customWidth="1"/>
    <col min="16128" max="16128" width="20.85546875" bestFit="1" customWidth="1"/>
    <col min="16129" max="16129" width="30.42578125" bestFit="1" customWidth="1"/>
    <col min="16130" max="16130" width="19.42578125" bestFit="1" customWidth="1"/>
    <col min="16131" max="16131" width="20.28515625" bestFit="1" customWidth="1"/>
    <col min="16132" max="16133" width="12" bestFit="1" customWidth="1"/>
    <col min="16134" max="16135" width="12.5703125" bestFit="1" customWidth="1"/>
    <col min="16136" max="16136" width="11.7109375" bestFit="1" customWidth="1"/>
    <col min="16137" max="16137" width="19" bestFit="1" customWidth="1"/>
    <col min="16138" max="16138" width="12.140625" bestFit="1" customWidth="1"/>
  </cols>
  <sheetData>
    <row r="1" spans="1:43" s="12" customFormat="1" ht="21.75" customHeight="1" x14ac:dyDescent="0.25">
      <c r="A1" s="11" t="s">
        <v>8670</v>
      </c>
      <c r="B1" s="11" t="s">
        <v>11759</v>
      </c>
      <c r="C1" s="11" t="s">
        <v>8671</v>
      </c>
      <c r="D1" s="12" t="s">
        <v>8672</v>
      </c>
      <c r="E1" s="71" t="s">
        <v>8673</v>
      </c>
      <c r="F1" s="61" t="s">
        <v>11405</v>
      </c>
      <c r="G1" s="128" t="s">
        <v>8675</v>
      </c>
      <c r="H1" s="13" t="s">
        <v>11461</v>
      </c>
      <c r="I1" s="12" t="s">
        <v>8686</v>
      </c>
      <c r="J1" s="53" t="s">
        <v>11462</v>
      </c>
      <c r="K1" s="53" t="s">
        <v>11463</v>
      </c>
      <c r="L1" s="65" t="s">
        <v>8674</v>
      </c>
      <c r="M1" s="12" t="s">
        <v>8676</v>
      </c>
      <c r="N1" s="63" t="s">
        <v>8677</v>
      </c>
      <c r="O1" s="10" t="s">
        <v>8678</v>
      </c>
      <c r="P1" s="12" t="s">
        <v>8685</v>
      </c>
      <c r="Q1" s="12" t="s">
        <v>8687</v>
      </c>
      <c r="R1" s="10" t="s">
        <v>8688</v>
      </c>
      <c r="S1" s="12" t="s">
        <v>8679</v>
      </c>
      <c r="T1" s="12" t="s">
        <v>8680</v>
      </c>
      <c r="U1" s="12" t="s">
        <v>8681</v>
      </c>
      <c r="V1" s="12" t="s">
        <v>8682</v>
      </c>
      <c r="W1" s="12" t="s">
        <v>11761</v>
      </c>
      <c r="X1" s="12" t="s">
        <v>8684</v>
      </c>
      <c r="Y1" s="12" t="s">
        <v>8683</v>
      </c>
      <c r="Z1" s="10" t="s">
        <v>11465</v>
      </c>
      <c r="AA1" s="12" t="s">
        <v>11775</v>
      </c>
      <c r="AB1" s="12" t="s">
        <v>11776</v>
      </c>
      <c r="AC1" s="12" t="s">
        <v>11808</v>
      </c>
      <c r="AD1" s="12" t="s">
        <v>11809</v>
      </c>
      <c r="AE1" s="12" t="s">
        <v>11814</v>
      </c>
      <c r="AF1" s="83" t="s">
        <v>11812</v>
      </c>
      <c r="AG1" s="12" t="s">
        <v>11815</v>
      </c>
      <c r="AH1" s="83" t="s">
        <v>11816</v>
      </c>
      <c r="AI1" s="12" t="s">
        <v>11810</v>
      </c>
      <c r="AJ1" s="12" t="s">
        <v>11823</v>
      </c>
      <c r="AK1" s="12" t="s">
        <v>11818</v>
      </c>
      <c r="AL1" s="12" t="s">
        <v>11819</v>
      </c>
      <c r="AM1" s="12" t="s">
        <v>11817</v>
      </c>
      <c r="AN1" s="12" t="s">
        <v>11811</v>
      </c>
      <c r="AO1" s="12" t="s">
        <v>11813</v>
      </c>
      <c r="AP1" s="12" t="s">
        <v>11820</v>
      </c>
      <c r="AQ1" s="12" t="s">
        <v>11821</v>
      </c>
    </row>
    <row r="2" spans="1:43" ht="15.75" x14ac:dyDescent="0.25">
      <c r="A2" s="1" t="s">
        <v>11773</v>
      </c>
      <c r="C2" t="str">
        <f t="shared" ref="C2:C28" si="0">CONCATENATE(LEFT(T2,3),RIGHT(A2,8))</f>
        <v>BEB55000258</v>
      </c>
      <c r="D2" t="s">
        <v>8689</v>
      </c>
      <c r="E2" s="1" t="s">
        <v>11866</v>
      </c>
      <c r="F2" s="61">
        <v>3409</v>
      </c>
      <c r="G2" s="129">
        <v>0</v>
      </c>
      <c r="H2" s="4" t="s">
        <v>8690</v>
      </c>
      <c r="I2">
        <v>12</v>
      </c>
      <c r="J2">
        <f>ARTICULOS_BAI[[#This Row],[Bulto]]</f>
        <v>12</v>
      </c>
      <c r="L2" s="16">
        <f>((ARTICULOS_BAI[[#This Row],[P. Compra]]*(1+ARTICULOS_BAI[[#This Row],[IVA]]))/ARTICULOS_BAI[[#This Row],[UnidFact]])+ARTICULOS_BAI[[#This Row],[CostoFlete]]</f>
        <v>284.08333333333331</v>
      </c>
      <c r="M2">
        <v>35</v>
      </c>
      <c r="N2" s="63">
        <f t="shared" ref="N2:N31" si="1">IF(L2&gt;=5,MROUND(L2/(1-M2/100),100),10)</f>
        <v>400</v>
      </c>
      <c r="O2" s="3">
        <f>MROUND((ARTICULOS_BAI[[#This Row],[Precio]]/0.6),100)</f>
        <v>700</v>
      </c>
      <c r="P2" t="s">
        <v>8693</v>
      </c>
      <c r="Q2">
        <v>12</v>
      </c>
      <c r="R2" s="3">
        <f>ARTICULOS_BAI[[#This Row],[Bulto]]*5</f>
        <v>60</v>
      </c>
      <c r="S2" t="s">
        <v>6</v>
      </c>
      <c r="T2" t="s">
        <v>10</v>
      </c>
      <c r="U2" t="s">
        <v>5</v>
      </c>
      <c r="V2" t="s">
        <v>10763</v>
      </c>
      <c r="W2" t="s">
        <v>8692</v>
      </c>
      <c r="X2">
        <v>1</v>
      </c>
      <c r="Y2">
        <v>14</v>
      </c>
      <c r="AB2" s="80">
        <f>ARTICULOS_BAI[[#This Row],[Costo]]*ARTICULOS_BAI[[#This Row],[Pedido]]</f>
        <v>0</v>
      </c>
      <c r="AD2"/>
      <c r="AH2" s="2" t="str">
        <f>IF(AND(ARTICULOS_BAI[[#This Row],[FechaVenc]]=0,ARTICULOS_BAI[[#This Row],[DiasVenc]]=0),"",ARTICULOS_BAI[[#This Row],[FechaVenc]]-ARTICULOS_BAI[[#This Row],[DiasVenc]])</f>
        <v/>
      </c>
      <c r="AN2" t="s">
        <v>8693</v>
      </c>
      <c r="AO2" t="s">
        <v>8689</v>
      </c>
      <c r="AP2" t="s">
        <v>8690</v>
      </c>
      <c r="AQ2" t="s">
        <v>8692</v>
      </c>
    </row>
    <row r="3" spans="1:43" ht="15.75" x14ac:dyDescent="0.25">
      <c r="A3" s="1" t="s">
        <v>11772</v>
      </c>
      <c r="C3" t="str">
        <f t="shared" si="0"/>
        <v>BEB62540109</v>
      </c>
      <c r="D3" t="s">
        <v>8689</v>
      </c>
      <c r="E3" s="1" t="s">
        <v>11865</v>
      </c>
      <c r="F3" s="61">
        <v>5682</v>
      </c>
      <c r="G3" s="129">
        <v>0</v>
      </c>
      <c r="H3" s="4" t="s">
        <v>8690</v>
      </c>
      <c r="I3">
        <v>12</v>
      </c>
      <c r="J3">
        <f>ARTICULOS_BAI[[#This Row],[Bulto]]</f>
        <v>12</v>
      </c>
      <c r="L3" s="16">
        <f>((ARTICULOS_BAI[[#This Row],[P. Compra]]*(1+ARTICULOS_BAI[[#This Row],[IVA]]))/ARTICULOS_BAI[[#This Row],[UnidFact]])+ARTICULOS_BAI[[#This Row],[CostoFlete]]</f>
        <v>473.5</v>
      </c>
      <c r="M3">
        <v>35</v>
      </c>
      <c r="N3" s="63">
        <f t="shared" si="1"/>
        <v>700</v>
      </c>
      <c r="O3" s="3">
        <f>MROUND((ARTICULOS_BAI[[#This Row],[Precio]]/0.6),100)</f>
        <v>1200</v>
      </c>
      <c r="P3" t="s">
        <v>8693</v>
      </c>
      <c r="Q3">
        <v>12</v>
      </c>
      <c r="R3" s="3">
        <f>ARTICULOS_BAI[[#This Row],[Bulto]]*5</f>
        <v>60</v>
      </c>
      <c r="S3" t="s">
        <v>6</v>
      </c>
      <c r="T3" t="s">
        <v>10</v>
      </c>
      <c r="U3" t="s">
        <v>5</v>
      </c>
      <c r="V3" t="s">
        <v>10763</v>
      </c>
      <c r="W3" t="s">
        <v>8692</v>
      </c>
      <c r="X3">
        <v>1</v>
      </c>
      <c r="Y3">
        <v>18</v>
      </c>
      <c r="AB3" s="80">
        <f>ARTICULOS_BAI[[#This Row],[Costo]]*ARTICULOS_BAI[[#This Row],[Pedido]]</f>
        <v>0</v>
      </c>
      <c r="AD3"/>
      <c r="AH3" s="2" t="str">
        <f>IF(AND(ARTICULOS_BAI[[#This Row],[FechaVenc]]=0,ARTICULOS_BAI[[#This Row],[DiasVenc]]=0),"",ARTICULOS_BAI[[#This Row],[FechaVenc]]-ARTICULOS_BAI[[#This Row],[DiasVenc]])</f>
        <v/>
      </c>
      <c r="AN3" t="s">
        <v>8693</v>
      </c>
      <c r="AO3" t="s">
        <v>8689</v>
      </c>
      <c r="AP3" t="s">
        <v>8690</v>
      </c>
      <c r="AQ3" t="s">
        <v>8692</v>
      </c>
    </row>
    <row r="4" spans="1:43" ht="15.75" x14ac:dyDescent="0.25">
      <c r="A4" s="1" t="s">
        <v>10761</v>
      </c>
      <c r="C4" t="str">
        <f t="shared" si="0"/>
        <v>BEB15000422</v>
      </c>
      <c r="D4" t="s">
        <v>8689</v>
      </c>
      <c r="E4" s="1" t="s">
        <v>10762</v>
      </c>
      <c r="F4" s="61">
        <v>6006.45</v>
      </c>
      <c r="G4" s="129">
        <v>0</v>
      </c>
      <c r="H4" s="4" t="s">
        <v>8690</v>
      </c>
      <c r="I4">
        <v>6</v>
      </c>
      <c r="J4">
        <f>ARTICULOS_BAI[[#This Row],[Bulto]]</f>
        <v>6</v>
      </c>
      <c r="L4" s="65">
        <f>((ARTICULOS_BAI[[#This Row],[P. Compra]]*(1+ARTICULOS_BAI[[#This Row],[IVA]]))/ARTICULOS_BAI[[#This Row],[UnidFact]])+ARTICULOS_BAI[[#This Row],[CostoFlete]]</f>
        <v>1001.0749999999999</v>
      </c>
      <c r="M4">
        <v>35</v>
      </c>
      <c r="N4" s="63">
        <f t="shared" si="1"/>
        <v>1500</v>
      </c>
      <c r="O4" s="3">
        <f>MROUND((ARTICULOS_BAI[[#This Row],[Precio]]/0.6),100)</f>
        <v>2500</v>
      </c>
      <c r="P4" t="s">
        <v>8693</v>
      </c>
      <c r="Q4">
        <v>12</v>
      </c>
      <c r="R4" s="3">
        <f>ARTICULOS_BAI[[#This Row],[Bulto]]*5</f>
        <v>30</v>
      </c>
      <c r="S4" t="s">
        <v>6</v>
      </c>
      <c r="T4" t="s">
        <v>10</v>
      </c>
      <c r="U4" t="s">
        <v>5</v>
      </c>
      <c r="V4" t="s">
        <v>10763</v>
      </c>
      <c r="W4" t="s">
        <v>8692</v>
      </c>
      <c r="X4">
        <v>1</v>
      </c>
      <c r="Y4">
        <v>3</v>
      </c>
      <c r="AB4" s="80">
        <f>ARTICULOS_BAI[[#This Row],[Costo]]*ARTICULOS_BAI[[#This Row],[Pedido]]</f>
        <v>0</v>
      </c>
      <c r="AD4"/>
      <c r="AH4" s="2" t="str">
        <f>IF(AND(ARTICULOS_BAI[[#This Row],[FechaVenc]]=0,ARTICULOS_BAI[[#This Row],[DiasVenc]]=0),"",ARTICULOS_BAI[[#This Row],[FechaVenc]]-ARTICULOS_BAI[[#This Row],[DiasVenc]])</f>
        <v/>
      </c>
      <c r="AN4" t="s">
        <v>8693</v>
      </c>
      <c r="AO4" t="s">
        <v>8689</v>
      </c>
      <c r="AP4" t="s">
        <v>8690</v>
      </c>
      <c r="AQ4" t="s">
        <v>8692</v>
      </c>
    </row>
    <row r="5" spans="1:43" ht="15.75" x14ac:dyDescent="0.25">
      <c r="A5" s="1" t="s">
        <v>10764</v>
      </c>
      <c r="C5" t="str">
        <f t="shared" si="0"/>
        <v>BEB55000173</v>
      </c>
      <c r="D5" t="s">
        <v>8689</v>
      </c>
      <c r="E5" s="1" t="s">
        <v>10765</v>
      </c>
      <c r="F5" s="61">
        <v>7954</v>
      </c>
      <c r="G5" s="129">
        <v>0</v>
      </c>
      <c r="H5" s="4" t="s">
        <v>8690</v>
      </c>
      <c r="I5">
        <v>12</v>
      </c>
      <c r="J5">
        <f>ARTICULOS_BAI[[#This Row],[Bulto]]</f>
        <v>12</v>
      </c>
      <c r="L5" s="16">
        <f>((ARTICULOS_BAI[[#This Row],[P. Compra]]*(1+ARTICULOS_BAI[[#This Row],[IVA]]))/ARTICULOS_BAI[[#This Row],[UnidFact]])+ARTICULOS_BAI[[#This Row],[CostoFlete]]</f>
        <v>662.83333333333337</v>
      </c>
      <c r="M5">
        <v>35</v>
      </c>
      <c r="N5" s="63">
        <f t="shared" si="1"/>
        <v>1000</v>
      </c>
      <c r="O5" s="3">
        <f>MROUND((ARTICULOS_BAI[[#This Row],[Precio]]/0.6),100)</f>
        <v>1700</v>
      </c>
      <c r="P5" t="s">
        <v>8693</v>
      </c>
      <c r="Q5">
        <v>12</v>
      </c>
      <c r="R5" s="3">
        <f>ARTICULOS_BAI[[#This Row],[Bulto]]*5</f>
        <v>60</v>
      </c>
      <c r="S5" t="s">
        <v>6</v>
      </c>
      <c r="T5" t="s">
        <v>10</v>
      </c>
      <c r="U5" t="s">
        <v>5</v>
      </c>
      <c r="V5" t="s">
        <v>10763</v>
      </c>
      <c r="W5" t="s">
        <v>8692</v>
      </c>
      <c r="X5">
        <v>1</v>
      </c>
      <c r="Y5">
        <v>27</v>
      </c>
      <c r="AB5" s="80">
        <f>ARTICULOS_BAI[[#This Row],[Costo]]*ARTICULOS_BAI[[#This Row],[Pedido]]</f>
        <v>0</v>
      </c>
      <c r="AD5"/>
      <c r="AH5" s="2" t="str">
        <f>IF(AND(ARTICULOS_BAI[[#This Row],[FechaVenc]]=0,ARTICULOS_BAI[[#This Row],[DiasVenc]]=0),"",ARTICULOS_BAI[[#This Row],[FechaVenc]]-ARTICULOS_BAI[[#This Row],[DiasVenc]])</f>
        <v/>
      </c>
      <c r="AN5" t="s">
        <v>8693</v>
      </c>
      <c r="AO5" t="s">
        <v>8689</v>
      </c>
      <c r="AP5" t="s">
        <v>8690</v>
      </c>
      <c r="AQ5" t="s">
        <v>8692</v>
      </c>
    </row>
    <row r="6" spans="1:43" ht="15.75" x14ac:dyDescent="0.25">
      <c r="A6" s="1" t="s">
        <v>10766</v>
      </c>
      <c r="C6" t="str">
        <f t="shared" si="0"/>
        <v>BEB62547801</v>
      </c>
      <c r="D6" t="s">
        <v>8689</v>
      </c>
      <c r="E6" s="1" t="s">
        <v>10767</v>
      </c>
      <c r="F6" s="61">
        <f>F5</f>
        <v>7954</v>
      </c>
      <c r="G6" s="129">
        <v>0</v>
      </c>
      <c r="H6" s="4" t="s">
        <v>8690</v>
      </c>
      <c r="I6">
        <v>12</v>
      </c>
      <c r="J6">
        <f>ARTICULOS_BAI[[#This Row],[Bulto]]</f>
        <v>12</v>
      </c>
      <c r="L6" s="16">
        <f>((ARTICULOS_BAI[[#This Row],[P. Compra]]*(1+ARTICULOS_BAI[[#This Row],[IVA]]))/ARTICULOS_BAI[[#This Row],[UnidFact]])+ARTICULOS_BAI[[#This Row],[CostoFlete]]</f>
        <v>662.83333333333337</v>
      </c>
      <c r="M6">
        <v>35</v>
      </c>
      <c r="N6" s="63">
        <f t="shared" si="1"/>
        <v>1000</v>
      </c>
      <c r="O6" s="3">
        <f>MROUND((ARTICULOS_BAI[[#This Row],[Precio]]/0.6),100)</f>
        <v>1700</v>
      </c>
      <c r="P6" t="s">
        <v>8693</v>
      </c>
      <c r="Q6">
        <v>12</v>
      </c>
      <c r="R6" s="3">
        <f>ARTICULOS_BAI[[#This Row],[Bulto]]*5</f>
        <v>60</v>
      </c>
      <c r="S6" t="s">
        <v>6</v>
      </c>
      <c r="T6" t="s">
        <v>10</v>
      </c>
      <c r="U6" t="s">
        <v>5</v>
      </c>
      <c r="V6" t="s">
        <v>10763</v>
      </c>
      <c r="W6" t="s">
        <v>8692</v>
      </c>
      <c r="X6">
        <v>1</v>
      </c>
      <c r="Y6">
        <v>0</v>
      </c>
      <c r="AB6" s="80">
        <f>ARTICULOS_BAI[[#This Row],[Costo]]*ARTICULOS_BAI[[#This Row],[Pedido]]</f>
        <v>0</v>
      </c>
      <c r="AD6"/>
      <c r="AH6" s="2" t="str">
        <f>IF(AND(ARTICULOS_BAI[[#This Row],[FechaVenc]]=0,ARTICULOS_BAI[[#This Row],[DiasVenc]]=0),"",ARTICULOS_BAI[[#This Row],[FechaVenc]]-ARTICULOS_BAI[[#This Row],[DiasVenc]])</f>
        <v/>
      </c>
      <c r="AN6" t="s">
        <v>8693</v>
      </c>
      <c r="AO6" t="s">
        <v>8689</v>
      </c>
      <c r="AP6" t="s">
        <v>8690</v>
      </c>
      <c r="AQ6" t="s">
        <v>8692</v>
      </c>
    </row>
    <row r="7" spans="1:43" ht="15.75" x14ac:dyDescent="0.25">
      <c r="A7" s="1" t="s">
        <v>10768</v>
      </c>
      <c r="C7" t="str">
        <f t="shared" si="0"/>
        <v>BEB15058201</v>
      </c>
      <c r="D7" t="s">
        <v>8689</v>
      </c>
      <c r="E7" s="1" t="s">
        <v>10769</v>
      </c>
      <c r="F7" s="61">
        <v>15746.63</v>
      </c>
      <c r="G7" s="129">
        <v>0</v>
      </c>
      <c r="H7" s="4" t="s">
        <v>8690</v>
      </c>
      <c r="I7">
        <v>12</v>
      </c>
      <c r="J7">
        <f>ARTICULOS_BAI[[#This Row],[Bulto]]</f>
        <v>12</v>
      </c>
      <c r="L7" s="16">
        <f>((ARTICULOS_BAI[[#This Row],[P. Compra]]*(1+ARTICULOS_BAI[[#This Row],[IVA]]))/ARTICULOS_BAI[[#This Row],[UnidFact]])+ARTICULOS_BAI[[#This Row],[CostoFlete]]</f>
        <v>1312.2191666666665</v>
      </c>
      <c r="M7">
        <v>35</v>
      </c>
      <c r="N7" s="63">
        <f t="shared" si="1"/>
        <v>2000</v>
      </c>
      <c r="O7" s="3">
        <f>MROUND((ARTICULOS_BAI[[#This Row],[Precio]]/0.6),100)</f>
        <v>3300</v>
      </c>
      <c r="P7" t="s">
        <v>8693</v>
      </c>
      <c r="Q7">
        <v>12</v>
      </c>
      <c r="R7" s="3">
        <f>ARTICULOS_BAI[[#This Row],[Bulto]]*5</f>
        <v>60</v>
      </c>
      <c r="S7" t="s">
        <v>6</v>
      </c>
      <c r="T7" t="s">
        <v>10</v>
      </c>
      <c r="U7" t="s">
        <v>5</v>
      </c>
      <c r="V7" t="s">
        <v>10763</v>
      </c>
      <c r="W7" t="s">
        <v>8692</v>
      </c>
      <c r="X7">
        <v>1</v>
      </c>
      <c r="Y7">
        <v>17</v>
      </c>
      <c r="AB7" s="80">
        <f>ARTICULOS_BAI[[#This Row],[Costo]]*ARTICULOS_BAI[[#This Row],[Pedido]]</f>
        <v>0</v>
      </c>
      <c r="AD7"/>
      <c r="AH7" s="2" t="str">
        <f>IF(AND(ARTICULOS_BAI[[#This Row],[FechaVenc]]=0,ARTICULOS_BAI[[#This Row],[DiasVenc]]=0),"",ARTICULOS_BAI[[#This Row],[FechaVenc]]-ARTICULOS_BAI[[#This Row],[DiasVenc]])</f>
        <v/>
      </c>
      <c r="AN7" t="s">
        <v>8693</v>
      </c>
      <c r="AO7" t="s">
        <v>8689</v>
      </c>
      <c r="AP7" t="s">
        <v>8690</v>
      </c>
      <c r="AQ7" t="s">
        <v>8692</v>
      </c>
    </row>
    <row r="8" spans="1:43" ht="15.75" x14ac:dyDescent="0.25">
      <c r="A8" s="24" t="s">
        <v>10797</v>
      </c>
      <c r="C8" t="str">
        <f t="shared" si="0"/>
        <v>BOD47573102</v>
      </c>
      <c r="D8" t="s">
        <v>8689</v>
      </c>
      <c r="E8" s="1" t="s">
        <v>10798</v>
      </c>
      <c r="F8" s="61">
        <v>27250</v>
      </c>
      <c r="G8" s="129">
        <v>0</v>
      </c>
      <c r="H8" s="4" t="s">
        <v>8690</v>
      </c>
      <c r="I8">
        <v>24</v>
      </c>
      <c r="J8">
        <f>ARTICULOS_BAI[[#This Row],[Bulto]]</f>
        <v>24</v>
      </c>
      <c r="L8" s="17">
        <f>((ARTICULOS_BAI[[#This Row],[P. Compra]]*(1+ARTICULOS_BAI[[#This Row],[IVA]]))/ARTICULOS_BAI[[#This Row],[UnidFact]])+ARTICULOS_BAI[[#This Row],[CostoFlete]]</f>
        <v>1135.4166666666667</v>
      </c>
      <c r="M8">
        <v>35</v>
      </c>
      <c r="N8" s="63">
        <f t="shared" si="1"/>
        <v>1700</v>
      </c>
      <c r="O8" s="3">
        <f>MROUND((ARTICULOS_BAI[[#This Row],[Precio]]/0.6),100)</f>
        <v>2800</v>
      </c>
      <c r="P8" t="s">
        <v>8693</v>
      </c>
      <c r="Q8">
        <v>12</v>
      </c>
      <c r="R8" s="3">
        <f>ARTICULOS_BAI[[#This Row],[Bulto]]*2</f>
        <v>48</v>
      </c>
      <c r="S8" t="s">
        <v>6</v>
      </c>
      <c r="T8" t="s">
        <v>13</v>
      </c>
      <c r="U8" t="s">
        <v>22</v>
      </c>
      <c r="V8" t="s">
        <v>10799</v>
      </c>
      <c r="W8" t="s">
        <v>8692</v>
      </c>
      <c r="X8">
        <v>1</v>
      </c>
      <c r="Y8">
        <v>17</v>
      </c>
      <c r="AB8" s="80">
        <f>ARTICULOS_BAI[[#This Row],[Costo]]*ARTICULOS_BAI[[#This Row],[Pedido]]</f>
        <v>0</v>
      </c>
      <c r="AD8"/>
      <c r="AH8" s="2" t="str">
        <f>IF(AND(ARTICULOS_BAI[[#This Row],[FechaVenc]]=0,ARTICULOS_BAI[[#This Row],[DiasVenc]]=0),"",ARTICULOS_BAI[[#This Row],[FechaVenc]]-ARTICULOS_BAI[[#This Row],[DiasVenc]])</f>
        <v/>
      </c>
      <c r="AN8" t="s">
        <v>8693</v>
      </c>
      <c r="AO8" t="s">
        <v>8689</v>
      </c>
      <c r="AP8" t="s">
        <v>8690</v>
      </c>
      <c r="AQ8" t="s">
        <v>8692</v>
      </c>
    </row>
    <row r="9" spans="1:43" ht="15.75" x14ac:dyDescent="0.25">
      <c r="A9" s="1" t="s">
        <v>10802</v>
      </c>
      <c r="C9" t="str">
        <f t="shared" si="0"/>
        <v>BOD47570743</v>
      </c>
      <c r="D9" t="s">
        <v>8689</v>
      </c>
      <c r="E9" s="1" t="s">
        <v>10803</v>
      </c>
      <c r="F9" s="61">
        <v>20650</v>
      </c>
      <c r="G9" s="129">
        <v>0</v>
      </c>
      <c r="H9" s="4" t="s">
        <v>8690</v>
      </c>
      <c r="I9">
        <v>24</v>
      </c>
      <c r="J9">
        <f>ARTICULOS_BAI[[#This Row],[Bulto]]</f>
        <v>24</v>
      </c>
      <c r="L9" s="17">
        <f>((ARTICULOS_BAI[[#This Row],[P. Compra]]*(1+ARTICULOS_BAI[[#This Row],[IVA]]))/ARTICULOS_BAI[[#This Row],[UnidFact]])+ARTICULOS_BAI[[#This Row],[CostoFlete]]</f>
        <v>860.41666666666663</v>
      </c>
      <c r="M9">
        <v>35</v>
      </c>
      <c r="N9" s="63">
        <f t="shared" si="1"/>
        <v>1300</v>
      </c>
      <c r="O9" s="3">
        <f>MROUND((ARTICULOS_BAI[[#This Row],[Precio]]/0.6),100)</f>
        <v>2200</v>
      </c>
      <c r="P9" t="s">
        <v>8693</v>
      </c>
      <c r="Q9">
        <v>12</v>
      </c>
      <c r="R9" s="3">
        <f>ARTICULOS_BAI[[#This Row],[Bulto]]*2</f>
        <v>48</v>
      </c>
      <c r="S9" t="s">
        <v>6</v>
      </c>
      <c r="T9" t="s">
        <v>13</v>
      </c>
      <c r="U9" t="s">
        <v>22</v>
      </c>
      <c r="V9" t="s">
        <v>10804</v>
      </c>
      <c r="W9" t="s">
        <v>8692</v>
      </c>
      <c r="X9">
        <v>1</v>
      </c>
      <c r="Y9">
        <v>0</v>
      </c>
      <c r="AB9" s="80">
        <f>ARTICULOS_BAI[[#This Row],[Costo]]*ARTICULOS_BAI[[#This Row],[Pedido]]</f>
        <v>0</v>
      </c>
      <c r="AD9"/>
      <c r="AH9" s="2" t="str">
        <f>IF(AND(ARTICULOS_BAI[[#This Row],[FechaVenc]]=0,ARTICULOS_BAI[[#This Row],[DiasVenc]]=0),"",ARTICULOS_BAI[[#This Row],[FechaVenc]]-ARTICULOS_BAI[[#This Row],[DiasVenc]])</f>
        <v/>
      </c>
      <c r="AN9" t="s">
        <v>8693</v>
      </c>
      <c r="AO9" t="s">
        <v>8689</v>
      </c>
      <c r="AP9" t="s">
        <v>8690</v>
      </c>
      <c r="AQ9" t="s">
        <v>8692</v>
      </c>
    </row>
    <row r="10" spans="1:43" ht="15.75" x14ac:dyDescent="0.25">
      <c r="A10" s="1" t="s">
        <v>11802</v>
      </c>
      <c r="C10" t="str">
        <f t="shared" si="0"/>
        <v>BOD47573393</v>
      </c>
      <c r="D10" t="s">
        <v>8689</v>
      </c>
      <c r="E10" s="1" t="s">
        <v>10805</v>
      </c>
      <c r="F10" s="61">
        <v>18160</v>
      </c>
      <c r="G10" s="129">
        <v>0</v>
      </c>
      <c r="H10" s="4" t="s">
        <v>8690</v>
      </c>
      <c r="I10">
        <v>24</v>
      </c>
      <c r="J10">
        <f>ARTICULOS_BAI[[#This Row],[Bulto]]</f>
        <v>24</v>
      </c>
      <c r="L10" s="17">
        <f>((ARTICULOS_BAI[[#This Row],[P. Compra]]*(1+ARTICULOS_BAI[[#This Row],[IVA]]))/ARTICULOS_BAI[[#This Row],[UnidFact]])+ARTICULOS_BAI[[#This Row],[CostoFlete]]</f>
        <v>756.66666666666663</v>
      </c>
      <c r="M10">
        <v>35</v>
      </c>
      <c r="N10" s="63">
        <f t="shared" si="1"/>
        <v>1200</v>
      </c>
      <c r="O10" s="3">
        <f>MROUND((ARTICULOS_BAI[[#This Row],[Precio]]/0.6),100)</f>
        <v>2000</v>
      </c>
      <c r="P10" t="s">
        <v>8693</v>
      </c>
      <c r="Q10">
        <v>12</v>
      </c>
      <c r="R10" s="3">
        <f>ARTICULOS_BAI[[#This Row],[Bulto]]*2</f>
        <v>48</v>
      </c>
      <c r="S10" t="s">
        <v>6</v>
      </c>
      <c r="T10" t="s">
        <v>13</v>
      </c>
      <c r="U10" t="s">
        <v>22</v>
      </c>
      <c r="V10" t="s">
        <v>10806</v>
      </c>
      <c r="W10" t="s">
        <v>8692</v>
      </c>
      <c r="X10">
        <v>1</v>
      </c>
      <c r="Y10">
        <f>17+22</f>
        <v>39</v>
      </c>
      <c r="AB10" s="80">
        <f>ARTICULOS_BAI[[#This Row],[Costo]]*ARTICULOS_BAI[[#This Row],[Pedido]]</f>
        <v>0</v>
      </c>
      <c r="AD10"/>
      <c r="AH10" s="2" t="str">
        <f>IF(AND(ARTICULOS_BAI[[#This Row],[FechaVenc]]=0,ARTICULOS_BAI[[#This Row],[DiasVenc]]=0),"",ARTICULOS_BAI[[#This Row],[FechaVenc]]-ARTICULOS_BAI[[#This Row],[DiasVenc]])</f>
        <v/>
      </c>
      <c r="AN10" t="s">
        <v>8693</v>
      </c>
      <c r="AO10" t="s">
        <v>8689</v>
      </c>
      <c r="AP10" t="s">
        <v>8690</v>
      </c>
      <c r="AQ10" t="s">
        <v>8692</v>
      </c>
    </row>
    <row r="11" spans="1:43" ht="15.75" x14ac:dyDescent="0.25">
      <c r="A11" s="24" t="s">
        <v>10800</v>
      </c>
      <c r="C11" t="str">
        <f t="shared" si="0"/>
        <v>BOD47573119</v>
      </c>
      <c r="D11" t="s">
        <v>8689</v>
      </c>
      <c r="E11" s="1" t="s">
        <v>10801</v>
      </c>
      <c r="F11" s="61">
        <f>1651.25*24</f>
        <v>39630</v>
      </c>
      <c r="G11" s="129">
        <v>0</v>
      </c>
      <c r="H11" s="4" t="s">
        <v>8690</v>
      </c>
      <c r="I11">
        <v>24</v>
      </c>
      <c r="J11">
        <f>ARTICULOS_BAI[[#This Row],[Bulto]]</f>
        <v>24</v>
      </c>
      <c r="L11" s="17">
        <f>((ARTICULOS_BAI[[#This Row],[P. Compra]]*(1+ARTICULOS_BAI[[#This Row],[IVA]]))/ARTICULOS_BAI[[#This Row],[UnidFact]])+ARTICULOS_BAI[[#This Row],[CostoFlete]]</f>
        <v>1651.25</v>
      </c>
      <c r="M11">
        <v>35</v>
      </c>
      <c r="N11" s="63">
        <f t="shared" si="1"/>
        <v>2500</v>
      </c>
      <c r="O11" s="3">
        <f>MROUND((ARTICULOS_BAI[[#This Row],[Precio]]/0.6),100)</f>
        <v>4200</v>
      </c>
      <c r="P11" t="s">
        <v>8693</v>
      </c>
      <c r="Q11">
        <v>12</v>
      </c>
      <c r="R11" s="3">
        <f>ARTICULOS_BAI[[#This Row],[Bulto]]*2</f>
        <v>48</v>
      </c>
      <c r="S11" t="s">
        <v>6</v>
      </c>
      <c r="T11" t="s">
        <v>13</v>
      </c>
      <c r="U11" t="s">
        <v>22</v>
      </c>
      <c r="V11" t="s">
        <v>10799</v>
      </c>
      <c r="W11" t="s">
        <v>8692</v>
      </c>
      <c r="X11">
        <v>1</v>
      </c>
      <c r="Y11">
        <v>0</v>
      </c>
      <c r="AB11" s="80">
        <f>ARTICULOS_BAI[[#This Row],[Costo]]*ARTICULOS_BAI[[#This Row],[Pedido]]</f>
        <v>0</v>
      </c>
      <c r="AD11"/>
      <c r="AH11" s="2" t="str">
        <f>IF(AND(ARTICULOS_BAI[[#This Row],[FechaVenc]]=0,ARTICULOS_BAI[[#This Row],[DiasVenc]]=0),"",ARTICULOS_BAI[[#This Row],[FechaVenc]]-ARTICULOS_BAI[[#This Row],[DiasVenc]])</f>
        <v/>
      </c>
      <c r="AN11" t="s">
        <v>8693</v>
      </c>
      <c r="AO11" t="s">
        <v>8689</v>
      </c>
      <c r="AP11" t="s">
        <v>8690</v>
      </c>
      <c r="AQ11" t="s">
        <v>8692</v>
      </c>
    </row>
    <row r="12" spans="1:43" ht="15.75" x14ac:dyDescent="0.25">
      <c r="A12" s="1" t="s">
        <v>10807</v>
      </c>
      <c r="C12" t="str">
        <f t="shared" si="0"/>
        <v>BOD47570606</v>
      </c>
      <c r="D12" t="s">
        <v>8689</v>
      </c>
      <c r="E12" s="1" t="s">
        <v>10808</v>
      </c>
      <c r="F12" s="61">
        <v>26450</v>
      </c>
      <c r="G12" s="129">
        <v>0</v>
      </c>
      <c r="H12" s="4" t="s">
        <v>8690</v>
      </c>
      <c r="I12">
        <v>24</v>
      </c>
      <c r="J12">
        <f>ARTICULOS_BAI[[#This Row],[Bulto]]</f>
        <v>24</v>
      </c>
      <c r="L12" s="17">
        <f>((ARTICULOS_BAI[[#This Row],[P. Compra]]*(1+ARTICULOS_BAI[[#This Row],[IVA]]))/ARTICULOS_BAI[[#This Row],[UnidFact]])+ARTICULOS_BAI[[#This Row],[CostoFlete]]</f>
        <v>1102.0833333333333</v>
      </c>
      <c r="M12">
        <v>35</v>
      </c>
      <c r="N12" s="63">
        <f t="shared" si="1"/>
        <v>1700</v>
      </c>
      <c r="O12" s="3">
        <f>MROUND((ARTICULOS_BAI[[#This Row],[Precio]]/0.6),100)</f>
        <v>2800</v>
      </c>
      <c r="P12" t="s">
        <v>8693</v>
      </c>
      <c r="Q12">
        <v>12</v>
      </c>
      <c r="R12" s="3">
        <f>ARTICULOS_BAI[[#This Row],[Bulto]]*2</f>
        <v>48</v>
      </c>
      <c r="S12" t="s">
        <v>6</v>
      </c>
      <c r="T12" t="s">
        <v>13</v>
      </c>
      <c r="U12" t="s">
        <v>22</v>
      </c>
      <c r="V12" t="s">
        <v>10806</v>
      </c>
      <c r="W12" t="s">
        <v>8692</v>
      </c>
      <c r="X12">
        <v>1</v>
      </c>
      <c r="Y12">
        <v>17</v>
      </c>
      <c r="AB12" s="80">
        <f>ARTICULOS_BAI[[#This Row],[Costo]]*ARTICULOS_BAI[[#This Row],[Pedido]]</f>
        <v>0</v>
      </c>
      <c r="AD12"/>
      <c r="AH12" s="2" t="str">
        <f>IF(AND(ARTICULOS_BAI[[#This Row],[FechaVenc]]=0,ARTICULOS_BAI[[#This Row],[DiasVenc]]=0),"",ARTICULOS_BAI[[#This Row],[FechaVenc]]-ARTICULOS_BAI[[#This Row],[DiasVenc]])</f>
        <v/>
      </c>
      <c r="AN12" t="s">
        <v>8693</v>
      </c>
      <c r="AO12" t="s">
        <v>8689</v>
      </c>
      <c r="AP12" t="s">
        <v>8690</v>
      </c>
      <c r="AQ12" t="s">
        <v>8692</v>
      </c>
    </row>
    <row r="13" spans="1:43" ht="15.75" x14ac:dyDescent="0.25">
      <c r="A13" s="1" t="s">
        <v>10770</v>
      </c>
      <c r="C13" t="str">
        <f t="shared" si="0"/>
        <v>BEB62548709</v>
      </c>
      <c r="D13" t="s">
        <v>8689</v>
      </c>
      <c r="E13" s="1" t="s">
        <v>10771</v>
      </c>
      <c r="F13" s="61">
        <v>6900</v>
      </c>
      <c r="G13" s="129">
        <v>0</v>
      </c>
      <c r="H13" s="4" t="s">
        <v>8690</v>
      </c>
      <c r="I13">
        <v>6</v>
      </c>
      <c r="J13">
        <f>ARTICULOS_BAI[[#This Row],[Bulto]]</f>
        <v>6</v>
      </c>
      <c r="L13" s="16">
        <f>((ARTICULOS_BAI[[#This Row],[P. Compra]]*(1+ARTICULOS_BAI[[#This Row],[IVA]]))/ARTICULOS_BAI[[#This Row],[UnidFact]])+ARTICULOS_BAI[[#This Row],[CostoFlete]]</f>
        <v>1150</v>
      </c>
      <c r="M13">
        <v>35</v>
      </c>
      <c r="N13" s="63">
        <f t="shared" si="1"/>
        <v>1800</v>
      </c>
      <c r="O13" s="3">
        <f>MROUND((ARTICULOS_BAI[[#This Row],[Precio]]/0.6),100)</f>
        <v>3000</v>
      </c>
      <c r="P13" t="s">
        <v>8693</v>
      </c>
      <c r="Q13">
        <v>12</v>
      </c>
      <c r="R13" s="3">
        <f>ARTICULOS_BAI[[#This Row],[Bulto]]*5</f>
        <v>30</v>
      </c>
      <c r="S13" t="s">
        <v>6</v>
      </c>
      <c r="T13" t="s">
        <v>10</v>
      </c>
      <c r="U13" t="s">
        <v>5</v>
      </c>
      <c r="V13" t="s">
        <v>10772</v>
      </c>
      <c r="W13" t="s">
        <v>8692</v>
      </c>
      <c r="X13">
        <v>1</v>
      </c>
      <c r="Y13">
        <v>7</v>
      </c>
      <c r="AB13" s="80">
        <f>ARTICULOS_BAI[[#This Row],[Costo]]*ARTICULOS_BAI[[#This Row],[Pedido]]</f>
        <v>0</v>
      </c>
      <c r="AD13"/>
      <c r="AH13" s="2" t="str">
        <f>IF(AND(ARTICULOS_BAI[[#This Row],[FechaVenc]]=0,ARTICULOS_BAI[[#This Row],[DiasVenc]]=0),"",ARTICULOS_BAI[[#This Row],[FechaVenc]]-ARTICULOS_BAI[[#This Row],[DiasVenc]])</f>
        <v/>
      </c>
      <c r="AN13" t="s">
        <v>8693</v>
      </c>
      <c r="AO13" t="s">
        <v>8689</v>
      </c>
      <c r="AP13" t="s">
        <v>8690</v>
      </c>
      <c r="AQ13" t="s">
        <v>8692</v>
      </c>
    </row>
    <row r="14" spans="1:43" ht="15.75" x14ac:dyDescent="0.25">
      <c r="A14" s="1" t="s">
        <v>10773</v>
      </c>
      <c r="C14" t="str">
        <f t="shared" si="0"/>
        <v>BEB62548648</v>
      </c>
      <c r="D14" t="s">
        <v>8689</v>
      </c>
      <c r="E14" s="1" t="s">
        <v>10774</v>
      </c>
      <c r="F14" s="61">
        <f>F13</f>
        <v>6900</v>
      </c>
      <c r="G14" s="129">
        <v>0</v>
      </c>
      <c r="H14" s="4" t="s">
        <v>8690</v>
      </c>
      <c r="I14">
        <v>6</v>
      </c>
      <c r="J14">
        <f>ARTICULOS_BAI[[#This Row],[Bulto]]</f>
        <v>6</v>
      </c>
      <c r="L14" s="16">
        <f>((ARTICULOS_BAI[[#This Row],[P. Compra]]*(1+ARTICULOS_BAI[[#This Row],[IVA]]))/ARTICULOS_BAI[[#This Row],[UnidFact]])+ARTICULOS_BAI[[#This Row],[CostoFlete]]</f>
        <v>1150</v>
      </c>
      <c r="M14">
        <v>35</v>
      </c>
      <c r="N14" s="63">
        <f t="shared" si="1"/>
        <v>1800</v>
      </c>
      <c r="O14" s="3">
        <f>MROUND((ARTICULOS_BAI[[#This Row],[Precio]]/0.6),100)</f>
        <v>3000</v>
      </c>
      <c r="P14" t="s">
        <v>8693</v>
      </c>
      <c r="Q14">
        <v>12</v>
      </c>
      <c r="R14" s="3">
        <f>ARTICULOS_BAI[[#This Row],[Bulto]]*5</f>
        <v>30</v>
      </c>
      <c r="S14" t="s">
        <v>6</v>
      </c>
      <c r="T14" t="s">
        <v>10</v>
      </c>
      <c r="U14" t="s">
        <v>5</v>
      </c>
      <c r="V14" t="s">
        <v>10772</v>
      </c>
      <c r="W14" t="s">
        <v>8692</v>
      </c>
      <c r="X14">
        <v>1</v>
      </c>
      <c r="Y14">
        <v>2</v>
      </c>
      <c r="AB14" s="80">
        <f>ARTICULOS_BAI[[#This Row],[Costo]]*ARTICULOS_BAI[[#This Row],[Pedido]]</f>
        <v>0</v>
      </c>
      <c r="AD14"/>
      <c r="AH14" s="2" t="str">
        <f>IF(AND(ARTICULOS_BAI[[#This Row],[FechaVenc]]=0,ARTICULOS_BAI[[#This Row],[DiasVenc]]=0),"",ARTICULOS_BAI[[#This Row],[FechaVenc]]-ARTICULOS_BAI[[#This Row],[DiasVenc]])</f>
        <v/>
      </c>
      <c r="AN14" t="s">
        <v>8693</v>
      </c>
      <c r="AO14" t="s">
        <v>8689</v>
      </c>
      <c r="AP14" t="s">
        <v>8690</v>
      </c>
      <c r="AQ14" t="s">
        <v>8692</v>
      </c>
    </row>
    <row r="15" spans="1:43" ht="15.75" x14ac:dyDescent="0.25">
      <c r="A15" s="1" t="s">
        <v>10775</v>
      </c>
      <c r="C15" t="str">
        <f t="shared" si="0"/>
        <v>BEB15000934</v>
      </c>
      <c r="D15" t="s">
        <v>8689</v>
      </c>
      <c r="E15" s="1" t="s">
        <v>10776</v>
      </c>
      <c r="F15" s="61">
        <f t="shared" ref="F15:F18" si="2">F14</f>
        <v>6900</v>
      </c>
      <c r="G15" s="129">
        <v>0</v>
      </c>
      <c r="H15" s="4" t="s">
        <v>8690</v>
      </c>
      <c r="I15">
        <v>6</v>
      </c>
      <c r="J15">
        <f>ARTICULOS_BAI[[#This Row],[Bulto]]</f>
        <v>6</v>
      </c>
      <c r="L15" s="16">
        <f>((ARTICULOS_BAI[[#This Row],[P. Compra]]*(1+ARTICULOS_BAI[[#This Row],[IVA]]))/ARTICULOS_BAI[[#This Row],[UnidFact]])+ARTICULOS_BAI[[#This Row],[CostoFlete]]</f>
        <v>1150</v>
      </c>
      <c r="M15">
        <v>35</v>
      </c>
      <c r="N15" s="63">
        <f t="shared" si="1"/>
        <v>1800</v>
      </c>
      <c r="O15" s="3">
        <f>MROUND((ARTICULOS_BAI[[#This Row],[Precio]]/0.6),100)</f>
        <v>3000</v>
      </c>
      <c r="P15" t="s">
        <v>8693</v>
      </c>
      <c r="Q15">
        <v>12</v>
      </c>
      <c r="R15" s="3">
        <f>ARTICULOS_BAI[[#This Row],[Bulto]]*5</f>
        <v>30</v>
      </c>
      <c r="S15" t="s">
        <v>6</v>
      </c>
      <c r="T15" t="s">
        <v>10</v>
      </c>
      <c r="U15" t="s">
        <v>5</v>
      </c>
      <c r="V15" t="s">
        <v>10772</v>
      </c>
      <c r="W15" t="s">
        <v>8692</v>
      </c>
      <c r="X15">
        <v>1</v>
      </c>
      <c r="Y15">
        <v>0</v>
      </c>
      <c r="AB15" s="80">
        <f>ARTICULOS_BAI[[#This Row],[Costo]]*ARTICULOS_BAI[[#This Row],[Pedido]]</f>
        <v>0</v>
      </c>
      <c r="AD15"/>
      <c r="AH15" s="2" t="str">
        <f>IF(AND(ARTICULOS_BAI[[#This Row],[FechaVenc]]=0,ARTICULOS_BAI[[#This Row],[DiasVenc]]=0),"",ARTICULOS_BAI[[#This Row],[FechaVenc]]-ARTICULOS_BAI[[#This Row],[DiasVenc]])</f>
        <v/>
      </c>
      <c r="AN15" t="s">
        <v>8693</v>
      </c>
      <c r="AO15" t="s">
        <v>8689</v>
      </c>
      <c r="AP15" t="s">
        <v>8690</v>
      </c>
      <c r="AQ15" t="s">
        <v>8692</v>
      </c>
    </row>
    <row r="16" spans="1:43" ht="15.75" x14ac:dyDescent="0.25">
      <c r="A16" s="1" t="s">
        <v>10777</v>
      </c>
      <c r="C16" t="str">
        <f t="shared" si="0"/>
        <v>BEB62540253</v>
      </c>
      <c r="D16" t="s">
        <v>8689</v>
      </c>
      <c r="E16" s="1" t="s">
        <v>10778</v>
      </c>
      <c r="F16" s="61">
        <f t="shared" si="2"/>
        <v>6900</v>
      </c>
      <c r="G16" s="129">
        <v>0</v>
      </c>
      <c r="H16" s="4" t="s">
        <v>8690</v>
      </c>
      <c r="I16">
        <v>6</v>
      </c>
      <c r="J16">
        <f>ARTICULOS_BAI[[#This Row],[Bulto]]</f>
        <v>6</v>
      </c>
      <c r="L16" s="16">
        <f>((ARTICULOS_BAI[[#This Row],[P. Compra]]*(1+ARTICULOS_BAI[[#This Row],[IVA]]))/ARTICULOS_BAI[[#This Row],[UnidFact]])+ARTICULOS_BAI[[#This Row],[CostoFlete]]</f>
        <v>1150</v>
      </c>
      <c r="M16">
        <v>35</v>
      </c>
      <c r="N16" s="63">
        <f t="shared" si="1"/>
        <v>1800</v>
      </c>
      <c r="O16" s="3">
        <f>MROUND((ARTICULOS_BAI[[#This Row],[Precio]]/0.6),100)</f>
        <v>3000</v>
      </c>
      <c r="P16" t="s">
        <v>8693</v>
      </c>
      <c r="Q16">
        <v>12</v>
      </c>
      <c r="R16" s="3">
        <f>ARTICULOS_BAI[[#This Row],[Bulto]]*5</f>
        <v>30</v>
      </c>
      <c r="S16" t="s">
        <v>6</v>
      </c>
      <c r="T16" t="s">
        <v>10</v>
      </c>
      <c r="U16" t="s">
        <v>5</v>
      </c>
      <c r="V16" t="s">
        <v>10772</v>
      </c>
      <c r="W16" t="s">
        <v>8692</v>
      </c>
      <c r="X16">
        <v>1</v>
      </c>
      <c r="Y16">
        <v>0</v>
      </c>
      <c r="AB16" s="80">
        <f>ARTICULOS_BAI[[#This Row],[Costo]]*ARTICULOS_BAI[[#This Row],[Pedido]]</f>
        <v>0</v>
      </c>
      <c r="AD16"/>
      <c r="AH16" s="2" t="str">
        <f>IF(AND(ARTICULOS_BAI[[#This Row],[FechaVenc]]=0,ARTICULOS_BAI[[#This Row],[DiasVenc]]=0),"",ARTICULOS_BAI[[#This Row],[FechaVenc]]-ARTICULOS_BAI[[#This Row],[DiasVenc]])</f>
        <v/>
      </c>
      <c r="AN16" t="s">
        <v>8693</v>
      </c>
      <c r="AO16" t="s">
        <v>8689</v>
      </c>
      <c r="AP16" t="s">
        <v>8690</v>
      </c>
      <c r="AQ16" t="s">
        <v>8692</v>
      </c>
    </row>
    <row r="17" spans="1:43" ht="15.75" x14ac:dyDescent="0.25">
      <c r="A17" s="1" t="s">
        <v>10779</v>
      </c>
      <c r="C17" t="str">
        <f t="shared" si="0"/>
        <v>BEB62548679</v>
      </c>
      <c r="D17" t="s">
        <v>8689</v>
      </c>
      <c r="E17" s="1" t="s">
        <v>10780</v>
      </c>
      <c r="F17" s="61">
        <f t="shared" si="2"/>
        <v>6900</v>
      </c>
      <c r="G17" s="129">
        <v>0</v>
      </c>
      <c r="H17" s="4" t="s">
        <v>8690</v>
      </c>
      <c r="I17">
        <v>6</v>
      </c>
      <c r="J17">
        <f>ARTICULOS_BAI[[#This Row],[Bulto]]</f>
        <v>6</v>
      </c>
      <c r="L17" s="16">
        <f>((ARTICULOS_BAI[[#This Row],[P. Compra]]*(1+ARTICULOS_BAI[[#This Row],[IVA]]))/ARTICULOS_BAI[[#This Row],[UnidFact]])+ARTICULOS_BAI[[#This Row],[CostoFlete]]</f>
        <v>1150</v>
      </c>
      <c r="M17">
        <v>35</v>
      </c>
      <c r="N17" s="63">
        <f t="shared" si="1"/>
        <v>1800</v>
      </c>
      <c r="O17" s="3">
        <f>MROUND((ARTICULOS_BAI[[#This Row],[Precio]]/0.6),100)</f>
        <v>3000</v>
      </c>
      <c r="P17" t="s">
        <v>8693</v>
      </c>
      <c r="Q17">
        <v>12</v>
      </c>
      <c r="R17" s="3">
        <f>ARTICULOS_BAI[[#This Row],[Bulto]]*5</f>
        <v>30</v>
      </c>
      <c r="S17" t="s">
        <v>6</v>
      </c>
      <c r="T17" t="s">
        <v>10</v>
      </c>
      <c r="U17" t="s">
        <v>5</v>
      </c>
      <c r="V17" t="s">
        <v>10772</v>
      </c>
      <c r="W17" t="s">
        <v>8692</v>
      </c>
      <c r="X17">
        <v>1</v>
      </c>
      <c r="Y17">
        <v>5</v>
      </c>
      <c r="AB17" s="80">
        <f>ARTICULOS_BAI[[#This Row],[Costo]]*ARTICULOS_BAI[[#This Row],[Pedido]]</f>
        <v>0</v>
      </c>
      <c r="AD17"/>
      <c r="AH17" s="2" t="str">
        <f>IF(AND(ARTICULOS_BAI[[#This Row],[FechaVenc]]=0,ARTICULOS_BAI[[#This Row],[DiasVenc]]=0),"",ARTICULOS_BAI[[#This Row],[FechaVenc]]-ARTICULOS_BAI[[#This Row],[DiasVenc]])</f>
        <v/>
      </c>
      <c r="AN17" t="s">
        <v>8693</v>
      </c>
      <c r="AO17" t="s">
        <v>8689</v>
      </c>
      <c r="AP17" t="s">
        <v>8690</v>
      </c>
      <c r="AQ17" t="s">
        <v>8692</v>
      </c>
    </row>
    <row r="18" spans="1:43" ht="15.75" x14ac:dyDescent="0.25">
      <c r="A18" s="1" t="s">
        <v>10781</v>
      </c>
      <c r="C18" t="str">
        <f t="shared" si="0"/>
        <v>BEB15000910</v>
      </c>
      <c r="D18" t="s">
        <v>8689</v>
      </c>
      <c r="E18" s="1" t="s">
        <v>10782</v>
      </c>
      <c r="F18" s="61">
        <f t="shared" si="2"/>
        <v>6900</v>
      </c>
      <c r="G18" s="129">
        <v>0</v>
      </c>
      <c r="H18" s="4" t="s">
        <v>8690</v>
      </c>
      <c r="I18">
        <v>6</v>
      </c>
      <c r="J18">
        <f>ARTICULOS_BAI[[#This Row],[Bulto]]</f>
        <v>6</v>
      </c>
      <c r="L18" s="16">
        <f>((ARTICULOS_BAI[[#This Row],[P. Compra]]*(1+ARTICULOS_BAI[[#This Row],[IVA]]))/ARTICULOS_BAI[[#This Row],[UnidFact]])+ARTICULOS_BAI[[#This Row],[CostoFlete]]</f>
        <v>1150</v>
      </c>
      <c r="M18">
        <v>35</v>
      </c>
      <c r="N18" s="63">
        <f t="shared" si="1"/>
        <v>1800</v>
      </c>
      <c r="O18" s="3">
        <f>MROUND((ARTICULOS_BAI[[#This Row],[Precio]]/0.6),100)</f>
        <v>3000</v>
      </c>
      <c r="P18" t="s">
        <v>8693</v>
      </c>
      <c r="Q18">
        <v>12</v>
      </c>
      <c r="R18" s="3">
        <f>ARTICULOS_BAI[[#This Row],[Bulto]]*5</f>
        <v>30</v>
      </c>
      <c r="S18" t="s">
        <v>6</v>
      </c>
      <c r="T18" t="s">
        <v>10</v>
      </c>
      <c r="U18" t="s">
        <v>5</v>
      </c>
      <c r="V18" t="s">
        <v>10772</v>
      </c>
      <c r="W18" t="s">
        <v>8692</v>
      </c>
      <c r="X18">
        <v>1</v>
      </c>
      <c r="Y18">
        <v>0</v>
      </c>
      <c r="AB18" s="80">
        <f>ARTICULOS_BAI[[#This Row],[Costo]]*ARTICULOS_BAI[[#This Row],[Pedido]]</f>
        <v>0</v>
      </c>
      <c r="AD18"/>
      <c r="AH18" s="2" t="str">
        <f>IF(AND(ARTICULOS_BAI[[#This Row],[FechaVenc]]=0,ARTICULOS_BAI[[#This Row],[DiasVenc]]=0),"",ARTICULOS_BAI[[#This Row],[FechaVenc]]-ARTICULOS_BAI[[#This Row],[DiasVenc]])</f>
        <v/>
      </c>
      <c r="AN18" t="s">
        <v>8693</v>
      </c>
      <c r="AO18" t="s">
        <v>8689</v>
      </c>
      <c r="AP18" t="s">
        <v>8690</v>
      </c>
      <c r="AQ18" t="s">
        <v>8692</v>
      </c>
    </row>
    <row r="19" spans="1:43" ht="15.75" x14ac:dyDescent="0.25">
      <c r="A19" s="1" t="s">
        <v>10783</v>
      </c>
      <c r="C19" t="str">
        <f t="shared" si="0"/>
        <v>BEB62548716</v>
      </c>
      <c r="D19" t="s">
        <v>8689</v>
      </c>
      <c r="E19" s="1" t="s">
        <v>10784</v>
      </c>
      <c r="F19" s="61">
        <v>8847</v>
      </c>
      <c r="G19" s="129">
        <v>0</v>
      </c>
      <c r="H19" s="4" t="s">
        <v>8690</v>
      </c>
      <c r="I19">
        <v>12</v>
      </c>
      <c r="J19">
        <f>ARTICULOS_BAI[[#This Row],[Bulto]]</f>
        <v>12</v>
      </c>
      <c r="L19" s="16">
        <f>((ARTICULOS_BAI[[#This Row],[P. Compra]]*(1+ARTICULOS_BAI[[#This Row],[IVA]]))/ARTICULOS_BAI[[#This Row],[UnidFact]])+ARTICULOS_BAI[[#This Row],[CostoFlete]]</f>
        <v>737.25</v>
      </c>
      <c r="M19">
        <v>35</v>
      </c>
      <c r="N19" s="63">
        <f t="shared" si="1"/>
        <v>1100</v>
      </c>
      <c r="O19" s="3">
        <f>MROUND((ARTICULOS_BAI[[#This Row],[Precio]]/0.6),100)</f>
        <v>1800</v>
      </c>
      <c r="P19" t="s">
        <v>8693</v>
      </c>
      <c r="Q19">
        <v>12</v>
      </c>
      <c r="R19" s="3">
        <f>ARTICULOS_BAI[[#This Row],[Bulto]]*5</f>
        <v>60</v>
      </c>
      <c r="S19" t="s">
        <v>6</v>
      </c>
      <c r="T19" t="s">
        <v>10</v>
      </c>
      <c r="U19" t="s">
        <v>5</v>
      </c>
      <c r="V19" t="s">
        <v>10772</v>
      </c>
      <c r="W19" t="s">
        <v>8692</v>
      </c>
      <c r="X19">
        <v>1</v>
      </c>
      <c r="Y19">
        <v>18</v>
      </c>
      <c r="AB19" s="80">
        <f>ARTICULOS_BAI[[#This Row],[Costo]]*ARTICULOS_BAI[[#This Row],[Pedido]]</f>
        <v>0</v>
      </c>
      <c r="AD19"/>
      <c r="AH19" s="2" t="str">
        <f>IF(AND(ARTICULOS_BAI[[#This Row],[FechaVenc]]=0,ARTICULOS_BAI[[#This Row],[DiasVenc]]=0),"",ARTICULOS_BAI[[#This Row],[FechaVenc]]-ARTICULOS_BAI[[#This Row],[DiasVenc]])</f>
        <v/>
      </c>
      <c r="AN19" t="s">
        <v>8693</v>
      </c>
      <c r="AO19" t="s">
        <v>8689</v>
      </c>
      <c r="AP19" t="s">
        <v>8690</v>
      </c>
      <c r="AQ19" t="s">
        <v>8692</v>
      </c>
    </row>
    <row r="20" spans="1:43" ht="15.75" x14ac:dyDescent="0.25">
      <c r="A20" s="1" t="s">
        <v>10785</v>
      </c>
      <c r="C20" t="str">
        <f t="shared" si="0"/>
        <v>BEB15100184</v>
      </c>
      <c r="D20" t="s">
        <v>8689</v>
      </c>
      <c r="E20" s="1" t="s">
        <v>10786</v>
      </c>
      <c r="F20" s="61">
        <f>F19</f>
        <v>8847</v>
      </c>
      <c r="G20" s="129">
        <v>0</v>
      </c>
      <c r="H20" s="4" t="s">
        <v>8690</v>
      </c>
      <c r="I20">
        <v>12</v>
      </c>
      <c r="J20">
        <f>ARTICULOS_BAI[[#This Row],[Bulto]]</f>
        <v>12</v>
      </c>
      <c r="L20" s="16">
        <f>((ARTICULOS_BAI[[#This Row],[P. Compra]]*(1+ARTICULOS_BAI[[#This Row],[IVA]]))/ARTICULOS_BAI[[#This Row],[UnidFact]])+ARTICULOS_BAI[[#This Row],[CostoFlete]]</f>
        <v>737.25</v>
      </c>
      <c r="M20">
        <v>35</v>
      </c>
      <c r="N20" s="63">
        <f t="shared" si="1"/>
        <v>1100</v>
      </c>
      <c r="O20" s="3">
        <f>MROUND((ARTICULOS_BAI[[#This Row],[Precio]]/0.6),100)</f>
        <v>1800</v>
      </c>
      <c r="P20" t="s">
        <v>8693</v>
      </c>
      <c r="Q20">
        <v>12</v>
      </c>
      <c r="R20" s="3">
        <f>ARTICULOS_BAI[[#This Row],[Bulto]]*5</f>
        <v>60</v>
      </c>
      <c r="S20" t="s">
        <v>6</v>
      </c>
      <c r="T20" t="s">
        <v>10</v>
      </c>
      <c r="U20" t="s">
        <v>5</v>
      </c>
      <c r="V20" t="s">
        <v>10772</v>
      </c>
      <c r="W20" t="s">
        <v>8692</v>
      </c>
      <c r="X20">
        <v>1</v>
      </c>
      <c r="Y20">
        <v>0</v>
      </c>
      <c r="AB20" s="80">
        <f>ARTICULOS_BAI[[#This Row],[Costo]]*ARTICULOS_BAI[[#This Row],[Pedido]]</f>
        <v>0</v>
      </c>
      <c r="AD20"/>
      <c r="AH20" s="2" t="str">
        <f>IF(AND(ARTICULOS_BAI[[#This Row],[FechaVenc]]=0,ARTICULOS_BAI[[#This Row],[DiasVenc]]=0),"",ARTICULOS_BAI[[#This Row],[FechaVenc]]-ARTICULOS_BAI[[#This Row],[DiasVenc]])</f>
        <v/>
      </c>
      <c r="AN20" t="s">
        <v>8693</v>
      </c>
      <c r="AO20" t="s">
        <v>8689</v>
      </c>
      <c r="AP20" t="s">
        <v>8690</v>
      </c>
      <c r="AQ20" t="s">
        <v>8692</v>
      </c>
    </row>
    <row r="21" spans="1:43" ht="15.75" x14ac:dyDescent="0.25">
      <c r="A21" s="1" t="s">
        <v>10787</v>
      </c>
      <c r="C21" t="str">
        <f t="shared" si="0"/>
        <v>BEB62548655</v>
      </c>
      <c r="D21" t="s">
        <v>8689</v>
      </c>
      <c r="E21" s="1" t="s">
        <v>10788</v>
      </c>
      <c r="F21" s="61">
        <f t="shared" ref="F21:F25" si="3">F20</f>
        <v>8847</v>
      </c>
      <c r="G21" s="129">
        <v>0</v>
      </c>
      <c r="H21" s="4" t="s">
        <v>8690</v>
      </c>
      <c r="I21">
        <v>12</v>
      </c>
      <c r="J21">
        <f>ARTICULOS_BAI[[#This Row],[Bulto]]</f>
        <v>12</v>
      </c>
      <c r="L21" s="16">
        <f>((ARTICULOS_BAI[[#This Row],[P. Compra]]*(1+ARTICULOS_BAI[[#This Row],[IVA]]))/ARTICULOS_BAI[[#This Row],[UnidFact]])+ARTICULOS_BAI[[#This Row],[CostoFlete]]</f>
        <v>737.25</v>
      </c>
      <c r="M21">
        <v>35</v>
      </c>
      <c r="N21" s="63">
        <f t="shared" si="1"/>
        <v>1100</v>
      </c>
      <c r="O21" s="3">
        <f>MROUND((ARTICULOS_BAI[[#This Row],[Precio]]/0.6),100)</f>
        <v>1800</v>
      </c>
      <c r="P21" t="s">
        <v>8693</v>
      </c>
      <c r="Q21">
        <v>12</v>
      </c>
      <c r="R21" s="3">
        <f>ARTICULOS_BAI[[#This Row],[Bulto]]*5</f>
        <v>60</v>
      </c>
      <c r="S21" t="s">
        <v>6</v>
      </c>
      <c r="T21" t="s">
        <v>10</v>
      </c>
      <c r="U21" t="s">
        <v>5</v>
      </c>
      <c r="V21" t="s">
        <v>10772</v>
      </c>
      <c r="W21" t="s">
        <v>8692</v>
      </c>
      <c r="X21">
        <v>1</v>
      </c>
      <c r="Y21">
        <v>15</v>
      </c>
      <c r="AB21" s="80">
        <f>ARTICULOS_BAI[[#This Row],[Costo]]*ARTICULOS_BAI[[#This Row],[Pedido]]</f>
        <v>0</v>
      </c>
      <c r="AD21"/>
      <c r="AH21" s="2" t="str">
        <f>IF(AND(ARTICULOS_BAI[[#This Row],[FechaVenc]]=0,ARTICULOS_BAI[[#This Row],[DiasVenc]]=0),"",ARTICULOS_BAI[[#This Row],[FechaVenc]]-ARTICULOS_BAI[[#This Row],[DiasVenc]])</f>
        <v/>
      </c>
      <c r="AN21" t="s">
        <v>8693</v>
      </c>
      <c r="AO21" t="s">
        <v>8689</v>
      </c>
      <c r="AP21" t="s">
        <v>8690</v>
      </c>
      <c r="AQ21" t="s">
        <v>8692</v>
      </c>
    </row>
    <row r="22" spans="1:43" ht="15.75" x14ac:dyDescent="0.25">
      <c r="A22" s="1" t="s">
        <v>10789</v>
      </c>
      <c r="C22" t="str">
        <f t="shared" si="0"/>
        <v>BEB15100207</v>
      </c>
      <c r="D22" t="s">
        <v>8689</v>
      </c>
      <c r="E22" s="1" t="s">
        <v>10790</v>
      </c>
      <c r="F22" s="61">
        <f t="shared" si="3"/>
        <v>8847</v>
      </c>
      <c r="G22" s="129">
        <v>0</v>
      </c>
      <c r="H22" s="4" t="s">
        <v>8690</v>
      </c>
      <c r="I22">
        <v>12</v>
      </c>
      <c r="J22">
        <f>ARTICULOS_BAI[[#This Row],[Bulto]]</f>
        <v>12</v>
      </c>
      <c r="L22" s="16">
        <f>((ARTICULOS_BAI[[#This Row],[P. Compra]]*(1+ARTICULOS_BAI[[#This Row],[IVA]]))/ARTICULOS_BAI[[#This Row],[UnidFact]])+ARTICULOS_BAI[[#This Row],[CostoFlete]]</f>
        <v>737.25</v>
      </c>
      <c r="M22">
        <v>35</v>
      </c>
      <c r="N22" s="63">
        <f t="shared" si="1"/>
        <v>1100</v>
      </c>
      <c r="O22" s="3">
        <f>MROUND((ARTICULOS_BAI[[#This Row],[Precio]]/0.6),100)</f>
        <v>1800</v>
      </c>
      <c r="P22" t="s">
        <v>8693</v>
      </c>
      <c r="Q22">
        <v>12</v>
      </c>
      <c r="R22" s="3">
        <f>ARTICULOS_BAI[[#This Row],[Bulto]]*5</f>
        <v>60</v>
      </c>
      <c r="S22" t="s">
        <v>6</v>
      </c>
      <c r="T22" t="s">
        <v>10</v>
      </c>
      <c r="U22" t="s">
        <v>5</v>
      </c>
      <c r="V22" t="s">
        <v>10772</v>
      </c>
      <c r="W22" t="s">
        <v>8692</v>
      </c>
      <c r="X22">
        <v>1</v>
      </c>
      <c r="Y22">
        <v>0</v>
      </c>
      <c r="AB22" s="80">
        <f>ARTICULOS_BAI[[#This Row],[Costo]]*ARTICULOS_BAI[[#This Row],[Pedido]]</f>
        <v>0</v>
      </c>
      <c r="AD22"/>
      <c r="AH22" s="2" t="str">
        <f>IF(AND(ARTICULOS_BAI[[#This Row],[FechaVenc]]=0,ARTICULOS_BAI[[#This Row],[DiasVenc]]=0),"",ARTICULOS_BAI[[#This Row],[FechaVenc]]-ARTICULOS_BAI[[#This Row],[DiasVenc]])</f>
        <v/>
      </c>
      <c r="AN22" t="s">
        <v>8693</v>
      </c>
      <c r="AO22" t="s">
        <v>8689</v>
      </c>
      <c r="AP22" t="s">
        <v>8690</v>
      </c>
      <c r="AQ22" t="s">
        <v>8692</v>
      </c>
    </row>
    <row r="23" spans="1:43" ht="15.75" x14ac:dyDescent="0.25">
      <c r="A23" s="1" t="s">
        <v>10791</v>
      </c>
      <c r="C23" t="str">
        <f t="shared" si="0"/>
        <v>BEB62540260</v>
      </c>
      <c r="D23" t="s">
        <v>8689</v>
      </c>
      <c r="E23" s="1" t="s">
        <v>10792</v>
      </c>
      <c r="F23" s="61">
        <f t="shared" si="3"/>
        <v>8847</v>
      </c>
      <c r="G23" s="129">
        <v>0</v>
      </c>
      <c r="H23" s="4" t="s">
        <v>8690</v>
      </c>
      <c r="I23">
        <v>12</v>
      </c>
      <c r="J23">
        <f>ARTICULOS_BAI[[#This Row],[Bulto]]</f>
        <v>12</v>
      </c>
      <c r="L23" s="16">
        <f>((ARTICULOS_BAI[[#This Row],[P. Compra]]*(1+ARTICULOS_BAI[[#This Row],[IVA]]))/ARTICULOS_BAI[[#This Row],[UnidFact]])+ARTICULOS_BAI[[#This Row],[CostoFlete]]</f>
        <v>737.25</v>
      </c>
      <c r="M23">
        <v>35</v>
      </c>
      <c r="N23" s="63">
        <f t="shared" si="1"/>
        <v>1100</v>
      </c>
      <c r="O23" s="3">
        <f>MROUND((ARTICULOS_BAI[[#This Row],[Precio]]/0.6),100)</f>
        <v>1800</v>
      </c>
      <c r="P23" t="s">
        <v>8693</v>
      </c>
      <c r="Q23">
        <v>12</v>
      </c>
      <c r="R23" s="3">
        <f>ARTICULOS_BAI[[#This Row],[Bulto]]*5</f>
        <v>60</v>
      </c>
      <c r="S23" t="s">
        <v>6</v>
      </c>
      <c r="T23" t="s">
        <v>10</v>
      </c>
      <c r="U23" t="s">
        <v>5</v>
      </c>
      <c r="V23" t="s">
        <v>10772</v>
      </c>
      <c r="W23" t="s">
        <v>8692</v>
      </c>
      <c r="X23">
        <v>1</v>
      </c>
      <c r="Y23">
        <v>14</v>
      </c>
      <c r="AB23" s="80">
        <f>ARTICULOS_BAI[[#This Row],[Costo]]*ARTICULOS_BAI[[#This Row],[Pedido]]</f>
        <v>0</v>
      </c>
      <c r="AD23"/>
      <c r="AH23" s="2" t="str">
        <f>IF(AND(ARTICULOS_BAI[[#This Row],[FechaVenc]]=0,ARTICULOS_BAI[[#This Row],[DiasVenc]]=0),"",ARTICULOS_BAI[[#This Row],[FechaVenc]]-ARTICULOS_BAI[[#This Row],[DiasVenc]])</f>
        <v/>
      </c>
      <c r="AN23" t="s">
        <v>8693</v>
      </c>
      <c r="AO23" t="s">
        <v>8689</v>
      </c>
      <c r="AP23" t="s">
        <v>8690</v>
      </c>
      <c r="AQ23" t="s">
        <v>8692</v>
      </c>
    </row>
    <row r="24" spans="1:43" ht="15.75" x14ac:dyDescent="0.25">
      <c r="A24" s="1" t="s">
        <v>10793</v>
      </c>
      <c r="C24" t="str">
        <f t="shared" si="0"/>
        <v>BEB62548686</v>
      </c>
      <c r="D24" t="s">
        <v>8689</v>
      </c>
      <c r="E24" s="1" t="s">
        <v>10794</v>
      </c>
      <c r="F24" s="61">
        <f t="shared" si="3"/>
        <v>8847</v>
      </c>
      <c r="G24" s="129">
        <v>0</v>
      </c>
      <c r="H24" s="4" t="s">
        <v>8690</v>
      </c>
      <c r="I24">
        <v>12</v>
      </c>
      <c r="J24">
        <f>ARTICULOS_BAI[[#This Row],[Bulto]]</f>
        <v>12</v>
      </c>
      <c r="L24" s="16">
        <f>((ARTICULOS_BAI[[#This Row],[P. Compra]]*(1+ARTICULOS_BAI[[#This Row],[IVA]]))/ARTICULOS_BAI[[#This Row],[UnidFact]])+ARTICULOS_BAI[[#This Row],[CostoFlete]]</f>
        <v>737.25</v>
      </c>
      <c r="M24">
        <v>35</v>
      </c>
      <c r="N24" s="63">
        <f t="shared" si="1"/>
        <v>1100</v>
      </c>
      <c r="O24" s="3">
        <f>MROUND((ARTICULOS_BAI[[#This Row],[Precio]]/0.6),100)</f>
        <v>1800</v>
      </c>
      <c r="P24" t="s">
        <v>8693</v>
      </c>
      <c r="Q24">
        <v>12</v>
      </c>
      <c r="R24" s="3">
        <f>ARTICULOS_BAI[[#This Row],[Bulto]]*5</f>
        <v>60</v>
      </c>
      <c r="S24" t="s">
        <v>6</v>
      </c>
      <c r="T24" t="s">
        <v>10</v>
      </c>
      <c r="U24" t="s">
        <v>5</v>
      </c>
      <c r="V24" t="s">
        <v>10772</v>
      </c>
      <c r="W24" t="s">
        <v>8692</v>
      </c>
      <c r="X24">
        <v>1</v>
      </c>
      <c r="Y24">
        <v>34</v>
      </c>
      <c r="AB24" s="80">
        <f>ARTICULOS_BAI[[#This Row],[Costo]]*ARTICULOS_BAI[[#This Row],[Pedido]]</f>
        <v>0</v>
      </c>
      <c r="AD24"/>
      <c r="AH24" s="2" t="str">
        <f>IF(AND(ARTICULOS_BAI[[#This Row],[FechaVenc]]=0,ARTICULOS_BAI[[#This Row],[DiasVenc]]=0),"",ARTICULOS_BAI[[#This Row],[FechaVenc]]-ARTICULOS_BAI[[#This Row],[DiasVenc]])</f>
        <v/>
      </c>
      <c r="AN24" t="s">
        <v>8693</v>
      </c>
      <c r="AO24" t="s">
        <v>8689</v>
      </c>
      <c r="AP24" t="s">
        <v>8690</v>
      </c>
      <c r="AQ24" t="s">
        <v>8692</v>
      </c>
    </row>
    <row r="25" spans="1:43" ht="15.75" x14ac:dyDescent="0.25">
      <c r="A25" s="1" t="s">
        <v>10795</v>
      </c>
      <c r="C25" t="str">
        <f t="shared" si="0"/>
        <v>BEB15100177</v>
      </c>
      <c r="D25" t="s">
        <v>8689</v>
      </c>
      <c r="E25" s="1" t="s">
        <v>10796</v>
      </c>
      <c r="F25" s="61">
        <f t="shared" si="3"/>
        <v>8847</v>
      </c>
      <c r="G25" s="129">
        <v>0</v>
      </c>
      <c r="H25" s="4" t="s">
        <v>8690</v>
      </c>
      <c r="I25">
        <v>12</v>
      </c>
      <c r="J25">
        <f>ARTICULOS_BAI[[#This Row],[Bulto]]</f>
        <v>12</v>
      </c>
      <c r="L25" s="16">
        <f>((ARTICULOS_BAI[[#This Row],[P. Compra]]*(1+ARTICULOS_BAI[[#This Row],[IVA]]))/ARTICULOS_BAI[[#This Row],[UnidFact]])+ARTICULOS_BAI[[#This Row],[CostoFlete]]</f>
        <v>737.25</v>
      </c>
      <c r="M25">
        <v>35</v>
      </c>
      <c r="N25" s="63">
        <f t="shared" si="1"/>
        <v>1100</v>
      </c>
      <c r="O25" s="3">
        <f>MROUND((ARTICULOS_BAI[[#This Row],[Precio]]/0.6),100)</f>
        <v>1800</v>
      </c>
      <c r="P25" t="s">
        <v>8693</v>
      </c>
      <c r="Q25">
        <v>12</v>
      </c>
      <c r="R25" s="3">
        <f>ARTICULOS_BAI[[#This Row],[Bulto]]*5</f>
        <v>60</v>
      </c>
      <c r="S25" t="s">
        <v>6</v>
      </c>
      <c r="T25" t="s">
        <v>10</v>
      </c>
      <c r="U25" t="s">
        <v>5</v>
      </c>
      <c r="V25" t="s">
        <v>10772</v>
      </c>
      <c r="W25" t="s">
        <v>8692</v>
      </c>
      <c r="X25">
        <v>1</v>
      </c>
      <c r="Y25">
        <v>0</v>
      </c>
      <c r="AB25" s="80">
        <f>ARTICULOS_BAI[[#This Row],[Costo]]*ARTICULOS_BAI[[#This Row],[Pedido]]</f>
        <v>0</v>
      </c>
      <c r="AD25"/>
      <c r="AH25" s="2" t="str">
        <f>IF(AND(ARTICULOS_BAI[[#This Row],[FechaVenc]]=0,ARTICULOS_BAI[[#This Row],[DiasVenc]]=0),"",ARTICULOS_BAI[[#This Row],[FechaVenc]]-ARTICULOS_BAI[[#This Row],[DiasVenc]])</f>
        <v/>
      </c>
      <c r="AN25" t="s">
        <v>8693</v>
      </c>
      <c r="AO25" t="s">
        <v>8689</v>
      </c>
      <c r="AP25" t="s">
        <v>8690</v>
      </c>
      <c r="AQ25" t="s">
        <v>8692</v>
      </c>
    </row>
    <row r="26" spans="1:43" ht="15.75" x14ac:dyDescent="0.25">
      <c r="A26" s="24" t="s">
        <v>12037</v>
      </c>
      <c r="C26" t="str">
        <f t="shared" si="0"/>
        <v>BEB55000166</v>
      </c>
      <c r="D26" t="s">
        <v>8689</v>
      </c>
      <c r="E26" s="24" t="s">
        <v>12036</v>
      </c>
      <c r="F26" s="61">
        <v>5258.3</v>
      </c>
      <c r="G26" s="129">
        <v>0</v>
      </c>
      <c r="H26" s="4" t="s">
        <v>8690</v>
      </c>
      <c r="I26">
        <v>12</v>
      </c>
      <c r="J26">
        <f>ARTICULOS_BAI[[#This Row],[Bulto]]</f>
        <v>12</v>
      </c>
      <c r="L26" s="16">
        <f>((ARTICULOS_BAI[[#This Row],[P. Compra]]*(1+ARTICULOS_BAI[[#This Row],[IVA]]))/ARTICULOS_BAI[[#This Row],[UnidFact]])+ARTICULOS_BAI[[#This Row],[CostoFlete]]</f>
        <v>438.19166666666666</v>
      </c>
      <c r="M26">
        <v>35</v>
      </c>
      <c r="N26" s="63">
        <f t="shared" si="1"/>
        <v>700</v>
      </c>
      <c r="O26" s="3">
        <f>MROUND((ARTICULOS_BAI[[#This Row],[Precio]]/0.6),100)</f>
        <v>1200</v>
      </c>
      <c r="P26" t="s">
        <v>8693</v>
      </c>
      <c r="Q26">
        <v>12</v>
      </c>
      <c r="R26" s="3">
        <f>ARTICULOS_BAI[[#This Row],[Bulto]]*5</f>
        <v>60</v>
      </c>
      <c r="S26" t="s">
        <v>6</v>
      </c>
      <c r="T26" t="s">
        <v>10</v>
      </c>
      <c r="U26" t="s">
        <v>5</v>
      </c>
      <c r="V26" t="s">
        <v>10772</v>
      </c>
      <c r="W26" t="s">
        <v>8692</v>
      </c>
      <c r="X26">
        <v>1</v>
      </c>
      <c r="Y26">
        <v>0</v>
      </c>
      <c r="AB26" s="80">
        <f>ARTICULOS_BAI[[#This Row],[Costo]]*ARTICULOS_BAI[[#This Row],[Pedido]]</f>
        <v>0</v>
      </c>
      <c r="AD26"/>
      <c r="AH26" s="2" t="str">
        <f>IF(AND(ARTICULOS_BAI[[#This Row],[FechaVenc]]=0,ARTICULOS_BAI[[#This Row],[DiasVenc]]=0),"",ARTICULOS_BAI[[#This Row],[FechaVenc]]-ARTICULOS_BAI[[#This Row],[DiasVenc]])</f>
        <v/>
      </c>
      <c r="AN26" t="s">
        <v>8693</v>
      </c>
      <c r="AO26" t="s">
        <v>8689</v>
      </c>
      <c r="AP26" t="s">
        <v>8690</v>
      </c>
      <c r="AQ26" t="s">
        <v>8692</v>
      </c>
    </row>
    <row r="27" spans="1:43" ht="15.75" x14ac:dyDescent="0.25">
      <c r="A27" s="24" t="s">
        <v>12038</v>
      </c>
      <c r="C27" t="str">
        <f t="shared" ref="C27" si="4">CONCATENATE(LEFT(T27,3),RIGHT(A27,8))</f>
        <v>BEB55000159</v>
      </c>
      <c r="D27" t="s">
        <v>8689</v>
      </c>
      <c r="E27" s="24" t="s">
        <v>12039</v>
      </c>
      <c r="F27" s="61">
        <v>5258.3</v>
      </c>
      <c r="G27" s="129">
        <v>0</v>
      </c>
      <c r="H27" s="4" t="s">
        <v>8690</v>
      </c>
      <c r="I27">
        <v>12</v>
      </c>
      <c r="J27">
        <f>ARTICULOS_BAI[[#This Row],[Bulto]]</f>
        <v>12</v>
      </c>
      <c r="L27" s="16">
        <f>((ARTICULOS_BAI[[#This Row],[P. Compra]]*(1+ARTICULOS_BAI[[#This Row],[IVA]]))/ARTICULOS_BAI[[#This Row],[UnidFact]])+ARTICULOS_BAI[[#This Row],[CostoFlete]]</f>
        <v>438.19166666666666</v>
      </c>
      <c r="M27">
        <v>35</v>
      </c>
      <c r="N27" s="63">
        <f t="shared" si="1"/>
        <v>700</v>
      </c>
      <c r="O27" s="3">
        <f>MROUND((ARTICULOS_BAI[[#This Row],[Precio]]/0.6),100)</f>
        <v>1200</v>
      </c>
      <c r="P27" t="s">
        <v>8693</v>
      </c>
      <c r="Q27">
        <v>12</v>
      </c>
      <c r="R27" s="3">
        <f>ARTICULOS_BAI[[#This Row],[Bulto]]*5</f>
        <v>60</v>
      </c>
      <c r="S27" t="s">
        <v>6</v>
      </c>
      <c r="T27" t="s">
        <v>10</v>
      </c>
      <c r="U27" t="s">
        <v>5</v>
      </c>
      <c r="V27" t="s">
        <v>10772</v>
      </c>
      <c r="W27" t="s">
        <v>8692</v>
      </c>
      <c r="X27">
        <v>1</v>
      </c>
      <c r="Y27">
        <v>0</v>
      </c>
      <c r="AB27" s="80">
        <f>ARTICULOS_BAI[[#This Row],[Costo]]*ARTICULOS_BAI[[#This Row],[Pedido]]</f>
        <v>0</v>
      </c>
      <c r="AD27"/>
      <c r="AH27" s="2" t="str">
        <f>IF(AND(ARTICULOS_BAI[[#This Row],[FechaVenc]]=0,ARTICULOS_BAI[[#This Row],[DiasVenc]]=0),"",ARTICULOS_BAI[[#This Row],[FechaVenc]]-ARTICULOS_BAI[[#This Row],[DiasVenc]])</f>
        <v/>
      </c>
      <c r="AN27" t="s">
        <v>8693</v>
      </c>
      <c r="AO27" t="s">
        <v>8689</v>
      </c>
      <c r="AP27" t="s">
        <v>8690</v>
      </c>
      <c r="AQ27" t="s">
        <v>8692</v>
      </c>
    </row>
    <row r="28" spans="1:43" ht="15.75" x14ac:dyDescent="0.25">
      <c r="A28" s="24" t="s">
        <v>10809</v>
      </c>
      <c r="C28" t="str">
        <f t="shared" si="0"/>
        <v>BOD68000488</v>
      </c>
      <c r="D28" t="s">
        <v>8689</v>
      </c>
      <c r="E28" s="24" t="s">
        <v>10810</v>
      </c>
      <c r="F28" s="61">
        <f>1640*6</f>
        <v>9840</v>
      </c>
      <c r="G28" s="129">
        <v>0</v>
      </c>
      <c r="H28" s="4" t="s">
        <v>8690</v>
      </c>
      <c r="I28">
        <v>6</v>
      </c>
      <c r="J28">
        <v>6</v>
      </c>
      <c r="L28" s="17">
        <f>((ARTICULOS_BAI[[#This Row],[P. Compra]]*(1+ARTICULOS_BAI[[#This Row],[IVA]]))/ARTICULOS_BAI[[#This Row],[UnidFact]])+ARTICULOS_BAI[[#This Row],[CostoFlete]]</f>
        <v>1640</v>
      </c>
      <c r="M28">
        <v>20</v>
      </c>
      <c r="N28" s="63">
        <f t="shared" si="1"/>
        <v>2100</v>
      </c>
      <c r="O28" s="3">
        <f>MROUND((ARTICULOS_BAI[[#This Row],[Precio]]/0.6),100)</f>
        <v>3500</v>
      </c>
      <c r="P28" t="s">
        <v>8693</v>
      </c>
      <c r="Q28" s="42">
        <v>2</v>
      </c>
      <c r="R28" s="3">
        <f>ARTICULOS_BAI[[#This Row],[Bulto]]*2</f>
        <v>12</v>
      </c>
      <c r="S28" t="s">
        <v>6</v>
      </c>
      <c r="T28" t="s">
        <v>13</v>
      </c>
      <c r="U28" t="s">
        <v>104</v>
      </c>
      <c r="V28" s="30" t="s">
        <v>10811</v>
      </c>
      <c r="W28" t="s">
        <v>8692</v>
      </c>
      <c r="X28">
        <v>1</v>
      </c>
      <c r="Y28">
        <v>10</v>
      </c>
      <c r="AB28" s="80">
        <f>ARTICULOS_BAI[[#This Row],[Costo]]*ARTICULOS_BAI[[#This Row],[Pedido]]</f>
        <v>0</v>
      </c>
      <c r="AD28"/>
      <c r="AH28" s="2" t="str">
        <f>IF(AND(ARTICULOS_BAI[[#This Row],[FechaVenc]]=0,ARTICULOS_BAI[[#This Row],[DiasVenc]]=0),"",ARTICULOS_BAI[[#This Row],[FechaVenc]]-ARTICULOS_BAI[[#This Row],[DiasVenc]])</f>
        <v/>
      </c>
      <c r="AN28" t="s">
        <v>8693</v>
      </c>
      <c r="AO28" t="s">
        <v>8689</v>
      </c>
      <c r="AP28" t="s">
        <v>8690</v>
      </c>
      <c r="AQ28" t="s">
        <v>8692</v>
      </c>
    </row>
    <row r="29" spans="1:43" ht="15.75" x14ac:dyDescent="0.25">
      <c r="A29" s="24" t="s">
        <v>12142</v>
      </c>
      <c r="C29" t="str">
        <f t="shared" ref="C29:C31" si="5">CONCATENATE(LEFT(T29,3),RIGHT(A29,8))</f>
        <v>BOD68903833</v>
      </c>
      <c r="D29" t="s">
        <v>8689</v>
      </c>
      <c r="E29" s="24" t="s">
        <v>12146</v>
      </c>
      <c r="F29" s="61">
        <v>2205.6</v>
      </c>
      <c r="G29" s="129">
        <v>0</v>
      </c>
      <c r="H29" s="31" t="s">
        <v>8690</v>
      </c>
      <c r="I29">
        <v>6</v>
      </c>
      <c r="J29">
        <v>1</v>
      </c>
      <c r="L29" s="17">
        <f>((ARTICULOS_BAI[[#This Row],[P. Compra]]*(1+ARTICULOS_BAI[[#This Row],[IVA]]))/ARTICULOS_BAI[[#This Row],[UnidFact]])+ARTICULOS_BAI[[#This Row],[CostoFlete]]</f>
        <v>2205.6</v>
      </c>
      <c r="M29" s="4">
        <v>20</v>
      </c>
      <c r="N29" s="63">
        <f t="shared" si="1"/>
        <v>2800</v>
      </c>
      <c r="O29" s="23">
        <f>MROUND((ARTICULOS_BAI[[#This Row],[Precio]]/0.6),100)</f>
        <v>4700</v>
      </c>
      <c r="P29" s="3" t="s">
        <v>8693</v>
      </c>
      <c r="Q29" s="42">
        <v>2</v>
      </c>
      <c r="R29" s="23">
        <f>ARTICULOS_BAI[[#This Row],[Bulto]]*2</f>
        <v>12</v>
      </c>
      <c r="S29" t="s">
        <v>6</v>
      </c>
      <c r="T29" t="s">
        <v>13</v>
      </c>
      <c r="U29" t="s">
        <v>104</v>
      </c>
      <c r="V29" s="30" t="s">
        <v>10811</v>
      </c>
      <c r="W29" t="s">
        <v>8692</v>
      </c>
      <c r="X29">
        <v>1</v>
      </c>
      <c r="Y29">
        <v>10</v>
      </c>
      <c r="AB29" s="80">
        <f>ARTICULOS_BAI[[#This Row],[Costo]]*ARTICULOS_BAI[[#This Row],[Pedido]]</f>
        <v>0</v>
      </c>
      <c r="AD29"/>
      <c r="AH29" s="2" t="str">
        <f>IF(AND(ARTICULOS_BAI[[#This Row],[FechaVenc]]=0,ARTICULOS_BAI[[#This Row],[DiasVenc]]=0),"",ARTICULOS_BAI[[#This Row],[FechaVenc]]-ARTICULOS_BAI[[#This Row],[DiasVenc]])</f>
        <v/>
      </c>
      <c r="AN29" t="s">
        <v>8693</v>
      </c>
      <c r="AO29" t="s">
        <v>8689</v>
      </c>
      <c r="AP29" t="s">
        <v>8690</v>
      </c>
      <c r="AQ29" t="s">
        <v>8692</v>
      </c>
    </row>
    <row r="30" spans="1:43" ht="15.75" x14ac:dyDescent="0.25">
      <c r="A30" s="24" t="s">
        <v>12143</v>
      </c>
      <c r="C30" t="str">
        <f t="shared" si="5"/>
        <v>BOD41877362</v>
      </c>
      <c r="D30" t="s">
        <v>8689</v>
      </c>
      <c r="E30" s="24" t="s">
        <v>12144</v>
      </c>
      <c r="F30" s="61">
        <v>2244.5</v>
      </c>
      <c r="G30" s="129">
        <v>0</v>
      </c>
      <c r="H30" s="31" t="s">
        <v>8690</v>
      </c>
      <c r="I30">
        <v>6</v>
      </c>
      <c r="J30">
        <v>1</v>
      </c>
      <c r="L30" s="17">
        <f>((ARTICULOS_BAI[[#This Row],[P. Compra]]*(1+ARTICULOS_BAI[[#This Row],[IVA]]))/ARTICULOS_BAI[[#This Row],[UnidFact]])+ARTICULOS_BAI[[#This Row],[CostoFlete]]</f>
        <v>2244.5</v>
      </c>
      <c r="M30" s="4">
        <v>20</v>
      </c>
      <c r="N30" s="63">
        <f t="shared" si="1"/>
        <v>2800</v>
      </c>
      <c r="O30" s="23">
        <f>MROUND((ARTICULOS_BAI[[#This Row],[Precio]]/0.6),100)</f>
        <v>4700</v>
      </c>
      <c r="P30" s="3" t="s">
        <v>8693</v>
      </c>
      <c r="Q30" s="42">
        <v>2</v>
      </c>
      <c r="R30" s="23">
        <f>ARTICULOS_BAI[[#This Row],[Bulto]]*2</f>
        <v>12</v>
      </c>
      <c r="S30" t="s">
        <v>6</v>
      </c>
      <c r="T30" t="s">
        <v>13</v>
      </c>
      <c r="U30" t="s">
        <v>104</v>
      </c>
      <c r="V30" s="30" t="s">
        <v>10811</v>
      </c>
      <c r="W30" t="s">
        <v>8692</v>
      </c>
      <c r="X30">
        <v>1</v>
      </c>
      <c r="Y30">
        <v>10</v>
      </c>
      <c r="AB30" s="80">
        <f>ARTICULOS_BAI[[#This Row],[Costo]]*ARTICULOS_BAI[[#This Row],[Pedido]]</f>
        <v>0</v>
      </c>
      <c r="AD30"/>
      <c r="AH30" s="2" t="str">
        <f>IF(AND(ARTICULOS_BAI[[#This Row],[FechaVenc]]=0,ARTICULOS_BAI[[#This Row],[DiasVenc]]=0),"",ARTICULOS_BAI[[#This Row],[FechaVenc]]-ARTICULOS_BAI[[#This Row],[DiasVenc]])</f>
        <v/>
      </c>
      <c r="AN30" t="s">
        <v>8693</v>
      </c>
      <c r="AO30" t="s">
        <v>8689</v>
      </c>
      <c r="AP30" t="s">
        <v>8690</v>
      </c>
      <c r="AQ30" t="s">
        <v>8692</v>
      </c>
    </row>
    <row r="31" spans="1:43" ht="15.75" x14ac:dyDescent="0.25">
      <c r="A31" s="24" t="s">
        <v>12145</v>
      </c>
      <c r="C31" t="str">
        <f t="shared" si="5"/>
        <v>BOD41877058</v>
      </c>
      <c r="D31" t="s">
        <v>8689</v>
      </c>
      <c r="E31" s="24" t="s">
        <v>12147</v>
      </c>
      <c r="F31" s="61">
        <v>2876.1</v>
      </c>
      <c r="G31" s="129">
        <v>0</v>
      </c>
      <c r="H31" s="46" t="s">
        <v>8690</v>
      </c>
      <c r="I31">
        <v>6</v>
      </c>
      <c r="J31">
        <v>1</v>
      </c>
      <c r="L31" s="99">
        <f>((ARTICULOS_BAI[[#This Row],[P. Compra]]*(1+ARTICULOS_BAI[[#This Row],[IVA]]))/ARTICULOS_BAI[[#This Row],[UnidFact]])+ARTICULOS_BAI[[#This Row],[CostoFlete]]</f>
        <v>2876.1</v>
      </c>
      <c r="M31" s="8">
        <v>20</v>
      </c>
      <c r="N31" s="63">
        <f t="shared" si="1"/>
        <v>3600</v>
      </c>
      <c r="O31" s="51">
        <f>MROUND((ARTICULOS_BAI[[#This Row],[Precio]]/0.6),100)</f>
        <v>6000</v>
      </c>
      <c r="P31" s="7" t="s">
        <v>8693</v>
      </c>
      <c r="Q31" s="42">
        <v>2</v>
      </c>
      <c r="R31" s="51">
        <f>ARTICULOS_BAI[[#This Row],[Bulto]]*2</f>
        <v>12</v>
      </c>
      <c r="S31" t="s">
        <v>6</v>
      </c>
      <c r="T31" t="s">
        <v>13</v>
      </c>
      <c r="U31" t="s">
        <v>104</v>
      </c>
      <c r="V31" s="30" t="s">
        <v>10811</v>
      </c>
      <c r="W31" t="s">
        <v>8692</v>
      </c>
      <c r="X31">
        <v>1</v>
      </c>
      <c r="Y31">
        <v>10</v>
      </c>
      <c r="AB31" s="80">
        <f>ARTICULOS_BAI[[#This Row],[Costo]]*ARTICULOS_BAI[[#This Row],[Pedido]]</f>
        <v>0</v>
      </c>
      <c r="AD31"/>
      <c r="AH31" s="2" t="str">
        <f>IF(AND(ARTICULOS_BAI[[#This Row],[FechaVenc]]=0,ARTICULOS_BAI[[#This Row],[DiasVenc]]=0),"",ARTICULOS_BAI[[#This Row],[FechaVenc]]-ARTICULOS_BAI[[#This Row],[DiasVenc]])</f>
        <v/>
      </c>
      <c r="AN31" t="s">
        <v>8693</v>
      </c>
      <c r="AO31" t="s">
        <v>8689</v>
      </c>
      <c r="AP31" t="s">
        <v>8690</v>
      </c>
      <c r="AQ31" t="s">
        <v>8692</v>
      </c>
    </row>
  </sheetData>
  <conditionalFormatting sqref="A1">
    <cfRule type="duplicateValues" dxfId="174" priority="3"/>
  </conditionalFormatting>
  <conditionalFormatting sqref="A2:C1048576">
    <cfRule type="duplicateValues" dxfId="173" priority="486"/>
    <cfRule type="duplicateValues" dxfId="172" priority="487"/>
  </conditionalFormatting>
  <conditionalFormatting sqref="A19:C21">
    <cfRule type="duplicateValues" dxfId="171" priority="24"/>
    <cfRule type="duplicateValues" dxfId="170" priority="25"/>
  </conditionalFormatting>
  <conditionalFormatting sqref="A22:C23">
    <cfRule type="duplicateValues" dxfId="169" priority="21"/>
    <cfRule type="duplicateValues" dxfId="168" priority="22"/>
  </conditionalFormatting>
  <conditionalFormatting sqref="A24:C24">
    <cfRule type="duplicateValues" dxfId="167" priority="18"/>
    <cfRule type="duplicateValues" dxfId="166" priority="19"/>
  </conditionalFormatting>
  <conditionalFormatting sqref="C1">
    <cfRule type="duplicateValues" dxfId="165" priority="2"/>
  </conditionalFormatting>
  <conditionalFormatting sqref="F32:F1048576">
    <cfRule type="cellIs" dxfId="164" priority="14" operator="greaterThan">
      <formula>0</formula>
    </cfRule>
  </conditionalFormatting>
  <conditionalFormatting sqref="L1:L31">
    <cfRule type="cellIs" dxfId="163" priority="1" operator="greaterThan">
      <formula>0</formula>
    </cfRule>
  </conditionalFormatting>
  <pageMargins left="0.25" right="0.26" top="0.25" bottom="0.22" header="0.25" footer="0"/>
  <pageSetup orientation="portrait" horizontalDpi="300" verticalDpi="300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692865-23B5-493D-959A-2EC8E361FF59}">
          <x14:formula1>
            <xm:f>LISTAS!$A:$A</xm:f>
          </x14:formula1>
          <xm:sqref>S1:S31</xm:sqref>
        </x14:dataValidation>
        <x14:dataValidation type="list" allowBlank="1" showInputMessage="1" showErrorMessage="1" xr:uid="{3F1B231E-288A-4543-8979-9C9A248A55BD}">
          <x14:formula1>
            <xm:f>LISTAS!$E:$E</xm:f>
          </x14:formula1>
          <xm:sqref>U1:U31</xm:sqref>
        </x14:dataValidation>
        <x14:dataValidation type="list" allowBlank="1" showInputMessage="1" showErrorMessage="1" xr:uid="{24084A7E-ADB3-40BC-BFDB-9665F6FC67E1}">
          <x14:formula1>
            <xm:f>LISTAS!$C:$C</xm:f>
          </x14:formula1>
          <xm:sqref>T2:T31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d f b d 3 1 - 7 c b a - 4 f 3 d - 9 3 d c - b e b 9 c f 9 2 3 2 2 9 "   x m l n s = " h t t p : / / s c h e m a s . m i c r o s o f t . c o m / D a t a M a s h u p " > A A A A A N A G A A B Q S w M E F A A C A A g A 0 4 r + W G H i I d S k A A A A 9 g A A A B I A H A B D b 2 5 m a W c v U G F j a 2 F n Z S 5 4 b W w g o h g A K K A U A A A A A A A A A A A A A A A A A A A A A A A A A A A A h Y 9 B D o I w F E S v Q r q n L S V G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m O I Z m 2 M K Z I K Q a / M V 2 L j 3 2 f 5 A W P W 1 6 z v F l Q 2 X W y B T B P L + w B 9 Q S w M E F A A C A A g A 0 4 r +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O K / l g Z 9 A i G 0 w M A A N o M A A A T A B w A R m 9 y b X V s Y X M v U 2 V j d G l v b j E u b S C i G A A o o B Q A A A A A A A A A A A A A A A A A A A A A A A A A A A C 9 V t t y 2 z Y Q f d e M / w H D v E i N r D G V W x t X n W E o O u H U l T S k 7 D 7 I e o A I S M a Y B F g Q S t R 4 9 F X 9 h P x Y l q D F i 0 R K T j t T v x j a B X b P n r M L I q G B Y o I j P / t v X r Z a y T 2 W l K A X x h Q v Q n p x Y a L 2 B K 8 o M j s G G q C Q q r M W g r + x Z C v K w T I h y 5 7 e m r S v W E h 7 t u C K c p W 0 D f v 9 3 U 1 C Z X I X C c m C u 6 H 4 w k O B S X J 3 5 b k f x x 4 6 R 9 c s U R g R i m J J A y Y S d H 7 l j q x r B K 6 x P b 3 5 4 D m o f 9 F / 1 Y v J 0 u h 0 0 c y N 4 p B G E B 2 n a A e G 2 X t l z D v d D F G O d / A E 7 n H m k k F e h j H f z o Z Y 4 f n T 9 h e G w w O 8 o F 8 x g c S x F J H 4 z G C Z V q n P 9 C a p T d F P F B O o o r 0 L B D i e P F Y Y + g E O s U w G S q 5 p j g S 4 Y 7 F A A Y 4 W D K I X E a c S 8 2 Q p Z G S L c B 3 x 6 d 8 x s N Y I p P v 4 a F y 7 / t R C Q w d N P M d 2 x z 5 y R 0 M X l m C 0 / v h g v X R H U y D r 1 v 3 o j G z X e o / M d G + Z O 6 O L F K R B i m 7 U t o s e j S x 1 v 8 G e 7 n e 5 e v u 6 l 4 I r O V 4 3 H H j T Y H / b Y H / X Y P 9 5 Z + f r a E F l y f N L w w n z o v G I a T a d 6 e + d 2 R a a Z T t w g v 5 a M 4 U J L n W C R 0 E T m m 1 I B a v K 2 6 2 k L a E u l V x i M W d 6 2 z l r M d 6 c / v K s d V a M o + V N X f v m G l p g 1 w p t s 4 M 2 Y b K p n 0 t n E 9 C w 9 6 e Q D w s h H p 4 9 m 7 V p e j o N T C B f h y E Q C M 1 e 8 A a R A f W S h U p W W f N p C N e K J 7 4 k 7 Q x V F 1 E c 3 K P 2 7 H f G y R z 2 Z c N p d B D m B M w j H N E 5 + v U 3 o M i a O n B F u J Z v a F / J N f H G t 4 4 z H H v O o c + D t h / 7 R u d f i b p f B 8 j 6 i R F C u V F q k j E 4 E x Q 0 R 8 2 K L q I e A o C 4 6 T 1 U j u p T R D c x F M O + / Y O 0 M 4 / n a L t e Z 6 H a z S C g t / T h r N 8 J W w l t o k k g W Q z 3 K 8 + 6 L 1 H a P t F 3 b r Y C I i g R M v 3 h r R d S W 2 2 s 6 A q 6 I 4 1 n + E o E D + n i i g b 3 + J b y w N j + T 2 l q x J R U S B B m X 8 / U K A v q D 1 n t H g F c Q V e D o 7 6 m m j J K g C c w Y Y L j k M H d j h F e S b q C R Q H Z I i Q X t b Y 4 C O z y z z C y u 9 R 6 g G Y a 3 v y n m b b O T + U z 6 x M 2 g M t T 5 k V W c 2 b m + X F V z C O y N I F 8 t j g 5 5 8 9 W q d J j V U K r x R 7 7 H J j N V 0 c 9 B W l B d V 3 x Y 4 + D G h z p w 6 B a x f 5 n c E / B f X e j o y l e m W D t I 1 C Y 9 u w 0 2 D + x E 6 n 6 F S 7 r W H g O W U d k H Y c s q A z L M D O p 4 h 7 c + w y X G k I v 4 G F k i x i 4 r x E 1 g E c v F 9 F C 0 h o l P F A w O p S 3 B C p V o J p j l 9 S j O D S 2 J + + A / o l L o A 5 f O h Z s u a u x P J X n s z z 3 i c H s / / B g 9 v / L Y B a U V M G f n N j j Q 1 r 7 b q p U e f k d U E s B A i 0 A F A A C A A g A 0 4 r + W G H i I d S k A A A A 9 g A A A B I A A A A A A A A A A A A A A A A A A A A A A E N v b m Z p Z y 9 Q Y W N r Y W d l L n h t b F B L A Q I t A B Q A A g A I A N O K / l h T c j g s m w A A A O E A A A A T A A A A A A A A A A A A A A A A A P A A A A B b Q 2 9 u d G V u d F 9 U e X B l c 1 0 u e G 1 s U E s B A i 0 A F A A C A A g A 0 4 r + W B n 0 C I b T A w A A 2 g w A A B M A A A A A A A A A A A A A A A A A 2 A E A A E Z v c m 1 1 b G F z L 1 N l Y 3 R p b 2 4 x L m 1 Q S w U G A A A A A A M A A w D C A A A A +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i Y A A A A A A A D I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5 L T I 5 V D A w O j M 0 O j Q 3 L j I w M D M w O D d a I i A v P j x F b n R y e S B U e X B l P S J G a W x s Q 2 9 s d W 1 u V H l w Z X M i I F Z h b H V l P S J z Q m d Z R 0 J n V U Z C U T 0 9 I i A v P j x F b n R y e S B U e X B l P S J G a W x s Q 2 9 s d W 1 u T m F t Z X M i I F Z h b H V l P S J z W y Z x d W 9 0 O 0 x J U 1 R B I E R F I F B S R U N J T 1 M g S U 5 E S V J F Q 1 R B I E F N Q k E r S U 5 U I C 0 g V k l H R U 5 D S U E 6 I D E g R E U g T 0 N U V U J S R S A y M D I z J n F 1 b 3 Q 7 L C Z x d W 9 0 O 0 N v b H V t b j I m c X V v d D s s J n F 1 b 3 Q 7 Q 2 9 s d W 1 u N S Z x d W 9 0 O y w m c X V v d D t D b 2 x 1 b W 4 2 J n F 1 b 3 Q 7 L C Z x d W 9 0 O 0 N v b H V t b j g m c X V v d D s s J n F 1 b 3 Q 7 Q 2 9 s d W 1 u M T A m c X V v d D s s J n F 1 b 3 Q 7 Q 2 9 s d W 1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x J U 1 R B I E R F I F B S R U N J T 1 M g S U 5 E S V J F Q 1 R B I E F N Q k E r S U 5 U I C 0 g V k l H R U 5 D S U E 6 I D E g R E U g T 0 N U V U J S R S A y M D I z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N S w y f S Z x d W 9 0 O y w m c X V v d D t T Z W N 0 a W 9 u M S 9 U Y W J s Z T A w M S A o U G F n Z S A x K S 9 B d X R v U m V t b 3 Z l Z E N v b H V t b n M x L n t D b 2 x 1 b W 4 2 L D N 9 J n F 1 b 3 Q 7 L C Z x d W 9 0 O 1 N l Y 3 R p b 2 4 x L 1 R h Y m x l M D A x I C h Q Y W d l I D E p L 0 F 1 d G 9 S Z W 1 v d m V k Q 2 9 s d W 1 u c z E u e 0 N v b H V t b j g s N H 0 m c X V v d D s s J n F 1 b 3 Q 7 U 2 V j d G l v b j E v V G F i b G U w M D E g K F B h Z 2 U g M S k v Q X V 0 b 1 J l b W 9 2 Z W R D b 2 x 1 b W 5 z M S 5 7 Q 2 9 s d W 1 u M T A s N X 0 m c X V v d D s s J n F 1 b 3 Q 7 U 2 V j d G l v b j E v V G F i b G U w M D E g K F B h Z 2 U g M S k v Q X V 0 b 1 J l b W 9 2 Z W R D b 2 x 1 b W 5 z M S 5 7 Q 2 9 s d W 1 u M T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T E l T V E E g R E U g U F J F Q 0 l P U y B J T k R J U k V D V E E g Q U 1 C Q S t J T l Q g L S B W S U d F T k N J Q T o g M S B E R S B P Q 1 R V Q l J F I D I w M j M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1 L D J 9 J n F 1 b 3 Q 7 L C Z x d W 9 0 O 1 N l Y 3 R p b 2 4 x L 1 R h Y m x l M D A x I C h Q Y W d l I D E p L 0 F 1 d G 9 S Z W 1 v d m V k Q 2 9 s d W 1 u c z E u e 0 N v b H V t b j Y s M 3 0 m c X V v d D s s J n F 1 b 3 Q 7 U 2 V j d G l v b j E v V G F i b G U w M D E g K F B h Z 2 U g M S k v Q X V 0 b 1 J l b W 9 2 Z W R D b 2 x 1 b W 5 z M S 5 7 Q 2 9 s d W 1 u O C w 0 f S Z x d W 9 0 O y w m c X V v d D t T Z W N 0 a W 9 u M S 9 U Y W J s Z T A w M S A o U G F n Z S A x K S 9 B d X R v U m V t b 3 Z l Z E N v b H V t b n M x L n t D b 2 x 1 b W 4 x M C w 1 f S Z x d W 9 0 O y w m c X V v d D t T Z W N 0 a W 9 u M S 9 U Y W J s Z T A w M S A o U G F n Z S A x K S 9 B d X R v U m V t b 3 Z l Z E N v b H V t b n M x L n t D b 2 x 1 b W 4 x M i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N 2 M 4 M j l k M D Y t N G V i M S 0 0 N W N k L T g z O D Y t Y z k y N T U z Y W V m M D d j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b 2 x 1 b W 5 h c y U y M H F 1 a X R h Z G F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V E l D V U x P U y U y M F B S R U N J T 1 M l M j A o M S k l M j B 4 b H N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M w O D h i Z j Q t Y z U z Y i 0 0 Z G M w L T k 5 N G Y t N D d j Z m E 2 N j h l M 2 M z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2 J q Z W N 0 V H l w Z S I g V m F s d W U 9 I n N D b 2 5 u Z W N 0 a W 9 u T 2 5 s e S I g L z 4 8 R W 5 0 c n k g V H l w Z T 0 i R m l s b E x h c 3 R V c G R h d G V k I i B W Y W x 1 Z T 0 i Z D I w M j Q t M D c t M z B U M j A 6 M j I 6 M z k u O D A 1 N D M 4 M V o i I C 8 + P E V u d H J 5 I F R 5 c G U 9 I k Z p b G x D b 2 x 1 b W 5 U e X B l c y I g V m F s d W U 9 I n N B Q U F H Q m d V R k F B a 0 Z C U V V G I i A v P j x F b n R y e S B U e X B l P S J G a W x s Q 2 9 s d W 1 u T m F t Z X M i I F Z h b H V l P S J z W y Z x d W 9 0 O 0 N v Z G l n b y Z x d W 9 0 O y w m c X V v d D t E Z X N j c m l w Y 2 l v b i Z x d W 9 0 O y w m c X V v d D t Q c m 9 2 Z W V k b 3 I m c X V v d D s s J n F 1 b 3 Q 7 U n V i c m 8 m c X V v d D s s J n F 1 b 3 Q 7 U 3 R v Y 2 s m c X V v d D s s J n F 1 b 3 Q 7 U 3 R v Y 2 t S Z W F s J n F 1 b 3 Q 7 L C Z x d W 9 0 O 0 R p Z l N 0 b 2 N r J n F 1 b 3 Q 7 L C Z x d W 9 0 O 0 Z l Y 2 h h V m V u Y y Z x d W 9 0 O y w m c X V v d D t D b 3 N 0 b y Z x d W 9 0 O y w m c X V v d D t Q c m V j a W 8 m c X V v d D s s J n F 1 b 3 Q 7 S W 5 2 Z W 5 0 Q 2 9 z d G 8 m c X V v d D s s J n F 1 b 3 Q 7 S W 5 2 Z W 5 0 U H J l Y 2 l v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J U S U N V T E 9 T I F B S R U N J T 1 M g K D E p I H h s c 3 g v Q X V 0 b 1 J l b W 9 2 Z W R D b 2 x 1 b W 5 z M S 5 7 Q 2 9 k a W d v L D B 9 J n F 1 b 3 Q 7 L C Z x d W 9 0 O 1 N l Y 3 R p b 2 4 x L 0 F S V E l D V U x P U y B Q U k V D S U 9 T I C g x K S B 4 b H N 4 L 0 F 1 d G 9 S Z W 1 v d m V k Q 2 9 s d W 1 u c z E u e 0 R l c 2 N y a X B j a W 9 u L D F 9 J n F 1 b 3 Q 7 L C Z x d W 9 0 O 1 N l Y 3 R p b 2 4 x L 0 F S V E l D V U x P U y B Q U k V D S U 9 T I C g x K S B 4 b H N 4 L 0 F 1 d G 9 S Z W 1 v d m V k Q 2 9 s d W 1 u c z E u e 1 B y b 3 Z l Z W R v c i w y f S Z x d W 9 0 O y w m c X V v d D t T Z W N 0 a W 9 u M S 9 B U l R J Q 1 V M T 1 M g U F J F Q 0 l P U y A o M S k g e G x z e C 9 B d X R v U m V t b 3 Z l Z E N v b H V t b n M x L n t S d W J y b y w z f S Z x d W 9 0 O y w m c X V v d D t T Z W N 0 a W 9 u M S 9 B U l R J Q 1 V M T 1 M g U F J F Q 0 l P U y A o M S k g e G x z e C 9 B d X R v U m V t b 3 Z l Z E N v b H V t b n M x L n t T d G 9 j a y w 0 f S Z x d W 9 0 O y w m c X V v d D t T Z W N 0 a W 9 u M S 9 B U l R J Q 1 V M T 1 M g U F J F Q 0 l P U y A o M S k g e G x z e C 9 B d X R v U m V t b 3 Z l Z E N v b H V t b n M x L n t T d G 9 j a 1 J l Y W w s N X 0 m c X V v d D s s J n F 1 b 3 Q 7 U 2 V j d G l v b j E v Q V J U S U N V T E 9 T I F B S R U N J T 1 M g K D E p I H h s c 3 g v Q X V 0 b 1 J l b W 9 2 Z W R D b 2 x 1 b W 5 z M S 5 7 R G l m U 3 R v Y 2 s s N n 0 m c X V v d D s s J n F 1 b 3 Q 7 U 2 V j d G l v b j E v Q V J U S U N V T E 9 T I F B S R U N J T 1 M g K D E p I H h s c 3 g v Q X V 0 b 1 J l b W 9 2 Z W R D b 2 x 1 b W 5 z M S 5 7 R m V j a G F W Z W 5 j L D d 9 J n F 1 b 3 Q 7 L C Z x d W 9 0 O 1 N l Y 3 R p b 2 4 x L 0 F S V E l D V U x P U y B Q U k V D S U 9 T I C g x K S B 4 b H N 4 L 0 F 1 d G 9 S Z W 1 v d m V k Q 2 9 s d W 1 u c z E u e 0 N v c 3 R v L D h 9 J n F 1 b 3 Q 7 L C Z x d W 9 0 O 1 N l Y 3 R p b 2 4 x L 0 F S V E l D V U x P U y B Q U k V D S U 9 T I C g x K S B 4 b H N 4 L 0 F 1 d G 9 S Z W 1 v d m V k Q 2 9 s d W 1 u c z E u e 1 B y Z W N p b y w 5 f S Z x d W 9 0 O y w m c X V v d D t T Z W N 0 a W 9 u M S 9 B U l R J Q 1 V M T 1 M g U F J F Q 0 l P U y A o M S k g e G x z e C 9 B d X R v U m V t b 3 Z l Z E N v b H V t b n M x L n t J b n Z l b n R D b 3 N 0 b y w x M H 0 m c X V v d D s s J n F 1 b 3 Q 7 U 2 V j d G l v b j E v Q V J U S U N V T E 9 T I F B S R U N J T 1 M g K D E p I H h s c 3 g v Q X V 0 b 1 J l b W 9 2 Z W R D b 2 x 1 b W 5 z M S 5 7 S W 5 2 Z W 5 0 U H J l Y 2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V J U S U N V T E 9 T I F B S R U N J T 1 M g K D E p I H h s c 3 g v Q X V 0 b 1 J l b W 9 2 Z W R D b 2 x 1 b W 5 z M S 5 7 Q 2 9 k a W d v L D B 9 J n F 1 b 3 Q 7 L C Z x d W 9 0 O 1 N l Y 3 R p b 2 4 x L 0 F S V E l D V U x P U y B Q U k V D S U 9 T I C g x K S B 4 b H N 4 L 0 F 1 d G 9 S Z W 1 v d m V k Q 2 9 s d W 1 u c z E u e 0 R l c 2 N y a X B j a W 9 u L D F 9 J n F 1 b 3 Q 7 L C Z x d W 9 0 O 1 N l Y 3 R p b 2 4 x L 0 F S V E l D V U x P U y B Q U k V D S U 9 T I C g x K S B 4 b H N 4 L 0 F 1 d G 9 S Z W 1 v d m V k Q 2 9 s d W 1 u c z E u e 1 B y b 3 Z l Z W R v c i w y f S Z x d W 9 0 O y w m c X V v d D t T Z W N 0 a W 9 u M S 9 B U l R J Q 1 V M T 1 M g U F J F Q 0 l P U y A o M S k g e G x z e C 9 B d X R v U m V t b 3 Z l Z E N v b H V t b n M x L n t S d W J y b y w z f S Z x d W 9 0 O y w m c X V v d D t T Z W N 0 a W 9 u M S 9 B U l R J Q 1 V M T 1 M g U F J F Q 0 l P U y A o M S k g e G x z e C 9 B d X R v U m V t b 3 Z l Z E N v b H V t b n M x L n t T d G 9 j a y w 0 f S Z x d W 9 0 O y w m c X V v d D t T Z W N 0 a W 9 u M S 9 B U l R J Q 1 V M T 1 M g U F J F Q 0 l P U y A o M S k g e G x z e C 9 B d X R v U m V t b 3 Z l Z E N v b H V t b n M x L n t T d G 9 j a 1 J l Y W w s N X 0 m c X V v d D s s J n F 1 b 3 Q 7 U 2 V j d G l v b j E v Q V J U S U N V T E 9 T I F B S R U N J T 1 M g K D E p I H h s c 3 g v Q X V 0 b 1 J l b W 9 2 Z W R D b 2 x 1 b W 5 z M S 5 7 R G l m U 3 R v Y 2 s s N n 0 m c X V v d D s s J n F 1 b 3 Q 7 U 2 V j d G l v b j E v Q V J U S U N V T E 9 T I F B S R U N J T 1 M g K D E p I H h s c 3 g v Q X V 0 b 1 J l b W 9 2 Z W R D b 2 x 1 b W 5 z M S 5 7 R m V j a G F W Z W 5 j L D d 9 J n F 1 b 3 Q 7 L C Z x d W 9 0 O 1 N l Y 3 R p b 2 4 x L 0 F S V E l D V U x P U y B Q U k V D S U 9 T I C g x K S B 4 b H N 4 L 0 F 1 d G 9 S Z W 1 v d m V k Q 2 9 s d W 1 u c z E u e 0 N v c 3 R v L D h 9 J n F 1 b 3 Q 7 L C Z x d W 9 0 O 1 N l Y 3 R p b 2 4 x L 0 F S V E l D V U x P U y B Q U k V D S U 9 T I C g x K S B 4 b H N 4 L 0 F 1 d G 9 S Z W 1 v d m V k Q 2 9 s d W 1 u c z E u e 1 B y Z W N p b y w 5 f S Z x d W 9 0 O y w m c X V v d D t T Z W N 0 a W 9 u M S 9 B U l R J Q 1 V M T 1 M g U F J F Q 0 l P U y A o M S k g e G x z e C 9 B d X R v U m V t b 3 Z l Z E N v b H V t b n M x L n t J b n Z l b n R D b 3 N 0 b y w x M H 0 m c X V v d D s s J n F 1 b 3 Q 7 U 2 V j d G l v b j E v Q V J U S U N V T E 9 T I F B S R U N J T 1 M g K D E p I H h s c 3 g v Q X V 0 b 1 J l b W 9 2 Z W R D b 2 x 1 b W 5 z M S 5 7 S W 5 2 Z W 5 0 U H J l Y 2 l v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J U S U N V T E 9 T J T I w U F J F Q 0 l P U y U y M C g x K S U y M H h s c 3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U S U N V T E 9 T J T I w U F J F Q 0 l P U y U y M C g x K S U y M H h s c 3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l M j B Q U k V D S U 9 T J T I w K D E p J T I w e G x z e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U S U N V T E 9 T J T I w U F J F Q 0 l P U y U y M C g x K S U y M H h s c 3 g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U S U N V T E 9 T J T I w U F J F Q 0 l P U y U y M C g x K S U y M H h s c 3 g v U 2 U l M j B l e H B h b m R p J U M z J U I z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V E l D V U x P U y U y M F B S R U N J T 1 M l M j A o M S k l M j B 4 b H N 4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l M j B Q U k V D S U 9 T J T I w K D E p J T I w e G x z e C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l M j B Q U k V D S U 9 T J T I w K D E p J T I w e G x z e C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U S U N V T E 9 T J T I w U F J F Q 0 l P U y U y M C g x K S U y M H h s c 3 g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l M j B Q U k V D S U 9 T J T I w K D E p J T I w e G x z e C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V E l D V U x P U y U y M F B S R U N J T 1 M l M j A o M S k l M j B 4 b H N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V E l D V U x P U y U y M F B S R U N J T 1 M l M j A o M S k l M j B 4 b H N 4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R J Q 1 V M T 1 M l M j B Q U k V D S U 9 T J T I w K D E p J T I w e G x z e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U S U N V T E 9 T J T I w U F J F Q 0 l P U y U y M C g x K S U y M H h s c 3 g v U G V y c 2 9 u Y W x p e m F k Y S U y M G F n c m V n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V E l D V U x P U y U y M F B S R U N J T 1 M l M j A o M S k l M j B 4 b H N 4 L 0 N v b H V t b m F z J T I w c m V v c m R l b m F k Y X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n P K Z n L a V C g T j H 2 n n I V Z A A A A A A A g A A A A A A E G Y A A A A B A A A g A A A A t A x 3 1 T / 6 U w 0 b X L M g A A x J N o T V Y k T o L 8 9 k p G g j N T W J z r o A A A A A D o A A A A A C A A A g A A A A V d l G L c R 2 + + x o d I J X I v d L 2 O z V n 0 8 x g u l j 4 C o m v l p g l U N Q A A A A a m G Z V W G A 0 R 8 + 7 G x l c o 3 g c z h X 4 l 3 G G V 4 S A h g H b s F Y n 7 N W Q v T x W p g K o K k o w K o i l B 2 2 t g 2 2 U m r 3 N g + r Q p 2 T 6 X g K l w / R f N Y Z C t R i d 3 a 9 9 w U j o 8 1 A A A A A H h G 6 j 9 K u J U z P d V t Y 4 K A 4 t V 1 8 j 1 V 5 P M / 7 k P M e r + u y 5 Z p 4 J h 6 j T v Z l y f X j p F m I x U v h h K o W 3 q D p l B 1 u K n Y f R Z g W N w = = < / D a t a M a s h u p > 
</file>

<file path=customXml/itemProps1.xml><?xml version="1.0" encoding="utf-8"?>
<ds:datastoreItem xmlns:ds="http://schemas.openxmlformats.org/officeDocument/2006/customXml" ds:itemID="{577A34D5-1726-4FDE-897A-1408C9E06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18</vt:i4>
      </vt:variant>
    </vt:vector>
  </HeadingPairs>
  <TitlesOfParts>
    <vt:vector size="40" baseType="lpstr">
      <vt:lpstr>PRECIOS GOLOMAX</vt:lpstr>
      <vt:lpstr>LISTAS</vt:lpstr>
      <vt:lpstr>PROMOCIONES</vt:lpstr>
      <vt:lpstr>INSUMOS</vt:lpstr>
      <vt:lpstr>VENEZOLANO</vt:lpstr>
      <vt:lpstr>HC-LASVEGAS</vt:lpstr>
      <vt:lpstr>SPEED</vt:lpstr>
      <vt:lpstr>AGUANORT</vt:lpstr>
      <vt:lpstr>BAI</vt:lpstr>
      <vt:lpstr>DOBLE COLA</vt:lpstr>
      <vt:lpstr>YAMANIL</vt:lpstr>
      <vt:lpstr>OSLE</vt:lpstr>
      <vt:lpstr>DICOSPA</vt:lpstr>
      <vt:lpstr>FRIGOR</vt:lpstr>
      <vt:lpstr>NORNES</vt:lpstr>
      <vt:lpstr>LADIAR</vt:lpstr>
      <vt:lpstr>MONDELEZ</vt:lpstr>
      <vt:lpstr>GOLOMAX</vt:lpstr>
      <vt:lpstr>POP SALADO</vt:lpstr>
      <vt:lpstr>MAYORISTAS</vt:lpstr>
      <vt:lpstr>QUENTO</vt:lpstr>
      <vt:lpstr>GRANEL</vt:lpstr>
      <vt:lpstr>AGUANORT!_FilterDatabase</vt:lpstr>
      <vt:lpstr>BAI!_FilterDatabase</vt:lpstr>
      <vt:lpstr>DICOSPA!_FilterDatabase</vt:lpstr>
      <vt:lpstr>'DOBLE COLA'!_FilterDatabase</vt:lpstr>
      <vt:lpstr>GOLOMAX!_FilterDatabase</vt:lpstr>
      <vt:lpstr>GRANEL!_FilterDatabase</vt:lpstr>
      <vt:lpstr>'HC-LASVEGAS'!_FilterDatabase</vt:lpstr>
      <vt:lpstr>INSUMOS!_FilterDatabase</vt:lpstr>
      <vt:lpstr>LADIAR!_FilterDatabase</vt:lpstr>
      <vt:lpstr>MAYORISTAS!_FilterDatabase</vt:lpstr>
      <vt:lpstr>MONDELEZ!_FilterDatabase</vt:lpstr>
      <vt:lpstr>OSLE!_FilterDatabase</vt:lpstr>
      <vt:lpstr>'POP SALADO'!_FilterDatabase</vt:lpstr>
      <vt:lpstr>PROMOCIONES!_FilterDatabase</vt:lpstr>
      <vt:lpstr>QUENTO!_FilterDatabase</vt:lpstr>
      <vt:lpstr>SPEED!_FilterDatabase</vt:lpstr>
      <vt:lpstr>VENEZOLANO!_FilterDatabase</vt:lpstr>
      <vt:lpstr>YAMANIL!_FilterDatabase</vt:lpstr>
    </vt:vector>
  </TitlesOfParts>
  <Manager/>
  <Company>Windows uE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Rodolfo Pikor</dc:creator>
  <cp:keywords/>
  <dc:description/>
  <cp:lastModifiedBy>Alexander Farrera</cp:lastModifiedBy>
  <cp:revision/>
  <cp:lastPrinted>2024-04-20T17:40:24Z</cp:lastPrinted>
  <dcterms:created xsi:type="dcterms:W3CDTF">2015-11-02T00:18:41Z</dcterms:created>
  <dcterms:modified xsi:type="dcterms:W3CDTF">2024-07-30T20:40:33Z</dcterms:modified>
  <cp:category/>
  <cp:contentStatus/>
</cp:coreProperties>
</file>